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00" yWindow="460" windowWidth="33600" windowHeight="20540" tabRatio="500" activeTab="6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'Bulges_Constr_NonXtal_GPCRdb#'!$A$1:$AE$416</definedName>
    <definedName name="_xlnm._FilterDatabase" localSheetId="5" hidden="1">'SegEnds_NonXtal_BW#'!$A$1:$AL$416</definedName>
    <definedName name="_xlnm._FilterDatabase" localSheetId="0" hidden="1">'SegEnds_Xtal_Prot#'!$A$1:$CT$456</definedName>
    <definedName name="GPCRdb_alignment" localSheetId="8">Seqs!$A$413:$B$414</definedName>
    <definedName name="human_GPCR_fasta.fas" localSheetId="8">Seqs!$A$8:$B$411</definedName>
    <definedName name="xtal_templates_1" localSheetId="10">Xtal_Templ!$A$2:$B$413</definedName>
    <definedName name="xtal_templates_10" localSheetId="10">Xtal_Templ!$A$2:$B$416</definedName>
    <definedName name="xtal_templates_12" localSheetId="10">Xtal_Templ!$A$2:$B$416</definedName>
    <definedName name="xtal_templates_13" localSheetId="10">Xtal_Templ!$A$2:$B$416</definedName>
    <definedName name="xtal_templates_3" localSheetId="10">Xtal_Templ!$A$2:$B$413</definedName>
    <definedName name="xtal_templates_4" localSheetId="10">Xtal_Templ!$A$2:$B$413</definedName>
    <definedName name="xtal_templates_6" localSheetId="10">Xtal_Templ!$A$2:$B$413</definedName>
    <definedName name="xtal_templates_7" localSheetId="10">Xtal_Templ!$A$2:$B$413</definedName>
    <definedName name="xtal_templates_8" localSheetId="10">Xtal_Templ!$A$2:$B$413</definedName>
    <definedName name="Z_3E3401AF_8459_8641_BD70_AD04F80E86ED_.wvu.FilterData" localSheetId="7" hidden="1">'Bulges_Constr_NonXtal_GPCRdb#'!$A$1:$AE$416</definedName>
    <definedName name="Z_3E3401AF_8459_8641_BD70_AD04F80E86ED_.wvu.FilterData" localSheetId="5" hidden="1">'SegEnds_NonXtal_BW#'!$A$1:$AL$416</definedName>
    <definedName name="Z_3E3401AF_8459_8641_BD70_AD04F80E86ED_.wvu.FilterData" localSheetId="0" hidden="1">'SegEnds_Xtal_Prot#'!$A$1:$CT$456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31" i="1" l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AR431" i="1"/>
  <c r="AT431" i="1"/>
  <c r="AV431" i="1"/>
  <c r="AX431" i="1"/>
  <c r="AZ431" i="1"/>
  <c r="BA431" i="1"/>
  <c r="BB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BC431" i="1"/>
  <c r="CT431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Z417" i="1"/>
  <c r="BA417" i="1"/>
  <c r="BB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BC417" i="1"/>
  <c r="CT417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Z416" i="1"/>
  <c r="BA416" i="1"/>
  <c r="BB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BC416" i="1"/>
  <c r="CT416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Z401" i="1"/>
  <c r="BA401" i="1"/>
  <c r="BB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BC401" i="1"/>
  <c r="CT401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Z400" i="1"/>
  <c r="BA400" i="1"/>
  <c r="BB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BC400" i="1"/>
  <c r="CT400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Z399" i="1"/>
  <c r="BA399" i="1"/>
  <c r="BB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BC399" i="1"/>
  <c r="CT399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Z426" i="1"/>
  <c r="BA426" i="1"/>
  <c r="BB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BC426" i="1"/>
  <c r="CT426" i="1"/>
  <c r="A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E81" i="2"/>
  <c r="B285" i="4"/>
  <c r="E285" i="4"/>
  <c r="F107" i="5"/>
  <c r="D81" i="2"/>
  <c r="D285" i="4"/>
  <c r="E107" i="5"/>
  <c r="D69" i="2"/>
  <c r="B81" i="4"/>
  <c r="D81" i="4"/>
  <c r="E147" i="5"/>
  <c r="AC82" i="2"/>
  <c r="I107" i="5"/>
  <c r="F81" i="2"/>
  <c r="F285" i="4"/>
  <c r="H107" i="5"/>
  <c r="AD82" i="2"/>
  <c r="AE82" i="2"/>
  <c r="H81" i="2"/>
  <c r="H285" i="4"/>
  <c r="K107" i="5"/>
  <c r="I69" i="2"/>
  <c r="I81" i="4"/>
  <c r="L147" i="5"/>
  <c r="K147" i="5"/>
  <c r="AF82" i="2"/>
  <c r="AG82" i="2"/>
  <c r="AH82" i="2"/>
  <c r="AI82" i="2"/>
  <c r="AJ82" i="2"/>
  <c r="O147" i="5"/>
  <c r="J69" i="2"/>
  <c r="J81" i="4"/>
  <c r="N147" i="5"/>
  <c r="AK82" i="2"/>
  <c r="M81" i="2"/>
  <c r="M285" i="4"/>
  <c r="R107" i="5"/>
  <c r="L81" i="2"/>
  <c r="L285" i="4"/>
  <c r="Q107" i="5"/>
  <c r="M69" i="2"/>
  <c r="M81" i="4"/>
  <c r="R147" i="5"/>
  <c r="L69" i="2"/>
  <c r="L81" i="4"/>
  <c r="Q147" i="5"/>
  <c r="AL82" i="2"/>
  <c r="AM82" i="2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I285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A200" i="1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W81" i="2"/>
  <c r="A44" i="2"/>
  <c r="A45" i="2"/>
  <c r="A46" i="2"/>
  <c r="A47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E69" i="2"/>
  <c r="F69" i="2"/>
  <c r="G69" i="2"/>
  <c r="H69" i="2"/>
  <c r="K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C81" i="2"/>
  <c r="G81" i="2"/>
  <c r="I81" i="2"/>
  <c r="J81" i="2"/>
  <c r="K81" i="2"/>
  <c r="N81" i="2"/>
  <c r="O81" i="2"/>
  <c r="P81" i="2"/>
  <c r="Q81" i="2"/>
  <c r="R81" i="2"/>
  <c r="S81" i="2"/>
  <c r="T81" i="2"/>
  <c r="U81" i="2"/>
  <c r="V81" i="2"/>
  <c r="X81" i="2"/>
  <c r="Y81" i="2"/>
  <c r="Z81" i="2"/>
  <c r="W285" i="4"/>
  <c r="B93" i="4"/>
  <c r="W93" i="4"/>
  <c r="A9" i="3"/>
  <c r="B9" i="3"/>
  <c r="C9" i="3"/>
  <c r="AI179" i="4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U179" i="4" a="1"/>
  <c r="U179" i="4"/>
  <c r="AD261" i="5"/>
  <c r="T179" i="4" a="1"/>
  <c r="T179" i="4"/>
  <c r="AC261" i="5"/>
  <c r="AD107" i="5"/>
  <c r="AC107" i="5"/>
  <c r="E9" i="3"/>
  <c r="A81" i="2"/>
  <c r="AA81" i="2"/>
  <c r="AB81" i="2"/>
  <c r="B318" i="4"/>
  <c r="D318" i="4"/>
  <c r="E306" i="5"/>
  <c r="AC81" i="2"/>
  <c r="AD81" i="2"/>
  <c r="AE81" i="2"/>
  <c r="I318" i="4"/>
  <c r="L306" i="5"/>
  <c r="K306" i="5"/>
  <c r="AF81" i="2"/>
  <c r="AG81" i="2"/>
  <c r="AH81" i="2"/>
  <c r="AI81" i="2"/>
  <c r="AJ81" i="2"/>
  <c r="O306" i="5"/>
  <c r="J318" i="4"/>
  <c r="N306" i="5"/>
  <c r="AK81" i="2"/>
  <c r="M318" i="4"/>
  <c r="R306" i="5"/>
  <c r="L318" i="4"/>
  <c r="Q306" i="5"/>
  <c r="AL81" i="2"/>
  <c r="AM81" i="2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B153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D153" i="1"/>
  <c r="AF153" i="1"/>
  <c r="AH153" i="1"/>
  <c r="AJ153" i="1"/>
  <c r="AL153" i="1"/>
  <c r="AN153" i="1"/>
  <c r="AP153" i="1"/>
  <c r="AR153" i="1"/>
  <c r="AT153" i="1"/>
  <c r="AV153" i="1"/>
  <c r="AX153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146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Z87" i="1"/>
  <c r="BA87" i="1"/>
  <c r="BB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BC87" i="1"/>
  <c r="CT87" i="1"/>
  <c r="D294" i="6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8" i="1"/>
  <c r="A89" i="1"/>
  <c r="A90" i="1"/>
  <c r="A91" i="1"/>
  <c r="A92" i="1"/>
  <c r="A93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8" i="1"/>
  <c r="A149" i="1"/>
  <c r="A150" i="1"/>
  <c r="A151" i="1"/>
  <c r="A152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1" i="1"/>
  <c r="A202" i="1"/>
  <c r="A203" i="1"/>
  <c r="A204" i="1"/>
  <c r="A205" i="1"/>
  <c r="A206" i="1"/>
  <c r="A207" i="1"/>
  <c r="A208" i="1"/>
  <c r="A209" i="1"/>
  <c r="A210" i="1"/>
  <c r="A211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8" i="1"/>
  <c r="A419" i="1"/>
  <c r="A420" i="1"/>
  <c r="A421" i="1"/>
  <c r="A422" i="1"/>
  <c r="A423" i="1"/>
  <c r="A424" i="1"/>
  <c r="A425" i="1"/>
  <c r="A427" i="1"/>
  <c r="A428" i="1"/>
  <c r="A429" i="1"/>
  <c r="A430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B262" i="4"/>
  <c r="D262" i="4"/>
  <c r="E4" i="5"/>
  <c r="C318" i="4"/>
  <c r="C306" i="5"/>
  <c r="B127" i="4"/>
  <c r="C127" i="4"/>
  <c r="D297" i="1"/>
  <c r="D296" i="1"/>
  <c r="C394" i="7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Z322" i="1"/>
  <c r="BA322" i="1"/>
  <c r="BB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BC322" i="1"/>
  <c r="CT322" i="1"/>
  <c r="B303" i="4"/>
  <c r="T303" i="4"/>
  <c r="U303" i="4"/>
  <c r="AI303" i="4"/>
  <c r="B313" i="4"/>
  <c r="U313" i="4"/>
  <c r="A9" i="13"/>
  <c r="B9" i="13"/>
  <c r="C9" i="13"/>
  <c r="U318" i="4"/>
  <c r="AD306" i="5"/>
  <c r="T318" i="4"/>
  <c r="AC306" i="5"/>
  <c r="E9" i="13"/>
  <c r="F9" i="13"/>
  <c r="G9" i="13"/>
  <c r="H9" i="13"/>
  <c r="A80" i="2"/>
  <c r="AA80" i="2"/>
  <c r="AB80" i="2"/>
  <c r="B314" i="4"/>
  <c r="D314" i="4"/>
  <c r="E313" i="5"/>
  <c r="AC80" i="2"/>
  <c r="AD80" i="2"/>
  <c r="AE80" i="2"/>
  <c r="I314" i="4"/>
  <c r="L313" i="5"/>
  <c r="K313" i="5"/>
  <c r="AF80" i="2"/>
  <c r="AG80" i="2"/>
  <c r="AH80" i="2"/>
  <c r="AI80" i="2"/>
  <c r="AJ80" i="2"/>
  <c r="O313" i="5"/>
  <c r="J314" i="4"/>
  <c r="N313" i="5"/>
  <c r="AK80" i="2"/>
  <c r="M314" i="4"/>
  <c r="R313" i="5"/>
  <c r="L314" i="4"/>
  <c r="Q313" i="5"/>
  <c r="AL80" i="2"/>
  <c r="AM80" i="2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Z407" i="1"/>
  <c r="BA407" i="1"/>
  <c r="BB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BC407" i="1"/>
  <c r="CT407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Z408" i="1"/>
  <c r="BA408" i="1"/>
  <c r="BB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BC408" i="1"/>
  <c r="CT408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Z409" i="1"/>
  <c r="BA409" i="1"/>
  <c r="BB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BC409" i="1"/>
  <c r="CT409" i="1"/>
  <c r="A29" i="3"/>
  <c r="B29" i="3"/>
  <c r="C29" i="3"/>
  <c r="AI273" i="4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D199" i="1"/>
  <c r="AF199" i="1"/>
  <c r="AH199" i="1"/>
  <c r="AJ199" i="1"/>
  <c r="AL199" i="1"/>
  <c r="AN199" i="1"/>
  <c r="AP199" i="1"/>
  <c r="AR199" i="1"/>
  <c r="AT199" i="1"/>
  <c r="AV199" i="1"/>
  <c r="AX199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D200" i="1"/>
  <c r="AF200" i="1"/>
  <c r="AH200" i="1"/>
  <c r="AJ200" i="1"/>
  <c r="AL200" i="1"/>
  <c r="AN200" i="1"/>
  <c r="AP200" i="1"/>
  <c r="AR200" i="1"/>
  <c r="AT200" i="1"/>
  <c r="AV200" i="1"/>
  <c r="AX200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AR428" i="1"/>
  <c r="AT428" i="1"/>
  <c r="AV428" i="1"/>
  <c r="AX428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AR429" i="1"/>
  <c r="AT429" i="1"/>
  <c r="AV429" i="1"/>
  <c r="AX429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AR430" i="1"/>
  <c r="AT430" i="1"/>
  <c r="AV430" i="1"/>
  <c r="AX430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AR432" i="1"/>
  <c r="AT432" i="1"/>
  <c r="AV432" i="1"/>
  <c r="AX432" i="1"/>
  <c r="D433" i="1"/>
  <c r="F433" i="1"/>
  <c r="H433" i="1"/>
  <c r="J433" i="1"/>
  <c r="L433" i="1"/>
  <c r="N433" i="1"/>
  <c r="P433" i="1"/>
  <c r="R433" i="1"/>
  <c r="T433" i="1"/>
  <c r="V433" i="1"/>
  <c r="X433" i="1"/>
  <c r="Z433" i="1"/>
  <c r="AB433" i="1"/>
  <c r="AD433" i="1"/>
  <c r="AF433" i="1"/>
  <c r="AH433" i="1"/>
  <c r="AJ433" i="1"/>
  <c r="AL433" i="1"/>
  <c r="AN433" i="1"/>
  <c r="AP433" i="1"/>
  <c r="AR433" i="1"/>
  <c r="AT433" i="1"/>
  <c r="AV433" i="1"/>
  <c r="AX433" i="1"/>
  <c r="D434" i="1"/>
  <c r="F434" i="1"/>
  <c r="H434" i="1"/>
  <c r="J434" i="1"/>
  <c r="L434" i="1"/>
  <c r="N434" i="1"/>
  <c r="P434" i="1"/>
  <c r="R434" i="1"/>
  <c r="T434" i="1"/>
  <c r="V434" i="1"/>
  <c r="X434" i="1"/>
  <c r="Z434" i="1"/>
  <c r="AB434" i="1"/>
  <c r="AD434" i="1"/>
  <c r="AF434" i="1"/>
  <c r="AH434" i="1"/>
  <c r="AJ434" i="1"/>
  <c r="AL434" i="1"/>
  <c r="AN434" i="1"/>
  <c r="AP434" i="1"/>
  <c r="AR434" i="1"/>
  <c r="AT434" i="1"/>
  <c r="AV434" i="1"/>
  <c r="AX434" i="1"/>
  <c r="D435" i="1"/>
  <c r="F435" i="1"/>
  <c r="H435" i="1"/>
  <c r="J435" i="1"/>
  <c r="L435" i="1"/>
  <c r="N435" i="1"/>
  <c r="P435" i="1"/>
  <c r="R435" i="1"/>
  <c r="T435" i="1"/>
  <c r="V435" i="1"/>
  <c r="X435" i="1"/>
  <c r="Z435" i="1"/>
  <c r="AB435" i="1"/>
  <c r="AD435" i="1"/>
  <c r="AF435" i="1"/>
  <c r="AH435" i="1"/>
  <c r="AJ435" i="1"/>
  <c r="AL435" i="1"/>
  <c r="AN435" i="1"/>
  <c r="AP435" i="1"/>
  <c r="AR435" i="1"/>
  <c r="AT435" i="1"/>
  <c r="AV435" i="1"/>
  <c r="AX435" i="1"/>
  <c r="D436" i="1"/>
  <c r="F436" i="1"/>
  <c r="H436" i="1"/>
  <c r="J436" i="1"/>
  <c r="L436" i="1"/>
  <c r="N436" i="1"/>
  <c r="P436" i="1"/>
  <c r="R436" i="1"/>
  <c r="T436" i="1"/>
  <c r="V436" i="1"/>
  <c r="X436" i="1"/>
  <c r="Z436" i="1"/>
  <c r="AB436" i="1"/>
  <c r="AD436" i="1"/>
  <c r="AF436" i="1"/>
  <c r="AH436" i="1"/>
  <c r="AJ436" i="1"/>
  <c r="AL436" i="1"/>
  <c r="AN436" i="1"/>
  <c r="AP436" i="1"/>
  <c r="AR436" i="1"/>
  <c r="AT436" i="1"/>
  <c r="AV436" i="1"/>
  <c r="AX436" i="1"/>
  <c r="D437" i="1"/>
  <c r="F437" i="1"/>
  <c r="H437" i="1"/>
  <c r="J437" i="1"/>
  <c r="L437" i="1"/>
  <c r="N437" i="1"/>
  <c r="P437" i="1"/>
  <c r="R437" i="1"/>
  <c r="T437" i="1"/>
  <c r="V437" i="1"/>
  <c r="X437" i="1"/>
  <c r="Z437" i="1"/>
  <c r="AB437" i="1"/>
  <c r="AD437" i="1"/>
  <c r="AF437" i="1"/>
  <c r="AH437" i="1"/>
  <c r="AJ437" i="1"/>
  <c r="AL437" i="1"/>
  <c r="AN437" i="1"/>
  <c r="AP437" i="1"/>
  <c r="AR437" i="1"/>
  <c r="AT437" i="1"/>
  <c r="AV437" i="1"/>
  <c r="AX437" i="1"/>
  <c r="D438" i="1"/>
  <c r="F438" i="1"/>
  <c r="H438" i="1"/>
  <c r="J438" i="1"/>
  <c r="L438" i="1"/>
  <c r="N438" i="1"/>
  <c r="P438" i="1"/>
  <c r="R438" i="1"/>
  <c r="T438" i="1"/>
  <c r="V438" i="1"/>
  <c r="X438" i="1"/>
  <c r="Z438" i="1"/>
  <c r="AB438" i="1"/>
  <c r="AD438" i="1"/>
  <c r="AF438" i="1"/>
  <c r="AH438" i="1"/>
  <c r="AJ438" i="1"/>
  <c r="AL438" i="1"/>
  <c r="AN438" i="1"/>
  <c r="AP438" i="1"/>
  <c r="AR438" i="1"/>
  <c r="AT438" i="1"/>
  <c r="AV438" i="1"/>
  <c r="AX438" i="1"/>
  <c r="D439" i="1"/>
  <c r="F439" i="1"/>
  <c r="H439" i="1"/>
  <c r="J439" i="1"/>
  <c r="L439" i="1"/>
  <c r="N439" i="1"/>
  <c r="P439" i="1"/>
  <c r="R439" i="1"/>
  <c r="T439" i="1"/>
  <c r="V439" i="1"/>
  <c r="X439" i="1"/>
  <c r="Z439" i="1"/>
  <c r="AB439" i="1"/>
  <c r="AD439" i="1"/>
  <c r="AF439" i="1"/>
  <c r="AH439" i="1"/>
  <c r="AJ439" i="1"/>
  <c r="AL439" i="1"/>
  <c r="AN439" i="1"/>
  <c r="AP439" i="1"/>
  <c r="AR439" i="1"/>
  <c r="AT439" i="1"/>
  <c r="AV439" i="1"/>
  <c r="AX439" i="1"/>
  <c r="D440" i="1"/>
  <c r="F440" i="1"/>
  <c r="H440" i="1"/>
  <c r="J440" i="1"/>
  <c r="L440" i="1"/>
  <c r="N440" i="1"/>
  <c r="P440" i="1"/>
  <c r="R440" i="1"/>
  <c r="T440" i="1"/>
  <c r="V440" i="1"/>
  <c r="X440" i="1"/>
  <c r="Z440" i="1"/>
  <c r="AB440" i="1"/>
  <c r="AD440" i="1"/>
  <c r="AF440" i="1"/>
  <c r="AH440" i="1"/>
  <c r="AJ440" i="1"/>
  <c r="AL440" i="1"/>
  <c r="AN440" i="1"/>
  <c r="AP440" i="1"/>
  <c r="AR440" i="1"/>
  <c r="AT440" i="1"/>
  <c r="AV440" i="1"/>
  <c r="AX440" i="1"/>
  <c r="D441" i="1"/>
  <c r="F441" i="1"/>
  <c r="H441" i="1"/>
  <c r="J441" i="1"/>
  <c r="L441" i="1"/>
  <c r="N441" i="1"/>
  <c r="P441" i="1"/>
  <c r="R441" i="1"/>
  <c r="T441" i="1"/>
  <c r="V441" i="1"/>
  <c r="X441" i="1"/>
  <c r="Z441" i="1"/>
  <c r="AB441" i="1"/>
  <c r="AD441" i="1"/>
  <c r="AF441" i="1"/>
  <c r="AH441" i="1"/>
  <c r="AJ441" i="1"/>
  <c r="AL441" i="1"/>
  <c r="AN441" i="1"/>
  <c r="AP441" i="1"/>
  <c r="AR441" i="1"/>
  <c r="AT441" i="1"/>
  <c r="AV441" i="1"/>
  <c r="AX441" i="1"/>
  <c r="D442" i="1"/>
  <c r="F442" i="1"/>
  <c r="H442" i="1"/>
  <c r="J442" i="1"/>
  <c r="L442" i="1"/>
  <c r="N442" i="1"/>
  <c r="P442" i="1"/>
  <c r="R442" i="1"/>
  <c r="T442" i="1"/>
  <c r="V442" i="1"/>
  <c r="X442" i="1"/>
  <c r="Z442" i="1"/>
  <c r="AB442" i="1"/>
  <c r="AD442" i="1"/>
  <c r="AF442" i="1"/>
  <c r="AH442" i="1"/>
  <c r="AJ442" i="1"/>
  <c r="AL442" i="1"/>
  <c r="AN442" i="1"/>
  <c r="AP442" i="1"/>
  <c r="AR442" i="1"/>
  <c r="AT442" i="1"/>
  <c r="AV442" i="1"/>
  <c r="AX442" i="1"/>
  <c r="D443" i="1"/>
  <c r="F443" i="1"/>
  <c r="H443" i="1"/>
  <c r="J443" i="1"/>
  <c r="L443" i="1"/>
  <c r="N443" i="1"/>
  <c r="P443" i="1"/>
  <c r="R443" i="1"/>
  <c r="T443" i="1"/>
  <c r="V443" i="1"/>
  <c r="X443" i="1"/>
  <c r="Z443" i="1"/>
  <c r="AB443" i="1"/>
  <c r="AD443" i="1"/>
  <c r="AF443" i="1"/>
  <c r="AH443" i="1"/>
  <c r="AJ443" i="1"/>
  <c r="AL443" i="1"/>
  <c r="AN443" i="1"/>
  <c r="AP443" i="1"/>
  <c r="AR443" i="1"/>
  <c r="AT443" i="1"/>
  <c r="AV443" i="1"/>
  <c r="AX443" i="1"/>
  <c r="D444" i="1"/>
  <c r="F444" i="1"/>
  <c r="H444" i="1"/>
  <c r="J444" i="1"/>
  <c r="L444" i="1"/>
  <c r="N444" i="1"/>
  <c r="P444" i="1"/>
  <c r="R444" i="1"/>
  <c r="T444" i="1"/>
  <c r="V444" i="1"/>
  <c r="X444" i="1"/>
  <c r="Z444" i="1"/>
  <c r="AB444" i="1"/>
  <c r="AD444" i="1"/>
  <c r="AF444" i="1"/>
  <c r="AH444" i="1"/>
  <c r="AJ444" i="1"/>
  <c r="AL444" i="1"/>
  <c r="AN444" i="1"/>
  <c r="AP444" i="1"/>
  <c r="AR444" i="1"/>
  <c r="AT444" i="1"/>
  <c r="AV444" i="1"/>
  <c r="AX444" i="1"/>
  <c r="D445" i="1"/>
  <c r="F445" i="1"/>
  <c r="H445" i="1"/>
  <c r="J445" i="1"/>
  <c r="L445" i="1"/>
  <c r="N445" i="1"/>
  <c r="P445" i="1"/>
  <c r="R445" i="1"/>
  <c r="T445" i="1"/>
  <c r="V445" i="1"/>
  <c r="X445" i="1"/>
  <c r="Z445" i="1"/>
  <c r="AB445" i="1"/>
  <c r="AD445" i="1"/>
  <c r="AF445" i="1"/>
  <c r="AH445" i="1"/>
  <c r="AJ445" i="1"/>
  <c r="AL445" i="1"/>
  <c r="AN445" i="1"/>
  <c r="AP445" i="1"/>
  <c r="AR445" i="1"/>
  <c r="AT445" i="1"/>
  <c r="AV445" i="1"/>
  <c r="AX445" i="1"/>
  <c r="D446" i="1"/>
  <c r="F446" i="1"/>
  <c r="H446" i="1"/>
  <c r="J446" i="1"/>
  <c r="L446" i="1"/>
  <c r="N446" i="1"/>
  <c r="P446" i="1"/>
  <c r="R446" i="1"/>
  <c r="T446" i="1"/>
  <c r="V446" i="1"/>
  <c r="X446" i="1"/>
  <c r="Z446" i="1"/>
  <c r="AB446" i="1"/>
  <c r="AD446" i="1"/>
  <c r="AF446" i="1"/>
  <c r="AH446" i="1"/>
  <c r="AJ446" i="1"/>
  <c r="AL446" i="1"/>
  <c r="AN446" i="1"/>
  <c r="AP446" i="1"/>
  <c r="AR446" i="1"/>
  <c r="AT446" i="1"/>
  <c r="AV446" i="1"/>
  <c r="AX446" i="1"/>
  <c r="D447" i="1"/>
  <c r="F447" i="1"/>
  <c r="H447" i="1"/>
  <c r="J447" i="1"/>
  <c r="L447" i="1"/>
  <c r="N447" i="1"/>
  <c r="P447" i="1"/>
  <c r="R447" i="1"/>
  <c r="T447" i="1"/>
  <c r="V447" i="1"/>
  <c r="X447" i="1"/>
  <c r="Z447" i="1"/>
  <c r="AB447" i="1"/>
  <c r="AD447" i="1"/>
  <c r="AF447" i="1"/>
  <c r="AH447" i="1"/>
  <c r="AJ447" i="1"/>
  <c r="AL447" i="1"/>
  <c r="AN447" i="1"/>
  <c r="AP447" i="1"/>
  <c r="AR447" i="1"/>
  <c r="AT447" i="1"/>
  <c r="AV447" i="1"/>
  <c r="AX447" i="1"/>
  <c r="D448" i="1"/>
  <c r="F448" i="1"/>
  <c r="H448" i="1"/>
  <c r="J448" i="1"/>
  <c r="L448" i="1"/>
  <c r="N448" i="1"/>
  <c r="P448" i="1"/>
  <c r="R448" i="1"/>
  <c r="T448" i="1"/>
  <c r="V448" i="1"/>
  <c r="X448" i="1"/>
  <c r="Z448" i="1"/>
  <c r="AB448" i="1"/>
  <c r="AD448" i="1"/>
  <c r="AF448" i="1"/>
  <c r="AH448" i="1"/>
  <c r="AJ448" i="1"/>
  <c r="AL448" i="1"/>
  <c r="AN448" i="1"/>
  <c r="AP448" i="1"/>
  <c r="AR448" i="1"/>
  <c r="AT448" i="1"/>
  <c r="AV448" i="1"/>
  <c r="AX448" i="1"/>
  <c r="D449" i="1"/>
  <c r="F449" i="1"/>
  <c r="H449" i="1"/>
  <c r="J449" i="1"/>
  <c r="L449" i="1"/>
  <c r="N449" i="1"/>
  <c r="P449" i="1"/>
  <c r="R449" i="1"/>
  <c r="T449" i="1"/>
  <c r="V449" i="1"/>
  <c r="X449" i="1"/>
  <c r="Z449" i="1"/>
  <c r="AB449" i="1"/>
  <c r="AD449" i="1"/>
  <c r="AF449" i="1"/>
  <c r="AH449" i="1"/>
  <c r="AJ449" i="1"/>
  <c r="AL449" i="1"/>
  <c r="AN449" i="1"/>
  <c r="AP449" i="1"/>
  <c r="AR449" i="1"/>
  <c r="AT449" i="1"/>
  <c r="AV449" i="1"/>
  <c r="AX449" i="1"/>
  <c r="D450" i="1"/>
  <c r="F450" i="1"/>
  <c r="H450" i="1"/>
  <c r="J450" i="1"/>
  <c r="L450" i="1"/>
  <c r="N450" i="1"/>
  <c r="P450" i="1"/>
  <c r="R450" i="1"/>
  <c r="T450" i="1"/>
  <c r="V450" i="1"/>
  <c r="X450" i="1"/>
  <c r="Z450" i="1"/>
  <c r="AB450" i="1"/>
  <c r="AD450" i="1"/>
  <c r="AF450" i="1"/>
  <c r="AH450" i="1"/>
  <c r="AJ450" i="1"/>
  <c r="AL450" i="1"/>
  <c r="AN450" i="1"/>
  <c r="AP450" i="1"/>
  <c r="AR450" i="1"/>
  <c r="AT450" i="1"/>
  <c r="AV450" i="1"/>
  <c r="AX450" i="1"/>
  <c r="D451" i="1"/>
  <c r="F451" i="1"/>
  <c r="H451" i="1"/>
  <c r="J451" i="1"/>
  <c r="L451" i="1"/>
  <c r="N451" i="1"/>
  <c r="P451" i="1"/>
  <c r="R451" i="1"/>
  <c r="T451" i="1"/>
  <c r="V451" i="1"/>
  <c r="X451" i="1"/>
  <c r="Z451" i="1"/>
  <c r="AB451" i="1"/>
  <c r="AD451" i="1"/>
  <c r="AF451" i="1"/>
  <c r="AH451" i="1"/>
  <c r="AJ451" i="1"/>
  <c r="AL451" i="1"/>
  <c r="AN451" i="1"/>
  <c r="AP451" i="1"/>
  <c r="AR451" i="1"/>
  <c r="AT451" i="1"/>
  <c r="AV451" i="1"/>
  <c r="AX451" i="1"/>
  <c r="D452" i="1"/>
  <c r="F452" i="1"/>
  <c r="H452" i="1"/>
  <c r="J452" i="1"/>
  <c r="L452" i="1"/>
  <c r="N452" i="1"/>
  <c r="P452" i="1"/>
  <c r="R452" i="1"/>
  <c r="T452" i="1"/>
  <c r="V452" i="1"/>
  <c r="X452" i="1"/>
  <c r="Z452" i="1"/>
  <c r="AB452" i="1"/>
  <c r="AD452" i="1"/>
  <c r="AF452" i="1"/>
  <c r="AH452" i="1"/>
  <c r="AJ452" i="1"/>
  <c r="AL452" i="1"/>
  <c r="AN452" i="1"/>
  <c r="AP452" i="1"/>
  <c r="AR452" i="1"/>
  <c r="AT452" i="1"/>
  <c r="AV452" i="1"/>
  <c r="AX452" i="1"/>
  <c r="D453" i="1"/>
  <c r="F453" i="1"/>
  <c r="H453" i="1"/>
  <c r="J453" i="1"/>
  <c r="L453" i="1"/>
  <c r="N453" i="1"/>
  <c r="P453" i="1"/>
  <c r="R453" i="1"/>
  <c r="T453" i="1"/>
  <c r="V453" i="1"/>
  <c r="X453" i="1"/>
  <c r="Z453" i="1"/>
  <c r="AB453" i="1"/>
  <c r="AD453" i="1"/>
  <c r="AF453" i="1"/>
  <c r="AH453" i="1"/>
  <c r="AJ453" i="1"/>
  <c r="AL453" i="1"/>
  <c r="AN453" i="1"/>
  <c r="AP453" i="1"/>
  <c r="AR453" i="1"/>
  <c r="AT453" i="1"/>
  <c r="AV453" i="1"/>
  <c r="AX453" i="1"/>
  <c r="D454" i="1"/>
  <c r="F454" i="1"/>
  <c r="H454" i="1"/>
  <c r="J454" i="1"/>
  <c r="L454" i="1"/>
  <c r="N454" i="1"/>
  <c r="P454" i="1"/>
  <c r="R454" i="1"/>
  <c r="T454" i="1"/>
  <c r="V454" i="1"/>
  <c r="X454" i="1"/>
  <c r="Z454" i="1"/>
  <c r="AB454" i="1"/>
  <c r="AD454" i="1"/>
  <c r="AF454" i="1"/>
  <c r="AH454" i="1"/>
  <c r="AJ454" i="1"/>
  <c r="AL454" i="1"/>
  <c r="AN454" i="1"/>
  <c r="AP454" i="1"/>
  <c r="AR454" i="1"/>
  <c r="AT454" i="1"/>
  <c r="AV454" i="1"/>
  <c r="AX454" i="1"/>
  <c r="D455" i="1"/>
  <c r="F455" i="1"/>
  <c r="H455" i="1"/>
  <c r="J455" i="1"/>
  <c r="L455" i="1"/>
  <c r="N455" i="1"/>
  <c r="P455" i="1"/>
  <c r="R455" i="1"/>
  <c r="T455" i="1"/>
  <c r="V455" i="1"/>
  <c r="X455" i="1"/>
  <c r="Z455" i="1"/>
  <c r="AB455" i="1"/>
  <c r="AD455" i="1"/>
  <c r="AF455" i="1"/>
  <c r="AH455" i="1"/>
  <c r="AJ455" i="1"/>
  <c r="AL455" i="1"/>
  <c r="AN455" i="1"/>
  <c r="AP455" i="1"/>
  <c r="AR455" i="1"/>
  <c r="AT455" i="1"/>
  <c r="AV455" i="1"/>
  <c r="AX455" i="1"/>
  <c r="D456" i="1"/>
  <c r="F456" i="1"/>
  <c r="H456" i="1"/>
  <c r="J456" i="1"/>
  <c r="L456" i="1"/>
  <c r="N456" i="1"/>
  <c r="P456" i="1"/>
  <c r="R456" i="1"/>
  <c r="T456" i="1"/>
  <c r="V456" i="1"/>
  <c r="X456" i="1"/>
  <c r="Z456" i="1"/>
  <c r="AB456" i="1"/>
  <c r="AD456" i="1"/>
  <c r="AF456" i="1"/>
  <c r="AH456" i="1"/>
  <c r="AJ456" i="1"/>
  <c r="AL456" i="1"/>
  <c r="AN456" i="1"/>
  <c r="AP456" i="1"/>
  <c r="AR456" i="1"/>
  <c r="AT456" i="1"/>
  <c r="AV456" i="1"/>
  <c r="AX456" i="1"/>
  <c r="D457" i="1"/>
  <c r="F457" i="1"/>
  <c r="H457" i="1"/>
  <c r="J457" i="1"/>
  <c r="L457" i="1"/>
  <c r="N457" i="1"/>
  <c r="P457" i="1"/>
  <c r="R457" i="1"/>
  <c r="T457" i="1"/>
  <c r="V457" i="1"/>
  <c r="X457" i="1"/>
  <c r="Z457" i="1"/>
  <c r="AB457" i="1"/>
  <c r="AD457" i="1"/>
  <c r="AF457" i="1"/>
  <c r="AH457" i="1"/>
  <c r="AJ457" i="1"/>
  <c r="AL457" i="1"/>
  <c r="AN457" i="1"/>
  <c r="AP457" i="1"/>
  <c r="AR457" i="1"/>
  <c r="AT457" i="1"/>
  <c r="AV457" i="1"/>
  <c r="AX457" i="1"/>
  <c r="D458" i="1"/>
  <c r="F458" i="1"/>
  <c r="H458" i="1"/>
  <c r="J458" i="1"/>
  <c r="L458" i="1"/>
  <c r="N458" i="1"/>
  <c r="P458" i="1"/>
  <c r="R458" i="1"/>
  <c r="T458" i="1"/>
  <c r="V458" i="1"/>
  <c r="X458" i="1"/>
  <c r="Z458" i="1"/>
  <c r="AB458" i="1"/>
  <c r="AD458" i="1"/>
  <c r="AF458" i="1"/>
  <c r="AH458" i="1"/>
  <c r="AJ458" i="1"/>
  <c r="AL458" i="1"/>
  <c r="AN458" i="1"/>
  <c r="AP458" i="1"/>
  <c r="AR458" i="1"/>
  <c r="AT458" i="1"/>
  <c r="AV458" i="1"/>
  <c r="AX458" i="1"/>
  <c r="D459" i="1"/>
  <c r="F459" i="1"/>
  <c r="H459" i="1"/>
  <c r="J459" i="1"/>
  <c r="L459" i="1"/>
  <c r="N459" i="1"/>
  <c r="P459" i="1"/>
  <c r="R459" i="1"/>
  <c r="T459" i="1"/>
  <c r="V459" i="1"/>
  <c r="X459" i="1"/>
  <c r="Z459" i="1"/>
  <c r="AB459" i="1"/>
  <c r="AD459" i="1"/>
  <c r="AF459" i="1"/>
  <c r="AH459" i="1"/>
  <c r="AJ459" i="1"/>
  <c r="AL459" i="1"/>
  <c r="AN459" i="1"/>
  <c r="AP459" i="1"/>
  <c r="AR459" i="1"/>
  <c r="AT459" i="1"/>
  <c r="AV459" i="1"/>
  <c r="AX459" i="1"/>
  <c r="D460" i="1"/>
  <c r="F460" i="1"/>
  <c r="H460" i="1"/>
  <c r="J460" i="1"/>
  <c r="L460" i="1"/>
  <c r="N460" i="1"/>
  <c r="P460" i="1"/>
  <c r="R460" i="1"/>
  <c r="T460" i="1"/>
  <c r="V460" i="1"/>
  <c r="X460" i="1"/>
  <c r="Z460" i="1"/>
  <c r="AB460" i="1"/>
  <c r="AD460" i="1"/>
  <c r="AF460" i="1"/>
  <c r="AH460" i="1"/>
  <c r="AJ460" i="1"/>
  <c r="AL460" i="1"/>
  <c r="AN460" i="1"/>
  <c r="AP460" i="1"/>
  <c r="AR460" i="1"/>
  <c r="AT460" i="1"/>
  <c r="AV460" i="1"/>
  <c r="AX460" i="1"/>
  <c r="D461" i="1"/>
  <c r="F461" i="1"/>
  <c r="H461" i="1"/>
  <c r="J461" i="1"/>
  <c r="L461" i="1"/>
  <c r="N461" i="1"/>
  <c r="P461" i="1"/>
  <c r="R461" i="1"/>
  <c r="T461" i="1"/>
  <c r="V461" i="1"/>
  <c r="X461" i="1"/>
  <c r="Z461" i="1"/>
  <c r="AB461" i="1"/>
  <c r="AD461" i="1"/>
  <c r="AF461" i="1"/>
  <c r="AH461" i="1"/>
  <c r="AJ461" i="1"/>
  <c r="AL461" i="1"/>
  <c r="AN461" i="1"/>
  <c r="AP461" i="1"/>
  <c r="AR461" i="1"/>
  <c r="AT461" i="1"/>
  <c r="AV461" i="1"/>
  <c r="AX461" i="1"/>
  <c r="D462" i="1"/>
  <c r="F462" i="1"/>
  <c r="H462" i="1"/>
  <c r="J462" i="1"/>
  <c r="L462" i="1"/>
  <c r="N462" i="1"/>
  <c r="P462" i="1"/>
  <c r="R462" i="1"/>
  <c r="T462" i="1"/>
  <c r="V462" i="1"/>
  <c r="X462" i="1"/>
  <c r="Z462" i="1"/>
  <c r="AB462" i="1"/>
  <c r="AD462" i="1"/>
  <c r="AF462" i="1"/>
  <c r="AH462" i="1"/>
  <c r="AJ462" i="1"/>
  <c r="AL462" i="1"/>
  <c r="AN462" i="1"/>
  <c r="AP462" i="1"/>
  <c r="AR462" i="1"/>
  <c r="AT462" i="1"/>
  <c r="AV462" i="1"/>
  <c r="AX462" i="1"/>
  <c r="D463" i="1"/>
  <c r="F463" i="1"/>
  <c r="H463" i="1"/>
  <c r="J463" i="1"/>
  <c r="L463" i="1"/>
  <c r="N463" i="1"/>
  <c r="P463" i="1"/>
  <c r="R463" i="1"/>
  <c r="T463" i="1"/>
  <c r="V463" i="1"/>
  <c r="X463" i="1"/>
  <c r="Z463" i="1"/>
  <c r="AB463" i="1"/>
  <c r="AD463" i="1"/>
  <c r="AF463" i="1"/>
  <c r="AH463" i="1"/>
  <c r="AJ463" i="1"/>
  <c r="AL463" i="1"/>
  <c r="AN463" i="1"/>
  <c r="AP463" i="1"/>
  <c r="AR463" i="1"/>
  <c r="AT463" i="1"/>
  <c r="AV463" i="1"/>
  <c r="AX463" i="1"/>
  <c r="D464" i="1"/>
  <c r="F464" i="1"/>
  <c r="H464" i="1"/>
  <c r="J464" i="1"/>
  <c r="L464" i="1"/>
  <c r="N464" i="1"/>
  <c r="P464" i="1"/>
  <c r="R464" i="1"/>
  <c r="T464" i="1"/>
  <c r="V464" i="1"/>
  <c r="X464" i="1"/>
  <c r="Z464" i="1"/>
  <c r="AB464" i="1"/>
  <c r="AD464" i="1"/>
  <c r="AF464" i="1"/>
  <c r="AH464" i="1"/>
  <c r="AJ464" i="1"/>
  <c r="AL464" i="1"/>
  <c r="AN464" i="1"/>
  <c r="AP464" i="1"/>
  <c r="AR464" i="1"/>
  <c r="AT464" i="1"/>
  <c r="AV464" i="1"/>
  <c r="AX464" i="1"/>
  <c r="U273" i="4" a="1"/>
  <c r="U273" i="4"/>
  <c r="AD51" i="5"/>
  <c r="T273" i="4" a="1"/>
  <c r="T273" i="4"/>
  <c r="AC51" i="5"/>
  <c r="AI21" i="4"/>
  <c r="AD91" i="5"/>
  <c r="T21" i="4" a="1"/>
  <c r="T21" i="4"/>
  <c r="AC91" i="5"/>
  <c r="E29" i="3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79" i="2"/>
  <c r="AA79" i="2"/>
  <c r="AB79" i="2"/>
  <c r="B108" i="4"/>
  <c r="D108" i="4"/>
  <c r="E60" i="5"/>
  <c r="AC79" i="2"/>
  <c r="AD79" i="2"/>
  <c r="AE79" i="2"/>
  <c r="H108" i="4"/>
  <c r="K60" i="5"/>
  <c r="AF79" i="2"/>
  <c r="AG79" i="2"/>
  <c r="AH79" i="2"/>
  <c r="AI79" i="2"/>
  <c r="AJ79" i="2"/>
  <c r="AK79" i="2"/>
  <c r="M108" i="4"/>
  <c r="R60" i="5"/>
  <c r="L108" i="4"/>
  <c r="Q60" i="5"/>
  <c r="AL79" i="2"/>
  <c r="AM79" i="2"/>
  <c r="AZ429" i="1"/>
  <c r="BA429" i="1"/>
  <c r="BB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BC429" i="1"/>
  <c r="CT429" i="1"/>
  <c r="AZ430" i="1"/>
  <c r="BA430" i="1"/>
  <c r="BB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BC430" i="1"/>
  <c r="CT430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B277" i="4"/>
  <c r="X277" i="4"/>
  <c r="B276" i="4"/>
  <c r="X276" i="4"/>
  <c r="B275" i="4"/>
  <c r="I275" i="4"/>
  <c r="I277" i="4"/>
  <c r="I276" i="4"/>
  <c r="B302" i="6"/>
  <c r="C302" i="6"/>
  <c r="D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C276" i="4"/>
  <c r="D276" i="4"/>
  <c r="E276" i="4"/>
  <c r="F276" i="4"/>
  <c r="J276" i="4"/>
  <c r="K276" i="4"/>
  <c r="L276" i="4"/>
  <c r="M276" i="4"/>
  <c r="N276" i="4"/>
  <c r="O276" i="4"/>
  <c r="P276" i="4"/>
  <c r="Q276" i="4"/>
  <c r="R276" i="4"/>
  <c r="AI276" i="4"/>
  <c r="T276" i="4" a="1"/>
  <c r="T276" i="4"/>
  <c r="U276" i="4" a="1"/>
  <c r="U276" i="4"/>
  <c r="Y276" i="4"/>
  <c r="Z276" i="4"/>
  <c r="AA276" i="4"/>
  <c r="AB276" i="4"/>
  <c r="AC276" i="4"/>
  <c r="AD276" i="4"/>
  <c r="AE276" i="4"/>
  <c r="AF276" i="4"/>
  <c r="AG276" i="4"/>
  <c r="AH276" i="4"/>
  <c r="AJ276" i="4"/>
  <c r="AK276" i="4"/>
  <c r="AL276" i="4"/>
  <c r="B302" i="5"/>
  <c r="C277" i="4"/>
  <c r="C302" i="5"/>
  <c r="D277" i="4"/>
  <c r="E302" i="5"/>
  <c r="F302" i="5"/>
  <c r="H302" i="5"/>
  <c r="I302" i="5"/>
  <c r="K302" i="5"/>
  <c r="L302" i="5"/>
  <c r="J277" i="4"/>
  <c r="N302" i="5"/>
  <c r="K277" i="4"/>
  <c r="O302" i="5"/>
  <c r="L277" i="4"/>
  <c r="Q302" i="5"/>
  <c r="M277" i="4"/>
  <c r="R302" i="5"/>
  <c r="N277" i="4"/>
  <c r="T302" i="5"/>
  <c r="O277" i="4"/>
  <c r="U302" i="5"/>
  <c r="P277" i="4"/>
  <c r="W302" i="5"/>
  <c r="Q277" i="4"/>
  <c r="X302" i="5"/>
  <c r="Z302" i="5"/>
  <c r="AA302" i="5"/>
  <c r="AI277" i="4"/>
  <c r="T277" i="4" a="1"/>
  <c r="T277" i="4"/>
  <c r="AC302" i="5"/>
  <c r="U277" i="4" a="1"/>
  <c r="U277" i="4"/>
  <c r="AD302" i="5"/>
  <c r="AF302" i="5"/>
  <c r="AG302" i="5"/>
  <c r="AI302" i="5"/>
  <c r="Y277" i="4"/>
  <c r="AJ302" i="5"/>
  <c r="Z277" i="4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D416" i="9"/>
  <c r="E416" i="9"/>
  <c r="F416" i="9"/>
  <c r="G416" i="9"/>
  <c r="H416" i="9"/>
  <c r="C418" i="7"/>
  <c r="D418" i="7"/>
  <c r="E418" i="7"/>
  <c r="B301" i="6"/>
  <c r="C301" i="6"/>
  <c r="D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E277" i="4"/>
  <c r="F277" i="4"/>
  <c r="R277" i="4"/>
  <c r="AA277" i="4"/>
  <c r="AB277" i="4"/>
  <c r="AC277" i="4"/>
  <c r="AD277" i="4"/>
  <c r="AE277" i="4"/>
  <c r="AF277" i="4"/>
  <c r="AG277" i="4"/>
  <c r="AH277" i="4"/>
  <c r="AJ277" i="4"/>
  <c r="AK277" i="4"/>
  <c r="AL277" i="4"/>
  <c r="L275" i="4"/>
  <c r="B3" i="4"/>
  <c r="L3" i="4"/>
  <c r="B301" i="5"/>
  <c r="C275" i="4"/>
  <c r="C301" i="5"/>
  <c r="D275" i="4"/>
  <c r="E301" i="5"/>
  <c r="F301" i="5"/>
  <c r="H301" i="5"/>
  <c r="I301" i="5"/>
  <c r="K301" i="5"/>
  <c r="L301" i="5"/>
  <c r="J275" i="4"/>
  <c r="N301" i="5"/>
  <c r="K275" i="4"/>
  <c r="O301" i="5"/>
  <c r="Q301" i="5"/>
  <c r="M275" i="4"/>
  <c r="R301" i="5"/>
  <c r="N275" i="4"/>
  <c r="T301" i="5"/>
  <c r="O275" i="4"/>
  <c r="U301" i="5"/>
  <c r="W301" i="5"/>
  <c r="Q275" i="4"/>
  <c r="X301" i="5"/>
  <c r="Z301" i="5"/>
  <c r="AA301" i="5"/>
  <c r="AI275" i="4"/>
  <c r="T275" i="4" a="1"/>
  <c r="T275" i="4"/>
  <c r="AC301" i="5"/>
  <c r="U275" i="4" a="1"/>
  <c r="U275" i="4"/>
  <c r="AD301" i="5"/>
  <c r="AF301" i="5"/>
  <c r="AG301" i="5"/>
  <c r="X275" i="4"/>
  <c r="AI301" i="5"/>
  <c r="Y275" i="4"/>
  <c r="AJ301" i="5"/>
  <c r="Z275" i="4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D415" i="9"/>
  <c r="E415" i="9"/>
  <c r="F415" i="9"/>
  <c r="G415" i="9"/>
  <c r="H415" i="9"/>
  <c r="C417" i="7"/>
  <c r="D417" i="7"/>
  <c r="E417" i="7"/>
  <c r="O300" i="5"/>
  <c r="K300" i="5"/>
  <c r="AG300" i="5"/>
  <c r="AF300" i="5"/>
  <c r="C300" i="5"/>
  <c r="E300" i="5"/>
  <c r="L300" i="5"/>
  <c r="N300" i="5"/>
  <c r="Q300" i="5"/>
  <c r="R300" i="5"/>
  <c r="T300" i="5"/>
  <c r="U300" i="5"/>
  <c r="W300" i="5"/>
  <c r="X300" i="5"/>
  <c r="AA300" i="5"/>
  <c r="AC300" i="5"/>
  <c r="AD300" i="5"/>
  <c r="AI300" i="5"/>
  <c r="AJ300" i="5"/>
  <c r="AL300" i="5"/>
  <c r="H300" i="5"/>
  <c r="I300" i="5"/>
  <c r="Z300" i="5"/>
  <c r="AN300" i="5"/>
  <c r="E275" i="4"/>
  <c r="F275" i="4"/>
  <c r="R275" i="4"/>
  <c r="AA275" i="4"/>
  <c r="AB275" i="4"/>
  <c r="AC275" i="4"/>
  <c r="AD275" i="4"/>
  <c r="AE275" i="4"/>
  <c r="AF275" i="4"/>
  <c r="AG275" i="4"/>
  <c r="AH275" i="4"/>
  <c r="AJ275" i="4"/>
  <c r="AK275" i="4"/>
  <c r="AL275" i="4"/>
  <c r="B300" i="5"/>
  <c r="B86" i="4"/>
  <c r="C86" i="4"/>
  <c r="D86" i="4"/>
  <c r="F300" i="5"/>
  <c r="I86" i="4"/>
  <c r="J86" i="4"/>
  <c r="L86" i="4"/>
  <c r="M86" i="4"/>
  <c r="N86" i="4"/>
  <c r="O86" i="4"/>
  <c r="P86" i="4"/>
  <c r="Q86" i="4"/>
  <c r="S86" i="4"/>
  <c r="AI86" i="4"/>
  <c r="T86" i="4" a="1"/>
  <c r="T86" i="4"/>
  <c r="X86" i="4"/>
  <c r="Y86" i="4"/>
  <c r="Z86" i="4"/>
  <c r="AM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D300" i="6"/>
  <c r="C300" i="6"/>
  <c r="B300" i="6"/>
  <c r="D414" i="9"/>
  <c r="E414" i="9"/>
  <c r="F414" i="9"/>
  <c r="G414" i="9"/>
  <c r="H414" i="9"/>
  <c r="E416" i="7"/>
  <c r="C416" i="7"/>
  <c r="D416" i="7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A78" i="2"/>
  <c r="AA78" i="2"/>
  <c r="AB78" i="2"/>
  <c r="B110" i="4"/>
  <c r="E110" i="4"/>
  <c r="F88" i="5"/>
  <c r="D110" i="4"/>
  <c r="E88" i="5"/>
  <c r="AC78" i="2"/>
  <c r="I88" i="5"/>
  <c r="F110" i="4"/>
  <c r="H88" i="5"/>
  <c r="AD78" i="2"/>
  <c r="AE78" i="2"/>
  <c r="H110" i="4"/>
  <c r="K88" i="5"/>
  <c r="L60" i="5"/>
  <c r="AF78" i="2"/>
  <c r="AG78" i="2"/>
  <c r="AH78" i="2"/>
  <c r="AI78" i="2"/>
  <c r="AJ78" i="2"/>
  <c r="N60" i="5"/>
  <c r="O60" i="5"/>
  <c r="AK78" i="2"/>
  <c r="M110" i="4"/>
  <c r="R88" i="5"/>
  <c r="L110" i="4"/>
  <c r="Q88" i="5"/>
  <c r="AL78" i="2"/>
  <c r="AM78" i="2"/>
  <c r="AZ95" i="1"/>
  <c r="BA95" i="1"/>
  <c r="BB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BC95" i="1"/>
  <c r="CT95" i="1"/>
  <c r="AZ96" i="1"/>
  <c r="BA96" i="1"/>
  <c r="BB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BC96" i="1"/>
  <c r="CT96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V110" i="4"/>
  <c r="B21" i="4"/>
  <c r="V21" i="4"/>
  <c r="A77" i="2"/>
  <c r="AA77" i="2"/>
  <c r="AB77" i="2"/>
  <c r="B180" i="4"/>
  <c r="E180" i="4"/>
  <c r="F87" i="5"/>
  <c r="D180" i="4"/>
  <c r="E87" i="5"/>
  <c r="AC77" i="2"/>
  <c r="I87" i="5"/>
  <c r="F180" i="4"/>
  <c r="H87" i="5"/>
  <c r="AD77" i="2"/>
  <c r="AE77" i="2"/>
  <c r="H180" i="4"/>
  <c r="K87" i="5"/>
  <c r="AF77" i="2"/>
  <c r="AG77" i="2"/>
  <c r="AH77" i="2"/>
  <c r="AI77" i="2"/>
  <c r="AJ77" i="2"/>
  <c r="AK77" i="2"/>
  <c r="M180" i="4"/>
  <c r="R87" i="5"/>
  <c r="L180" i="4"/>
  <c r="Q87" i="5"/>
  <c r="AL77" i="2"/>
  <c r="AM77" i="2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BC251" i="1"/>
  <c r="CT251" i="1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BC145" i="1"/>
  <c r="CT145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Z425" i="1"/>
  <c r="BA425" i="1"/>
  <c r="BB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BC425" i="1"/>
  <c r="CT425" i="1"/>
  <c r="AZ424" i="1"/>
  <c r="BA424" i="1"/>
  <c r="BB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BC424" i="1"/>
  <c r="CT424" i="1"/>
  <c r="S318" i="4"/>
  <c r="B317" i="4"/>
  <c r="S317" i="4"/>
  <c r="B316" i="4"/>
  <c r="S316" i="4"/>
  <c r="B315" i="4"/>
  <c r="S315" i="4"/>
  <c r="S314" i="4"/>
  <c r="S313" i="4"/>
  <c r="B312" i="4"/>
  <c r="S312" i="4"/>
  <c r="S303" i="4"/>
  <c r="B304" i="4"/>
  <c r="S304" i="4"/>
  <c r="B305" i="4"/>
  <c r="S305" i="4"/>
  <c r="B306" i="4"/>
  <c r="S306" i="4"/>
  <c r="B307" i="4"/>
  <c r="S307" i="4"/>
  <c r="B308" i="4"/>
  <c r="S308" i="4"/>
  <c r="B311" i="4"/>
  <c r="S311" i="4"/>
  <c r="B310" i="4"/>
  <c r="S310" i="4"/>
  <c r="B309" i="4"/>
  <c r="S309" i="4"/>
  <c r="B302" i="4"/>
  <c r="S302" i="4"/>
  <c r="AZ423" i="1"/>
  <c r="BA423" i="1"/>
  <c r="BB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BC423" i="1"/>
  <c r="CT423" i="1"/>
  <c r="B122" i="4"/>
  <c r="D122" i="4"/>
  <c r="B13" i="4"/>
  <c r="E13" i="4"/>
  <c r="F13" i="4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A76" i="2"/>
  <c r="AB76" i="2"/>
  <c r="B164" i="4"/>
  <c r="E164" i="4"/>
  <c r="F240" i="5"/>
  <c r="D164" i="4"/>
  <c r="E240" i="5"/>
  <c r="AC76" i="2"/>
  <c r="I240" i="5"/>
  <c r="F164" i="4"/>
  <c r="H240" i="5"/>
  <c r="AD76" i="2"/>
  <c r="AE76" i="2"/>
  <c r="H164" i="4"/>
  <c r="K240" i="5"/>
  <c r="AF76" i="2"/>
  <c r="AG76" i="2"/>
  <c r="AH76" i="2"/>
  <c r="AI76" i="2"/>
  <c r="AJ76" i="2"/>
  <c r="AK76" i="2"/>
  <c r="M164" i="4"/>
  <c r="R240" i="5"/>
  <c r="L164" i="4"/>
  <c r="Q240" i="5"/>
  <c r="AL76" i="2"/>
  <c r="AM76" i="2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Z384" i="1"/>
  <c r="BA384" i="1"/>
  <c r="BB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BC384" i="1"/>
  <c r="CT384" i="1"/>
  <c r="B260" i="6"/>
  <c r="C260" i="6"/>
  <c r="D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B240" i="5"/>
  <c r="B163" i="4"/>
  <c r="C163" i="4"/>
  <c r="C164" i="4"/>
  <c r="C240" i="5"/>
  <c r="D163" i="4"/>
  <c r="E163" i="4"/>
  <c r="F163" i="4"/>
  <c r="L240" i="5"/>
  <c r="N240" i="5"/>
  <c r="O240" i="5"/>
  <c r="L163" i="4"/>
  <c r="M163" i="4"/>
  <c r="N164" i="4"/>
  <c r="T240" i="5"/>
  <c r="O163" i="4"/>
  <c r="O164" i="4"/>
  <c r="U240" i="5"/>
  <c r="P163" i="4"/>
  <c r="P164" i="4"/>
  <c r="W240" i="5"/>
  <c r="Q163" i="4"/>
  <c r="Q164" i="4"/>
  <c r="X240" i="5"/>
  <c r="Z240" i="5"/>
  <c r="S163" i="4"/>
  <c r="S164" i="4"/>
  <c r="AA240" i="5"/>
  <c r="AI163" i="4"/>
  <c r="T163" i="4" a="1"/>
  <c r="T163" i="4"/>
  <c r="AI164" i="4"/>
  <c r="T164" i="4" a="1"/>
  <c r="T164" i="4"/>
  <c r="AC240" i="5"/>
  <c r="U163" i="4" a="1"/>
  <c r="U163" i="4"/>
  <c r="U164" i="4" a="1"/>
  <c r="U164" i="4"/>
  <c r="AD240" i="5"/>
  <c r="AF240" i="5"/>
  <c r="AG240" i="5"/>
  <c r="X163" i="4"/>
  <c r="X164" i="4"/>
  <c r="AI240" i="5"/>
  <c r="Y163" i="4"/>
  <c r="Y164" i="4"/>
  <c r="AJ240" i="5"/>
  <c r="Z163" i="4"/>
  <c r="Z164" i="4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I164" i="4"/>
  <c r="J164" i="4"/>
  <c r="R164" i="4"/>
  <c r="AA164" i="4"/>
  <c r="AB164" i="4"/>
  <c r="AC164" i="4"/>
  <c r="AD164" i="4"/>
  <c r="AE164" i="4"/>
  <c r="AF164" i="4"/>
  <c r="AG164" i="4"/>
  <c r="AH164" i="4"/>
  <c r="AJ164" i="4"/>
  <c r="AK164" i="4"/>
  <c r="AL164" i="4"/>
  <c r="AA75" i="2"/>
  <c r="AB75" i="2"/>
  <c r="B386" i="4"/>
  <c r="D386" i="4"/>
  <c r="E385" i="5"/>
  <c r="AC75" i="2"/>
  <c r="AD75" i="2"/>
  <c r="AE75" i="2"/>
  <c r="I386" i="4"/>
  <c r="L385" i="5"/>
  <c r="H386" i="4"/>
  <c r="K385" i="5"/>
  <c r="AF75" i="2"/>
  <c r="AG75" i="2"/>
  <c r="AH75" i="2"/>
  <c r="AI75" i="2"/>
  <c r="AJ75" i="2"/>
  <c r="K386" i="4"/>
  <c r="O385" i="5"/>
  <c r="J386" i="4"/>
  <c r="N385" i="5"/>
  <c r="AK75" i="2"/>
  <c r="M386" i="4"/>
  <c r="R385" i="5"/>
  <c r="L386" i="4"/>
  <c r="Q385" i="5"/>
  <c r="AL75" i="2"/>
  <c r="AM75" i="2"/>
  <c r="D335" i="9"/>
  <c r="E335" i="9"/>
  <c r="F335" i="9"/>
  <c r="G335" i="9"/>
  <c r="H335" i="9"/>
  <c r="C415" i="7"/>
  <c r="D415" i="7"/>
  <c r="E415" i="7"/>
  <c r="AZ382" i="1"/>
  <c r="BA382" i="1"/>
  <c r="BB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BC382" i="1"/>
  <c r="CT382" i="1"/>
  <c r="AZ383" i="1"/>
  <c r="BA383" i="1"/>
  <c r="BB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BC383" i="1"/>
  <c r="CT383" i="1"/>
  <c r="B385" i="6"/>
  <c r="C385" i="6"/>
  <c r="D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B385" i="5"/>
  <c r="B385" i="4"/>
  <c r="C385" i="4"/>
  <c r="C386" i="4"/>
  <c r="C385" i="5"/>
  <c r="D385" i="4"/>
  <c r="F385" i="5"/>
  <c r="H385" i="5"/>
  <c r="I385" i="5"/>
  <c r="H385" i="4"/>
  <c r="I385" i="4"/>
  <c r="J385" i="4"/>
  <c r="K385" i="4"/>
  <c r="L385" i="4"/>
  <c r="M385" i="4"/>
  <c r="N385" i="4"/>
  <c r="N386" i="4"/>
  <c r="T385" i="5"/>
  <c r="O385" i="4"/>
  <c r="O386" i="4"/>
  <c r="U385" i="5"/>
  <c r="P385" i="4"/>
  <c r="P386" i="4"/>
  <c r="W385" i="5"/>
  <c r="Q385" i="4"/>
  <c r="Q386" i="4"/>
  <c r="X385" i="5"/>
  <c r="Z385" i="5"/>
  <c r="S385" i="4"/>
  <c r="S386" i="4"/>
  <c r="AA385" i="5"/>
  <c r="T385" i="4"/>
  <c r="T386" i="4"/>
  <c r="AC385" i="5"/>
  <c r="U385" i="4"/>
  <c r="U386" i="4"/>
  <c r="AD385" i="5"/>
  <c r="V385" i="4"/>
  <c r="V386" i="4"/>
  <c r="AF385" i="5"/>
  <c r="W385" i="4"/>
  <c r="W386" i="4"/>
  <c r="AG385" i="5"/>
  <c r="X385" i="4"/>
  <c r="X386" i="4"/>
  <c r="AI385" i="5"/>
  <c r="Y385" i="4"/>
  <c r="Y386" i="4"/>
  <c r="AJ385" i="5"/>
  <c r="Z385" i="4"/>
  <c r="Z386" i="4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BD385" i="5"/>
  <c r="BE385" i="5"/>
  <c r="E386" i="4"/>
  <c r="F386" i="4"/>
  <c r="R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A74" i="2"/>
  <c r="AB74" i="2"/>
  <c r="B137" i="4"/>
  <c r="D137" i="4"/>
  <c r="E260" i="5"/>
  <c r="AC74" i="2"/>
  <c r="AD74" i="2"/>
  <c r="AE74" i="2"/>
  <c r="K260" i="5"/>
  <c r="AF74" i="2"/>
  <c r="AG74" i="2"/>
  <c r="AH74" i="2"/>
  <c r="AI74" i="2"/>
  <c r="AJ74" i="2"/>
  <c r="AK74" i="2"/>
  <c r="M137" i="4"/>
  <c r="R260" i="5"/>
  <c r="L137" i="4"/>
  <c r="Q260" i="5"/>
  <c r="AL74" i="2"/>
  <c r="AM74" i="2"/>
  <c r="A7" i="14"/>
  <c r="B7" i="14"/>
  <c r="C7" i="14"/>
  <c r="E7" i="14"/>
  <c r="F7" i="14"/>
  <c r="G7" i="14"/>
  <c r="H7" i="14"/>
  <c r="D408" i="9"/>
  <c r="E408" i="9"/>
  <c r="F408" i="9"/>
  <c r="G408" i="9"/>
  <c r="H408" i="9"/>
  <c r="C414" i="7"/>
  <c r="D414" i="7"/>
  <c r="E414" i="7"/>
  <c r="AZ460" i="1"/>
  <c r="BA460" i="1"/>
  <c r="BB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BC460" i="1"/>
  <c r="CT460" i="1"/>
  <c r="AZ461" i="1"/>
  <c r="BA461" i="1"/>
  <c r="BB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BC461" i="1"/>
  <c r="CT461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A73" i="2"/>
  <c r="AB73" i="2"/>
  <c r="B225" i="4"/>
  <c r="D225" i="4"/>
  <c r="E196" i="5"/>
  <c r="AC73" i="2"/>
  <c r="I196" i="5"/>
  <c r="AD73" i="2"/>
  <c r="AE73" i="2"/>
  <c r="H225" i="4"/>
  <c r="K196" i="5"/>
  <c r="AF73" i="2"/>
  <c r="AG73" i="2"/>
  <c r="AH73" i="2"/>
  <c r="AI73" i="2"/>
  <c r="AJ73" i="2"/>
  <c r="AK73" i="2"/>
  <c r="M225" i="4"/>
  <c r="R196" i="5"/>
  <c r="L225" i="4"/>
  <c r="Q196" i="5"/>
  <c r="AL73" i="2"/>
  <c r="AM73" i="2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I197" i="5"/>
  <c r="I198" i="5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A72" i="2"/>
  <c r="AB72" i="2"/>
  <c r="B72" i="4"/>
  <c r="D72" i="4"/>
  <c r="E191" i="5"/>
  <c r="AC72" i="2"/>
  <c r="AD72" i="2"/>
  <c r="AE72" i="2"/>
  <c r="H72" i="4"/>
  <c r="K191" i="5"/>
  <c r="AF72" i="2"/>
  <c r="AG72" i="2"/>
  <c r="AH72" i="2"/>
  <c r="AI72" i="2"/>
  <c r="AJ72" i="2"/>
  <c r="AK72" i="2"/>
  <c r="M72" i="4"/>
  <c r="R191" i="5"/>
  <c r="L72" i="4"/>
  <c r="Q191" i="5"/>
  <c r="AL72" i="2"/>
  <c r="AM72" i="2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T267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Z459" i="1"/>
  <c r="BA459" i="1"/>
  <c r="BB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BC459" i="1"/>
  <c r="CT459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BC86" i="1"/>
  <c r="CT86" i="1"/>
  <c r="AZ76" i="1"/>
  <c r="BA76" i="1"/>
  <c r="BB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BC76" i="1"/>
  <c r="CT76" i="1"/>
  <c r="AZ91" i="1"/>
  <c r="BA91" i="1"/>
  <c r="BB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BC91" i="1"/>
  <c r="CT91" i="1"/>
  <c r="AZ436" i="1"/>
  <c r="BA436" i="1"/>
  <c r="BB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BC436" i="1"/>
  <c r="CT436" i="1"/>
  <c r="AZ435" i="1"/>
  <c r="BA435" i="1"/>
  <c r="BB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BC435" i="1"/>
  <c r="CT435" i="1"/>
  <c r="AZ434" i="1"/>
  <c r="BA434" i="1"/>
  <c r="BB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BC434" i="1"/>
  <c r="CT434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A71" i="2"/>
  <c r="AB71" i="2"/>
  <c r="B71" i="4"/>
  <c r="D71" i="4"/>
  <c r="E190" i="5"/>
  <c r="AC71" i="2"/>
  <c r="AD71" i="2"/>
  <c r="AE71" i="2"/>
  <c r="H71" i="4"/>
  <c r="K190" i="5"/>
  <c r="AF71" i="2"/>
  <c r="AG71" i="2"/>
  <c r="AH71" i="2"/>
  <c r="AI71" i="2"/>
  <c r="AJ71" i="2"/>
  <c r="AK71" i="2"/>
  <c r="M71" i="4"/>
  <c r="R190" i="5"/>
  <c r="L71" i="4"/>
  <c r="Q190" i="5"/>
  <c r="AL71" i="2"/>
  <c r="AM71" i="2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BC248" i="1"/>
  <c r="AZ248" i="1"/>
  <c r="BA248" i="1"/>
  <c r="BB248" i="1"/>
  <c r="S71" i="4"/>
  <c r="AA70" i="2"/>
  <c r="AB70" i="2"/>
  <c r="B53" i="4"/>
  <c r="D53" i="4"/>
  <c r="E43" i="5"/>
  <c r="AC70" i="2"/>
  <c r="AD70" i="2"/>
  <c r="AE70" i="2"/>
  <c r="H53" i="4"/>
  <c r="K43" i="5"/>
  <c r="AF70" i="2"/>
  <c r="AG70" i="2"/>
  <c r="AH70" i="2"/>
  <c r="AI70" i="2"/>
  <c r="AJ70" i="2"/>
  <c r="AK70" i="2"/>
  <c r="M53" i="4"/>
  <c r="R43" i="5"/>
  <c r="L53" i="4"/>
  <c r="Q43" i="5"/>
  <c r="AL70" i="2"/>
  <c r="AM70" i="2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247" i="1"/>
  <c r="BA247" i="1"/>
  <c r="BB247" i="1"/>
  <c r="CT247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A69" i="2"/>
  <c r="AB69" i="2"/>
  <c r="D21" i="4"/>
  <c r="E91" i="5"/>
  <c r="AC69" i="2"/>
  <c r="AD69" i="2"/>
  <c r="AE69" i="2"/>
  <c r="L91" i="5"/>
  <c r="K91" i="5"/>
  <c r="AF69" i="2"/>
  <c r="AG69" i="2"/>
  <c r="AH69" i="2"/>
  <c r="AI69" i="2"/>
  <c r="AJ69" i="2"/>
  <c r="O91" i="5"/>
  <c r="N91" i="5"/>
  <c r="AK69" i="2"/>
  <c r="L21" i="4"/>
  <c r="Q91" i="5"/>
  <c r="AL69" i="2"/>
  <c r="AM69" i="2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21" i="4"/>
  <c r="AA68" i="2"/>
  <c r="AB68" i="2"/>
  <c r="B378" i="4"/>
  <c r="D378" i="4"/>
  <c r="E378" i="5"/>
  <c r="AC68" i="2"/>
  <c r="AD68" i="2"/>
  <c r="AE68" i="2"/>
  <c r="I378" i="4"/>
  <c r="L378" i="5"/>
  <c r="H378" i="4"/>
  <c r="K378" i="5"/>
  <c r="AF68" i="2"/>
  <c r="AG68" i="2"/>
  <c r="AH68" i="2"/>
  <c r="AI68" i="2"/>
  <c r="AJ68" i="2"/>
  <c r="K378" i="4"/>
  <c r="O378" i="5"/>
  <c r="J378" i="4"/>
  <c r="N378" i="5"/>
  <c r="AK68" i="2"/>
  <c r="M378" i="4"/>
  <c r="R378" i="5"/>
  <c r="L378" i="4"/>
  <c r="Q378" i="5"/>
  <c r="R91" i="5"/>
  <c r="AL68" i="2"/>
  <c r="AM68" i="2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V378" i="4"/>
  <c r="AA67" i="2"/>
  <c r="AB67" i="2"/>
  <c r="B119" i="4"/>
  <c r="E119" i="4"/>
  <c r="F241" i="5"/>
  <c r="D119" i="4"/>
  <c r="E241" i="5"/>
  <c r="AC67" i="2"/>
  <c r="I241" i="5"/>
  <c r="F119" i="4"/>
  <c r="H241" i="5"/>
  <c r="AD67" i="2"/>
  <c r="AE67" i="2"/>
  <c r="K241" i="5"/>
  <c r="AF67" i="2"/>
  <c r="AG67" i="2"/>
  <c r="AH67" i="2"/>
  <c r="AI67" i="2"/>
  <c r="AJ67" i="2"/>
  <c r="AK67" i="2"/>
  <c r="M119" i="4"/>
  <c r="R241" i="5"/>
  <c r="L119" i="4"/>
  <c r="Q241" i="5"/>
  <c r="AL67" i="2"/>
  <c r="AM67" i="2"/>
  <c r="AZ447" i="1"/>
  <c r="BA447" i="1"/>
  <c r="BB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BC447" i="1"/>
  <c r="CT447" i="1"/>
  <c r="AZ448" i="1"/>
  <c r="BA448" i="1"/>
  <c r="BB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BC448" i="1"/>
  <c r="CT448" i="1"/>
  <c r="AZ446" i="1"/>
  <c r="BA446" i="1"/>
  <c r="BB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BC446" i="1"/>
  <c r="CT446" i="1"/>
  <c r="AZ445" i="1"/>
  <c r="BA445" i="1"/>
  <c r="BB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BC445" i="1"/>
  <c r="CT445" i="1"/>
  <c r="AZ396" i="1"/>
  <c r="BA396" i="1"/>
  <c r="BB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BC396" i="1"/>
  <c r="CT396" i="1"/>
  <c r="B265" i="4"/>
  <c r="N265" i="4"/>
  <c r="B266" i="4"/>
  <c r="N266" i="4"/>
  <c r="N226" i="5"/>
  <c r="L226" i="5"/>
  <c r="B229" i="4"/>
  <c r="J229" i="4"/>
  <c r="B289" i="4"/>
  <c r="W289" i="4"/>
  <c r="B139" i="4"/>
  <c r="W139" i="4"/>
  <c r="B92" i="4"/>
  <c r="W92" i="4"/>
  <c r="B222" i="4"/>
  <c r="W222" i="4"/>
  <c r="B30" i="4"/>
  <c r="W30" i="4"/>
  <c r="B2" i="4"/>
  <c r="W2" i="4"/>
  <c r="B18" i="4"/>
  <c r="W18" i="4"/>
  <c r="B19" i="4"/>
  <c r="W19" i="4"/>
  <c r="B20" i="4"/>
  <c r="W20" i="4"/>
  <c r="B146" i="4"/>
  <c r="W146" i="4"/>
  <c r="B192" i="4"/>
  <c r="W192" i="4"/>
  <c r="B130" i="4"/>
  <c r="W130" i="4"/>
  <c r="B151" i="4"/>
  <c r="W151" i="4"/>
  <c r="B256" i="4"/>
  <c r="W256" i="4"/>
  <c r="B48" i="4"/>
  <c r="W48" i="4"/>
  <c r="B198" i="4"/>
  <c r="W198" i="4"/>
  <c r="B118" i="4"/>
  <c r="W118" i="4"/>
  <c r="B100" i="4"/>
  <c r="W100" i="4"/>
  <c r="B227" i="4"/>
  <c r="W227" i="4"/>
  <c r="B152" i="4"/>
  <c r="W152" i="4"/>
  <c r="B153" i="4"/>
  <c r="W153" i="4"/>
  <c r="B5" i="4"/>
  <c r="W5" i="4"/>
  <c r="B221" i="4"/>
  <c r="W221" i="4"/>
  <c r="B61" i="4"/>
  <c r="W61" i="4"/>
  <c r="B291" i="4"/>
  <c r="W291" i="4"/>
  <c r="B238" i="4"/>
  <c r="W238" i="4"/>
  <c r="B121" i="4"/>
  <c r="W121" i="4"/>
  <c r="B22" i="4"/>
  <c r="W22" i="4"/>
  <c r="B23" i="4"/>
  <c r="W23" i="4"/>
  <c r="B297" i="4"/>
  <c r="W297" i="4"/>
  <c r="B292" i="4"/>
  <c r="W292" i="4"/>
  <c r="B124" i="4"/>
  <c r="W124" i="4"/>
  <c r="B125" i="4"/>
  <c r="W125" i="4"/>
  <c r="B6" i="4"/>
  <c r="W6" i="4"/>
  <c r="B7" i="4"/>
  <c r="W7" i="4"/>
  <c r="B8" i="4"/>
  <c r="W8" i="4"/>
  <c r="B9" i="4"/>
  <c r="W9" i="4"/>
  <c r="B301" i="4"/>
  <c r="W301" i="4"/>
  <c r="W71" i="4"/>
  <c r="W72" i="4"/>
  <c r="B73" i="4"/>
  <c r="W73" i="4"/>
  <c r="B191" i="4"/>
  <c r="W191" i="4"/>
  <c r="B129" i="4"/>
  <c r="W129" i="4"/>
  <c r="B263" i="4"/>
  <c r="W263" i="4"/>
  <c r="B280" i="4"/>
  <c r="W280" i="4"/>
  <c r="B270" i="4"/>
  <c r="W270" i="4"/>
  <c r="B244" i="4"/>
  <c r="W244" i="4"/>
  <c r="B230" i="4"/>
  <c r="W230" i="4"/>
  <c r="B196" i="4"/>
  <c r="W196" i="4"/>
  <c r="B101" i="4"/>
  <c r="W101" i="4"/>
  <c r="B202" i="4"/>
  <c r="W202" i="4"/>
  <c r="B203" i="4"/>
  <c r="W203" i="4"/>
  <c r="B274" i="4"/>
  <c r="W274" i="4"/>
  <c r="B149" i="4"/>
  <c r="W149" i="4"/>
  <c r="B150" i="4"/>
  <c r="W150" i="4"/>
  <c r="W229" i="4"/>
  <c r="B133" i="4"/>
  <c r="W133" i="4"/>
  <c r="B190" i="4"/>
  <c r="W190" i="4"/>
  <c r="S190" i="4"/>
  <c r="AZ117" i="1"/>
  <c r="BA117" i="1"/>
  <c r="BB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BC117" i="1"/>
  <c r="CT117" i="1"/>
  <c r="AZ393" i="1"/>
  <c r="BA393" i="1"/>
  <c r="BB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BC393" i="1"/>
  <c r="CT393" i="1"/>
  <c r="AA66" i="2"/>
  <c r="AB66" i="2"/>
  <c r="E133" i="4"/>
  <c r="F226" i="5"/>
  <c r="D133" i="4"/>
  <c r="E226" i="5"/>
  <c r="AC66" i="2"/>
  <c r="I226" i="5"/>
  <c r="F133" i="4"/>
  <c r="H226" i="5"/>
  <c r="AD66" i="2"/>
  <c r="AE66" i="2"/>
  <c r="I133" i="4"/>
  <c r="H133" i="4"/>
  <c r="K226" i="5"/>
  <c r="L241" i="5"/>
  <c r="AF66" i="2"/>
  <c r="AG66" i="2"/>
  <c r="AH66" i="2"/>
  <c r="AI66" i="2"/>
  <c r="AJ66" i="2"/>
  <c r="O226" i="5"/>
  <c r="J133" i="4"/>
  <c r="AK66" i="2"/>
  <c r="M133" i="4"/>
  <c r="R226" i="5"/>
  <c r="L133" i="4"/>
  <c r="Q226" i="5"/>
  <c r="AL66" i="2"/>
  <c r="AM66" i="2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BC391" i="1"/>
  <c r="CT391" i="1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BC392" i="1"/>
  <c r="CT392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A64" i="2"/>
  <c r="AB64" i="2"/>
  <c r="B271" i="4"/>
  <c r="E271" i="4"/>
  <c r="F225" i="5"/>
  <c r="D271" i="4"/>
  <c r="E225" i="5"/>
  <c r="AC64" i="2"/>
  <c r="I225" i="5"/>
  <c r="F271" i="4"/>
  <c r="H225" i="5"/>
  <c r="AD64" i="2"/>
  <c r="AE64" i="2"/>
  <c r="H271" i="4"/>
  <c r="K225" i="5"/>
  <c r="L225" i="5"/>
  <c r="AF64" i="2"/>
  <c r="AG64" i="2"/>
  <c r="AH64" i="2"/>
  <c r="AI64" i="2"/>
  <c r="AJ64" i="2"/>
  <c r="N225" i="5"/>
  <c r="O225" i="5"/>
  <c r="AK64" i="2"/>
  <c r="M271" i="4"/>
  <c r="R225" i="5"/>
  <c r="L271" i="4"/>
  <c r="Q225" i="5"/>
  <c r="AL64" i="2"/>
  <c r="AM64" i="2"/>
  <c r="AG171" i="5"/>
  <c r="AF171" i="5"/>
  <c r="C171" i="5"/>
  <c r="D127" i="4"/>
  <c r="E171" i="5"/>
  <c r="K171" i="5"/>
  <c r="L127" i="4"/>
  <c r="Q171" i="5"/>
  <c r="M127" i="4"/>
  <c r="R171" i="5"/>
  <c r="T171" i="5"/>
  <c r="U171" i="5"/>
  <c r="P127" i="4"/>
  <c r="W171" i="5"/>
  <c r="Q127" i="4"/>
  <c r="X171" i="5"/>
  <c r="AA171" i="5"/>
  <c r="AI127" i="4"/>
  <c r="T127" i="4" a="1"/>
  <c r="T127" i="4"/>
  <c r="AC171" i="5"/>
  <c r="U127" i="4" a="1"/>
  <c r="U127" i="4"/>
  <c r="AD171" i="5"/>
  <c r="X127" i="4"/>
  <c r="AI171" i="5"/>
  <c r="Y127" i="4"/>
  <c r="AJ171" i="5"/>
  <c r="Z127" i="4"/>
  <c r="AL171" i="5"/>
  <c r="AN171" i="5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D78" i="5"/>
  <c r="AI173" i="4"/>
  <c r="A6" i="3"/>
  <c r="A7" i="3"/>
  <c r="A8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6" i="3"/>
  <c r="A27" i="3"/>
  <c r="A28" i="3"/>
  <c r="A30" i="3"/>
  <c r="A31" i="3"/>
  <c r="A32" i="3"/>
  <c r="A33" i="3"/>
  <c r="A34" i="3"/>
  <c r="A35" i="3"/>
  <c r="A36" i="3"/>
  <c r="A37" i="3"/>
  <c r="A38" i="3"/>
  <c r="A39" i="3"/>
  <c r="T173" i="4" a="1"/>
  <c r="T173" i="4"/>
  <c r="AC78" i="5"/>
  <c r="AI178" i="4"/>
  <c r="U178" i="4" a="1"/>
  <c r="U178" i="4"/>
  <c r="AD85" i="5"/>
  <c r="T178" i="4" a="1"/>
  <c r="T178" i="4"/>
  <c r="AC85" i="5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BC367" i="1"/>
  <c r="CT367" i="1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BC369" i="1"/>
  <c r="CT369" i="1"/>
  <c r="AZ372" i="1"/>
  <c r="BA372" i="1"/>
  <c r="BB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BC372" i="1"/>
  <c r="CT372" i="1"/>
  <c r="AA65" i="2"/>
  <c r="AB65" i="2"/>
  <c r="D190" i="4"/>
  <c r="E281" i="5"/>
  <c r="AC65" i="2"/>
  <c r="AD65" i="2"/>
  <c r="AE65" i="2"/>
  <c r="H190" i="4"/>
  <c r="K281" i="5"/>
  <c r="AF65" i="2"/>
  <c r="AG65" i="2"/>
  <c r="AH65" i="2"/>
  <c r="AI65" i="2"/>
  <c r="AJ65" i="2"/>
  <c r="AK65" i="2"/>
  <c r="M190" i="4"/>
  <c r="R281" i="5"/>
  <c r="L190" i="4"/>
  <c r="Q281" i="5"/>
  <c r="AL65" i="2"/>
  <c r="AM65" i="2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BC371" i="1"/>
  <c r="CT371" i="1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BC366" i="1"/>
  <c r="CT366" i="1"/>
  <c r="AA63" i="2"/>
  <c r="AB63" i="2"/>
  <c r="D305" i="4"/>
  <c r="E314" i="5"/>
  <c r="AC63" i="2"/>
  <c r="AD63" i="2"/>
  <c r="AE63" i="2"/>
  <c r="I305" i="4"/>
  <c r="L314" i="5"/>
  <c r="K314" i="5"/>
  <c r="AF63" i="2"/>
  <c r="AG63" i="2"/>
  <c r="AH63" i="2"/>
  <c r="AI63" i="2"/>
  <c r="AJ63" i="2"/>
  <c r="O314" i="5"/>
  <c r="J305" i="4"/>
  <c r="N314" i="5"/>
  <c r="AK63" i="2"/>
  <c r="M305" i="4"/>
  <c r="R314" i="5"/>
  <c r="L305" i="4"/>
  <c r="Q314" i="5"/>
  <c r="AL63" i="2"/>
  <c r="AM63" i="2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BC85" i="1"/>
  <c r="CT85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BC81" i="1"/>
  <c r="CT81" i="1"/>
  <c r="AZ224" i="1"/>
  <c r="BA224" i="1"/>
  <c r="BB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BC224" i="1"/>
  <c r="CT224" i="1"/>
  <c r="AZ223" i="1"/>
  <c r="BA223" i="1"/>
  <c r="BB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BC223" i="1"/>
  <c r="CT223" i="1"/>
  <c r="AA62" i="2"/>
  <c r="AB62" i="2"/>
  <c r="B282" i="4"/>
  <c r="E282" i="4"/>
  <c r="F222" i="5"/>
  <c r="D282" i="4"/>
  <c r="E222" i="5"/>
  <c r="AC62" i="2"/>
  <c r="I222" i="5"/>
  <c r="F282" i="4"/>
  <c r="H222" i="5"/>
  <c r="AD62" i="2"/>
  <c r="AE62" i="2"/>
  <c r="H282" i="4"/>
  <c r="K222" i="5"/>
  <c r="AF62" i="2"/>
  <c r="AG62" i="2"/>
  <c r="AH62" i="2"/>
  <c r="AI62" i="2"/>
  <c r="AJ62" i="2"/>
  <c r="AK62" i="2"/>
  <c r="M282" i="4"/>
  <c r="R222" i="5"/>
  <c r="L282" i="4"/>
  <c r="Q222" i="5"/>
  <c r="AL62" i="2"/>
  <c r="AM62" i="2"/>
  <c r="AZ433" i="1"/>
  <c r="BA433" i="1"/>
  <c r="BB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BC433" i="1"/>
  <c r="CT433" i="1"/>
  <c r="AZ432" i="1"/>
  <c r="BA432" i="1"/>
  <c r="BB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BC432" i="1"/>
  <c r="CT432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Z116" i="1"/>
  <c r="BA116" i="1"/>
  <c r="BB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BC116" i="1"/>
  <c r="CT116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AZ113" i="1"/>
  <c r="BA113" i="1"/>
  <c r="BB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CT113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AZ370" i="1"/>
  <c r="BA370" i="1"/>
  <c r="BB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BC370" i="1"/>
  <c r="CT370" i="1"/>
  <c r="X282" i="4"/>
  <c r="AA61" i="2"/>
  <c r="AB61" i="2"/>
  <c r="D304" i="4"/>
  <c r="E304" i="5"/>
  <c r="AC61" i="2"/>
  <c r="AD61" i="2"/>
  <c r="AE61" i="2"/>
  <c r="I304" i="4"/>
  <c r="L304" i="5"/>
  <c r="K304" i="5"/>
  <c r="L222" i="5"/>
  <c r="AF61" i="2"/>
  <c r="AG61" i="2"/>
  <c r="AH61" i="2"/>
  <c r="AI61" i="2"/>
  <c r="AJ61" i="2"/>
  <c r="O304" i="5"/>
  <c r="J304" i="4"/>
  <c r="N304" i="5"/>
  <c r="N222" i="5"/>
  <c r="O222" i="5"/>
  <c r="AK61" i="2"/>
  <c r="M304" i="4"/>
  <c r="R304" i="5"/>
  <c r="L304" i="4"/>
  <c r="Q304" i="5"/>
  <c r="AL61" i="2"/>
  <c r="AM61" i="2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BC365" i="1"/>
  <c r="CT365" i="1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A60" i="2"/>
  <c r="AB60" i="2"/>
  <c r="E299" i="5"/>
  <c r="AC60" i="2"/>
  <c r="AD60" i="2"/>
  <c r="AE60" i="2"/>
  <c r="L299" i="5"/>
  <c r="K299" i="5"/>
  <c r="AF60" i="2"/>
  <c r="AG60" i="2"/>
  <c r="AH60" i="2"/>
  <c r="AI60" i="2"/>
  <c r="AJ60" i="2"/>
  <c r="O299" i="5"/>
  <c r="N299" i="5"/>
  <c r="AK60" i="2"/>
  <c r="R299" i="5"/>
  <c r="Q299" i="5"/>
  <c r="AL60" i="2"/>
  <c r="AM60" i="2"/>
  <c r="AZ398" i="1"/>
  <c r="BA398" i="1"/>
  <c r="BB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BC398" i="1"/>
  <c r="CT398" i="1"/>
  <c r="AZ397" i="1"/>
  <c r="BA397" i="1"/>
  <c r="BB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BC397" i="1"/>
  <c r="CT397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9" i="9"/>
  <c r="H410" i="9"/>
  <c r="H411" i="9"/>
  <c r="H412" i="9"/>
  <c r="H413" i="9"/>
  <c r="H2" i="9"/>
  <c r="AL106" i="4"/>
  <c r="A6" i="14"/>
  <c r="H6" i="14"/>
  <c r="G6" i="14"/>
  <c r="F6" i="14"/>
  <c r="AD384" i="5"/>
  <c r="AC384" i="5"/>
  <c r="E6" i="14"/>
  <c r="C6" i="14"/>
  <c r="B6" i="14"/>
  <c r="A8" i="13"/>
  <c r="H8" i="13"/>
  <c r="G8" i="13"/>
  <c r="F8" i="13"/>
  <c r="U308" i="4"/>
  <c r="AD307" i="5"/>
  <c r="T308" i="4"/>
  <c r="AC307" i="5"/>
  <c r="E8" i="13"/>
  <c r="C8" i="13"/>
  <c r="B8" i="13"/>
  <c r="A7" i="13"/>
  <c r="H7" i="13"/>
  <c r="G7" i="13"/>
  <c r="F7" i="13"/>
  <c r="AD312" i="5"/>
  <c r="T313" i="4"/>
  <c r="AC312" i="5"/>
  <c r="E7" i="13"/>
  <c r="C7" i="13"/>
  <c r="B7" i="13"/>
  <c r="A6" i="13"/>
  <c r="H6" i="13"/>
  <c r="G6" i="13"/>
  <c r="F6" i="13"/>
  <c r="U311" i="4"/>
  <c r="AD310" i="5"/>
  <c r="T311" i="4"/>
  <c r="AC310" i="5"/>
  <c r="E6" i="13"/>
  <c r="C6" i="13"/>
  <c r="B6" i="13"/>
  <c r="B299" i="6"/>
  <c r="C299" i="6"/>
  <c r="D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F299" i="5"/>
  <c r="B299" i="5"/>
  <c r="B87" i="4"/>
  <c r="C87" i="4"/>
  <c r="C299" i="5"/>
  <c r="D87" i="4"/>
  <c r="H299" i="5"/>
  <c r="I299" i="5"/>
  <c r="I87" i="4"/>
  <c r="J87" i="4"/>
  <c r="L87" i="4"/>
  <c r="M87" i="4"/>
  <c r="N87" i="4"/>
  <c r="T299" i="5"/>
  <c r="O87" i="4"/>
  <c r="U299" i="5"/>
  <c r="P87" i="4"/>
  <c r="W299" i="5"/>
  <c r="Q87" i="4"/>
  <c r="X299" i="5"/>
  <c r="Z299" i="5"/>
  <c r="S87" i="4"/>
  <c r="AA299" i="5"/>
  <c r="AI87" i="4"/>
  <c r="T87" i="4" a="1"/>
  <c r="T87" i="4"/>
  <c r="AC299" i="5"/>
  <c r="AD299" i="5"/>
  <c r="AF299" i="5"/>
  <c r="AG299" i="5"/>
  <c r="X87" i="4"/>
  <c r="AI299" i="5"/>
  <c r="Y87" i="4"/>
  <c r="AJ299" i="5"/>
  <c r="Z87" i="4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E86" i="4"/>
  <c r="F86" i="4"/>
  <c r="R86" i="4"/>
  <c r="AA86" i="4"/>
  <c r="AB86" i="4"/>
  <c r="AC86" i="4"/>
  <c r="AD86" i="4"/>
  <c r="AE86" i="4"/>
  <c r="AF86" i="4"/>
  <c r="AG86" i="4"/>
  <c r="AH86" i="4"/>
  <c r="AJ86" i="4"/>
  <c r="AK86" i="4"/>
  <c r="AL86" i="4"/>
  <c r="AA59" i="2"/>
  <c r="AB59" i="2"/>
  <c r="B246" i="4"/>
  <c r="E246" i="4"/>
  <c r="F230" i="5"/>
  <c r="D246" i="4"/>
  <c r="E230" i="5"/>
  <c r="AC59" i="2"/>
  <c r="I230" i="5"/>
  <c r="F246" i="4"/>
  <c r="H230" i="5"/>
  <c r="AD59" i="2"/>
  <c r="AE59" i="2"/>
  <c r="H246" i="4"/>
  <c r="K230" i="5"/>
  <c r="AF59" i="2"/>
  <c r="AG59" i="2"/>
  <c r="AH59" i="2"/>
  <c r="AI59" i="2"/>
  <c r="AJ59" i="2"/>
  <c r="AK59" i="2"/>
  <c r="M246" i="4"/>
  <c r="R230" i="5"/>
  <c r="L246" i="4"/>
  <c r="Q230" i="5"/>
  <c r="AL59" i="2"/>
  <c r="AM59" i="2"/>
  <c r="D413" i="9"/>
  <c r="E413" i="9"/>
  <c r="F413" i="9"/>
  <c r="G413" i="9"/>
  <c r="AZ390" i="1"/>
  <c r="BA390" i="1"/>
  <c r="BB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BC390" i="1"/>
  <c r="CT390" i="1"/>
  <c r="AZ389" i="1"/>
  <c r="BA389" i="1"/>
  <c r="BB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BC389" i="1"/>
  <c r="CT389" i="1"/>
  <c r="AZ388" i="1"/>
  <c r="BA388" i="1"/>
  <c r="BB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BC388" i="1"/>
  <c r="CT388" i="1"/>
  <c r="C124" i="7"/>
  <c r="D124" i="7"/>
  <c r="E124" i="7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BC375" i="1"/>
  <c r="CT375" i="1"/>
  <c r="AB16" i="4"/>
  <c r="AB27" i="4"/>
  <c r="AB32" i="4"/>
  <c r="AB33" i="4"/>
  <c r="AB13" i="4"/>
  <c r="AB34" i="4"/>
  <c r="AB17" i="4"/>
  <c r="AB19" i="4"/>
  <c r="AB20" i="4"/>
  <c r="AB63" i="4"/>
  <c r="AB30" i="4"/>
  <c r="AB2" i="4"/>
  <c r="AB65" i="4"/>
  <c r="AB272" i="4"/>
  <c r="AB273" i="4"/>
  <c r="AB289" i="4"/>
  <c r="AB205" i="4"/>
  <c r="AB169" i="4"/>
  <c r="AB102" i="4"/>
  <c r="AB176" i="4"/>
  <c r="AB90" i="4"/>
  <c r="AB136" i="4"/>
  <c r="AB178" i="4"/>
  <c r="AB137" i="4"/>
  <c r="AB138" i="4"/>
  <c r="AB179" i="4"/>
  <c r="AB91" i="4"/>
  <c r="AB181" i="4"/>
  <c r="AB182" i="4"/>
  <c r="AB120" i="4"/>
  <c r="AB111" i="4"/>
  <c r="AB236" i="4"/>
  <c r="AB61" i="4"/>
  <c r="AB3" i="4"/>
  <c r="AB31" i="4"/>
  <c r="AB87" i="4"/>
  <c r="AB25" i="4"/>
  <c r="AB175" i="4"/>
  <c r="AB177" i="4"/>
  <c r="AB209" i="4"/>
  <c r="AB40" i="4"/>
  <c r="AB21" i="4"/>
  <c r="AB261" i="4"/>
  <c r="AB295" i="4"/>
  <c r="AB238" i="4"/>
  <c r="AB240" i="4"/>
  <c r="AB223" i="4"/>
  <c r="AB184" i="4"/>
  <c r="AB278" i="4"/>
  <c r="AB57" i="4"/>
  <c r="AB42" i="4"/>
  <c r="AB43" i="4"/>
  <c r="AB44" i="4"/>
  <c r="AB189" i="4"/>
  <c r="AB253" i="4"/>
  <c r="AB224" i="4"/>
  <c r="AB127" i="4"/>
  <c r="AB70" i="4"/>
  <c r="AB14" i="4"/>
  <c r="AB146" i="4"/>
  <c r="AB192" i="4"/>
  <c r="AB149" i="4"/>
  <c r="AB150" i="4"/>
  <c r="AB227" i="4"/>
  <c r="AB151" i="4"/>
  <c r="AB152" i="4"/>
  <c r="AB153" i="4"/>
  <c r="AB194" i="4"/>
  <c r="AB216" i="4"/>
  <c r="AB232" i="4"/>
  <c r="AB134" i="4"/>
  <c r="AB45" i="4"/>
  <c r="AB46" i="4"/>
  <c r="AB47" i="4"/>
  <c r="AB48" i="4"/>
  <c r="AB49" i="4"/>
  <c r="AB197" i="4"/>
  <c r="AB198" i="4"/>
  <c r="AB118" i="4"/>
  <c r="AB162" i="4"/>
  <c r="AB100" i="4"/>
  <c r="AB163" i="4"/>
  <c r="AB101" i="4"/>
  <c r="AB50" i="4"/>
  <c r="AB51" i="4"/>
  <c r="AB52" i="4"/>
  <c r="AB58" i="4"/>
  <c r="AB36" i="4"/>
  <c r="AB260" i="4"/>
  <c r="AB89" i="4"/>
  <c r="AB219" i="4"/>
  <c r="AB103" i="4"/>
  <c r="AB104" i="4"/>
  <c r="AB105" i="4"/>
  <c r="AB106" i="4"/>
  <c r="AB107" i="4"/>
  <c r="AB108" i="4"/>
  <c r="AB37" i="4"/>
  <c r="AB38" i="4"/>
  <c r="AB39" i="4"/>
  <c r="AB109" i="4"/>
  <c r="AB60" i="4"/>
  <c r="AB55" i="4"/>
  <c r="AB170" i="4"/>
  <c r="AB171" i="4"/>
  <c r="AB172" i="4"/>
  <c r="AB206" i="4"/>
  <c r="AB207" i="4"/>
  <c r="AB220" i="4"/>
  <c r="AB267" i="4"/>
  <c r="AB135" i="4"/>
  <c r="AB208" i="4"/>
  <c r="AB248" i="4"/>
  <c r="AB302" i="4"/>
  <c r="AB173" i="4"/>
  <c r="AB174" i="4"/>
  <c r="AB221" i="4"/>
  <c r="AB180" i="4"/>
  <c r="AB110" i="4"/>
  <c r="AB293" i="4"/>
  <c r="AB10" i="4"/>
  <c r="AB268" i="4"/>
  <c r="AB291" i="4"/>
  <c r="AB283" i="4"/>
  <c r="AB250" i="4"/>
  <c r="AB237" i="4"/>
  <c r="AB284" i="4"/>
  <c r="AB285" i="4"/>
  <c r="AB286" i="4"/>
  <c r="AB139" i="4"/>
  <c r="AB92" i="4"/>
  <c r="AB93" i="4"/>
  <c r="AB121" i="4"/>
  <c r="AB239" i="4"/>
  <c r="AB269" i="4"/>
  <c r="AB76" i="4"/>
  <c r="AB56" i="4"/>
  <c r="AB29" i="4"/>
  <c r="AB140" i="4"/>
  <c r="AB77" i="4"/>
  <c r="AB78" i="4"/>
  <c r="AB141" i="4"/>
  <c r="AB142" i="4"/>
  <c r="AB143" i="4"/>
  <c r="AB241" i="4"/>
  <c r="AB97" i="4"/>
  <c r="AB79" i="4"/>
  <c r="AB64" i="4"/>
  <c r="AB80" i="4"/>
  <c r="AB262" i="4"/>
  <c r="AB113" i="4"/>
  <c r="AB185" i="4"/>
  <c r="AB114" i="4"/>
  <c r="AB290" i="4"/>
  <c r="AB122" i="4"/>
  <c r="AB292" i="4"/>
  <c r="AB123" i="4"/>
  <c r="AB242" i="4"/>
  <c r="AB124" i="4"/>
  <c r="AB81" i="4"/>
  <c r="AB125" i="4"/>
  <c r="AB187" i="4"/>
  <c r="AB251" i="4"/>
  <c r="AB300" i="4"/>
  <c r="AB144" i="4"/>
  <c r="AB252" i="4"/>
  <c r="AB82" i="4"/>
  <c r="AB83" i="4"/>
  <c r="AB84" i="4"/>
  <c r="AB115" i="4"/>
  <c r="AB126" i="4"/>
  <c r="AB116" i="4"/>
  <c r="AB98" i="4"/>
  <c r="AB4" i="4"/>
  <c r="AB145" i="4"/>
  <c r="AB128" i="4"/>
  <c r="AB15" i="4"/>
  <c r="AB24" i="4"/>
  <c r="AB18" i="4"/>
  <c r="AB301" i="4"/>
  <c r="AB71" i="4"/>
  <c r="AB72" i="4"/>
  <c r="AB73" i="4"/>
  <c r="AB190" i="4"/>
  <c r="AB191" i="4"/>
  <c r="AB129" i="4"/>
  <c r="AB243" i="4"/>
  <c r="AB279" i="4"/>
  <c r="AB287" i="4"/>
  <c r="AB130" i="4"/>
  <c r="AB274" i="4"/>
  <c r="AB263" i="4"/>
  <c r="AB280" i="4"/>
  <c r="AB270" i="4"/>
  <c r="AB281" i="4"/>
  <c r="AB131" i="4"/>
  <c r="AB147" i="4"/>
  <c r="AB148" i="4"/>
  <c r="AB210" i="4"/>
  <c r="AB211" i="4"/>
  <c r="AB212" i="4"/>
  <c r="AB213" i="4"/>
  <c r="AB214" i="4"/>
  <c r="AB215" i="4"/>
  <c r="AB265" i="4"/>
  <c r="AB266" i="4"/>
  <c r="AB74" i="4"/>
  <c r="AB155" i="4"/>
  <c r="AB132" i="4"/>
  <c r="AB193" i="4"/>
  <c r="AB156" i="4"/>
  <c r="AB157" i="4"/>
  <c r="AB158" i="4"/>
  <c r="AB256" i="4"/>
  <c r="AB288" i="4"/>
  <c r="AB159" i="4"/>
  <c r="AB160" i="4"/>
  <c r="AB161" i="4"/>
  <c r="AB228" i="4"/>
  <c r="AB229" i="4"/>
  <c r="AB244" i="4"/>
  <c r="AB230" i="4"/>
  <c r="AB282" i="4"/>
  <c r="AB133" i="4"/>
  <c r="AB245" i="4"/>
  <c r="AB246" i="4"/>
  <c r="AB247" i="4"/>
  <c r="AB259" i="4"/>
  <c r="AB117" i="4"/>
  <c r="AB218" i="4"/>
  <c r="AB199" i="4"/>
  <c r="AB200" i="4"/>
  <c r="AB165" i="4"/>
  <c r="AB166" i="4"/>
  <c r="AB167" i="4"/>
  <c r="AB168" i="4"/>
  <c r="AB201" i="4"/>
  <c r="AB202" i="4"/>
  <c r="AB203" i="4"/>
  <c r="AB204" i="4"/>
  <c r="AB53" i="4"/>
  <c r="AB88" i="4"/>
  <c r="AB59" i="4"/>
  <c r="AB54" i="4"/>
  <c r="AB26" i="4"/>
  <c r="AB12" i="4"/>
  <c r="AB28" i="4"/>
  <c r="AB22" i="4"/>
  <c r="AB23" i="4"/>
  <c r="AB298" i="4"/>
  <c r="AB41" i="4"/>
  <c r="AB299" i="4"/>
  <c r="AB35" i="4"/>
  <c r="AB254" i="4"/>
  <c r="AB255" i="4"/>
  <c r="AB154" i="4"/>
  <c r="AB196" i="4"/>
  <c r="AB297" i="4"/>
  <c r="AB95" i="4"/>
  <c r="AB294" i="4"/>
  <c r="AB186" i="4"/>
  <c r="AB225" i="4"/>
  <c r="AB226" i="4"/>
  <c r="AB264" i="4"/>
  <c r="AB257" i="4"/>
  <c r="AB258" i="4"/>
  <c r="AB112" i="4"/>
  <c r="AB66" i="4"/>
  <c r="AB94" i="4"/>
  <c r="AB11" i="4"/>
  <c r="AB188" i="4"/>
  <c r="AB85" i="4"/>
  <c r="AB271" i="4"/>
  <c r="AB217" i="4"/>
  <c r="AB119" i="4"/>
  <c r="AB249" i="4"/>
  <c r="AB96" i="4"/>
  <c r="AB7" i="4"/>
  <c r="AB195" i="4"/>
  <c r="AB5" i="4"/>
  <c r="AB6" i="4"/>
  <c r="AB8" i="4"/>
  <c r="AB9" i="4"/>
  <c r="AB231" i="4"/>
  <c r="AB62" i="4"/>
  <c r="AB67" i="4"/>
  <c r="AB68" i="4"/>
  <c r="AB99" i="4"/>
  <c r="AB69" i="4"/>
  <c r="AB233" i="4"/>
  <c r="AB234" i="4"/>
  <c r="AB75" i="4"/>
  <c r="AB222" i="4"/>
  <c r="AB296" i="4"/>
  <c r="AB183" i="4"/>
  <c r="AB318" i="4"/>
  <c r="AB317" i="4"/>
  <c r="AB303" i="4"/>
  <c r="AB304" i="4"/>
  <c r="AB309" i="4"/>
  <c r="AB314" i="4"/>
  <c r="AB315" i="4"/>
  <c r="AB307" i="4"/>
  <c r="AB316" i="4"/>
  <c r="AB310" i="4"/>
  <c r="AB308" i="4"/>
  <c r="AB311" i="4"/>
  <c r="AB312" i="4"/>
  <c r="AB313" i="4"/>
  <c r="AB306" i="4"/>
  <c r="AB305" i="4"/>
  <c r="AB334" i="4"/>
  <c r="AB335" i="4"/>
  <c r="AB321" i="4"/>
  <c r="AB322" i="4"/>
  <c r="AB323" i="4"/>
  <c r="AB324" i="4"/>
  <c r="AB325" i="4"/>
  <c r="AB319" i="4"/>
  <c r="AB326" i="4"/>
  <c r="AB327" i="4"/>
  <c r="AB328" i="4"/>
  <c r="AB329" i="4"/>
  <c r="AB336" i="4"/>
  <c r="AB331" i="4"/>
  <c r="AB332" i="4"/>
  <c r="AB333" i="4"/>
  <c r="AB339" i="4"/>
  <c r="AB320" i="4"/>
  <c r="AB337" i="4"/>
  <c r="AB349" i="4"/>
  <c r="AB347" i="4"/>
  <c r="AB345" i="4"/>
  <c r="AB344" i="4"/>
  <c r="AB346" i="4"/>
  <c r="AB330" i="4"/>
  <c r="AB348" i="4"/>
  <c r="AB350" i="4"/>
  <c r="AB338" i="4"/>
  <c r="AB343" i="4"/>
  <c r="AB340" i="4"/>
  <c r="AB341" i="4"/>
  <c r="AB342" i="4"/>
  <c r="AB351" i="4"/>
  <c r="AB358" i="4"/>
  <c r="AB372" i="4"/>
  <c r="AB373" i="4"/>
  <c r="AB352" i="4"/>
  <c r="AB364" i="4"/>
  <c r="AB353" i="4"/>
  <c r="AB357" i="4"/>
  <c r="AB355" i="4"/>
  <c r="AB359" i="4"/>
  <c r="AB360" i="4"/>
  <c r="AB365" i="4"/>
  <c r="AB356" i="4"/>
  <c r="AB366" i="4"/>
  <c r="AB367" i="4"/>
  <c r="AB368" i="4"/>
  <c r="AB354" i="4"/>
  <c r="AB361" i="4"/>
  <c r="AB363" i="4"/>
  <c r="AB362" i="4"/>
  <c r="AB371" i="4"/>
  <c r="AB369" i="4"/>
  <c r="AB370" i="4"/>
  <c r="AB379" i="4"/>
  <c r="AB375" i="4"/>
  <c r="AB383" i="4"/>
  <c r="AB374" i="4"/>
  <c r="AB376" i="4"/>
  <c r="AB378" i="4"/>
  <c r="AB381" i="4"/>
  <c r="AB385" i="4"/>
  <c r="AB384" i="4"/>
  <c r="AB377" i="4"/>
  <c r="AB380" i="4"/>
  <c r="AB382" i="4"/>
  <c r="AB387" i="4"/>
  <c r="AB388" i="4"/>
  <c r="AB389" i="4"/>
  <c r="AB390" i="4"/>
  <c r="AB391" i="4"/>
  <c r="AB407" i="4"/>
  <c r="AB405" i="4"/>
  <c r="AB392" i="4"/>
  <c r="AB394" i="4"/>
  <c r="AB395" i="4"/>
  <c r="AB396" i="4"/>
  <c r="AB397" i="4"/>
  <c r="AB398" i="4"/>
  <c r="AB399" i="4"/>
  <c r="AB400" i="4"/>
  <c r="AB401" i="4"/>
  <c r="AB402" i="4"/>
  <c r="AB393" i="4"/>
  <c r="AB403" i="4"/>
  <c r="AB404" i="4"/>
  <c r="AB408" i="4"/>
  <c r="AB412" i="4"/>
  <c r="AB409" i="4"/>
  <c r="AB410" i="4"/>
  <c r="AB415" i="4"/>
  <c r="AB411" i="4"/>
  <c r="AB413" i="4"/>
  <c r="AB414" i="4"/>
  <c r="AB406" i="4"/>
  <c r="AB416" i="4"/>
  <c r="AB235" i="4"/>
  <c r="AA58" i="2"/>
  <c r="AB58" i="2"/>
  <c r="D274" i="4"/>
  <c r="E288" i="5"/>
  <c r="AC58" i="2"/>
  <c r="AD58" i="2"/>
  <c r="AE58" i="2"/>
  <c r="H274" i="4"/>
  <c r="K288" i="5"/>
  <c r="L230" i="5"/>
  <c r="AF58" i="2"/>
  <c r="AG58" i="2"/>
  <c r="AH58" i="2"/>
  <c r="AI58" i="2"/>
  <c r="AJ58" i="2"/>
  <c r="N230" i="5"/>
  <c r="O230" i="5"/>
  <c r="AK58" i="2"/>
  <c r="M274" i="4"/>
  <c r="R288" i="5"/>
  <c r="L274" i="4"/>
  <c r="Q288" i="5"/>
  <c r="AL58" i="2"/>
  <c r="AM58" i="2"/>
  <c r="AZ374" i="1"/>
  <c r="BA374" i="1"/>
  <c r="BB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BC374" i="1"/>
  <c r="CT374" i="1"/>
  <c r="AZ373" i="1"/>
  <c r="BA373" i="1"/>
  <c r="BB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BC373" i="1"/>
  <c r="CT373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327" i="1"/>
  <c r="BA327" i="1"/>
  <c r="BB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BC327" i="1"/>
  <c r="CT327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B386" i="6"/>
  <c r="C386" i="6"/>
  <c r="D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Z464" i="1"/>
  <c r="BA464" i="1"/>
  <c r="BB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BC464" i="1"/>
  <c r="CT464" i="1"/>
  <c r="H386" i="5"/>
  <c r="B384" i="4"/>
  <c r="H384" i="4"/>
  <c r="K386" i="5"/>
  <c r="B386" i="5"/>
  <c r="C384" i="4"/>
  <c r="C386" i="5"/>
  <c r="D384" i="4"/>
  <c r="E386" i="5"/>
  <c r="F386" i="5"/>
  <c r="I386" i="5"/>
  <c r="I384" i="4"/>
  <c r="L386" i="5"/>
  <c r="J384" i="4"/>
  <c r="N386" i="5"/>
  <c r="K384" i="4"/>
  <c r="O386" i="5"/>
  <c r="L384" i="4"/>
  <c r="Q386" i="5"/>
  <c r="M384" i="4"/>
  <c r="R386" i="5"/>
  <c r="N384" i="4"/>
  <c r="T386" i="5"/>
  <c r="O384" i="4"/>
  <c r="U386" i="5"/>
  <c r="P384" i="4"/>
  <c r="W386" i="5"/>
  <c r="Q384" i="4"/>
  <c r="X386" i="5"/>
  <c r="Z386" i="5"/>
  <c r="S384" i="4"/>
  <c r="AA386" i="5"/>
  <c r="T384" i="4"/>
  <c r="AC386" i="5"/>
  <c r="U384" i="4"/>
  <c r="AD386" i="5"/>
  <c r="V384" i="4"/>
  <c r="AF386" i="5"/>
  <c r="W384" i="4"/>
  <c r="AG386" i="5"/>
  <c r="X384" i="4"/>
  <c r="AI386" i="5"/>
  <c r="Y384" i="4"/>
  <c r="AJ386" i="5"/>
  <c r="Z384" i="4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D412" i="9"/>
  <c r="E412" i="9"/>
  <c r="F412" i="9"/>
  <c r="G412" i="9"/>
  <c r="E384" i="4"/>
  <c r="F384" i="4"/>
  <c r="R384" i="4"/>
  <c r="AA384" i="4"/>
  <c r="AC384" i="4"/>
  <c r="AD384" i="4"/>
  <c r="AE384" i="4"/>
  <c r="AF384" i="4"/>
  <c r="AG384" i="4"/>
  <c r="AH384" i="4"/>
  <c r="AI384" i="4"/>
  <c r="AJ384" i="4"/>
  <c r="AK384" i="4"/>
  <c r="AL384" i="4"/>
  <c r="AA53" i="2"/>
  <c r="AB53" i="2"/>
  <c r="E384" i="5"/>
  <c r="AC53" i="2"/>
  <c r="AD53" i="2"/>
  <c r="AE53" i="2"/>
  <c r="L384" i="5"/>
  <c r="K384" i="5"/>
  <c r="AF53" i="2"/>
  <c r="AG53" i="2"/>
  <c r="AH53" i="2"/>
  <c r="AI53" i="2"/>
  <c r="AJ53" i="2"/>
  <c r="O384" i="5"/>
  <c r="N384" i="5"/>
  <c r="AK53" i="2"/>
  <c r="R384" i="5"/>
  <c r="Q384" i="5"/>
  <c r="AL53" i="2"/>
  <c r="AM53" i="2"/>
  <c r="AZ463" i="1"/>
  <c r="BA463" i="1"/>
  <c r="BB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BC463" i="1"/>
  <c r="CT463" i="1"/>
  <c r="AZ462" i="1"/>
  <c r="BA462" i="1"/>
  <c r="BB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BC462" i="1"/>
  <c r="CT462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A57" i="2"/>
  <c r="AB57" i="2"/>
  <c r="B173" i="4"/>
  <c r="E173" i="4"/>
  <c r="F78" i="5"/>
  <c r="D173" i="4"/>
  <c r="E78" i="5"/>
  <c r="F288" i="5"/>
  <c r="AC57" i="2"/>
  <c r="I78" i="5"/>
  <c r="F173" i="4"/>
  <c r="H78" i="5"/>
  <c r="H288" i="5"/>
  <c r="I288" i="5"/>
  <c r="AD57" i="2"/>
  <c r="AE57" i="2"/>
  <c r="H173" i="4"/>
  <c r="K78" i="5"/>
  <c r="L288" i="5"/>
  <c r="AF57" i="2"/>
  <c r="AG57" i="2"/>
  <c r="AH57" i="2"/>
  <c r="AI57" i="2"/>
  <c r="AJ57" i="2"/>
  <c r="N288" i="5"/>
  <c r="O288" i="5"/>
  <c r="AK57" i="2"/>
  <c r="M173" i="4"/>
  <c r="R78" i="5"/>
  <c r="L173" i="4"/>
  <c r="Q78" i="5"/>
  <c r="AL57" i="2"/>
  <c r="AM57" i="2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B232" i="4"/>
  <c r="X232" i="4"/>
  <c r="AK66" i="4"/>
  <c r="AK4" i="4"/>
  <c r="AK32" i="4"/>
  <c r="AK33" i="4"/>
  <c r="AK34" i="4"/>
  <c r="AK237" i="4"/>
  <c r="AK242" i="4"/>
  <c r="AK250" i="4"/>
  <c r="AK85" i="4"/>
  <c r="AK300" i="4"/>
  <c r="AK16" i="4"/>
  <c r="AK35" i="4"/>
  <c r="AK15" i="4"/>
  <c r="AK24" i="4"/>
  <c r="AK283" i="4"/>
  <c r="AK197" i="4"/>
  <c r="AK162" i="4"/>
  <c r="AK205" i="4"/>
  <c r="AK296" i="4"/>
  <c r="AK80" i="4"/>
  <c r="AK81" i="4"/>
  <c r="AK94" i="4"/>
  <c r="AK89" i="4"/>
  <c r="AK96" i="4"/>
  <c r="AK183" i="4"/>
  <c r="AK109" i="4"/>
  <c r="AK233" i="4"/>
  <c r="AK234" i="4"/>
  <c r="AK251" i="4"/>
  <c r="AK42" i="4"/>
  <c r="AK199" i="4"/>
  <c r="AK165" i="4"/>
  <c r="AK195" i="4"/>
  <c r="AK95" i="4"/>
  <c r="AK200" i="4"/>
  <c r="AK218" i="4"/>
  <c r="AK166" i="4"/>
  <c r="AK167" i="4"/>
  <c r="AK168" i="4"/>
  <c r="AK260" i="4"/>
  <c r="AK185" i="4"/>
  <c r="AK187" i="4"/>
  <c r="AK172" i="4"/>
  <c r="AK171" i="4"/>
  <c r="AK54" i="4"/>
  <c r="AK170" i="4"/>
  <c r="AK58" i="4"/>
  <c r="AK103" i="4"/>
  <c r="AK10" i="4"/>
  <c r="AK104" i="4"/>
  <c r="AK107" i="4"/>
  <c r="AK115" i="4"/>
  <c r="AK108" i="4"/>
  <c r="AK105" i="4"/>
  <c r="AK106" i="4"/>
  <c r="AK290" i="4"/>
  <c r="AK67" i="4"/>
  <c r="AK68" i="4"/>
  <c r="AK99" i="4"/>
  <c r="AK62" i="4"/>
  <c r="AK69" i="4"/>
  <c r="AK75" i="4"/>
  <c r="AK184" i="4"/>
  <c r="AK211" i="4"/>
  <c r="AK212" i="4"/>
  <c r="AK213" i="4"/>
  <c r="AK214" i="4"/>
  <c r="AK215" i="4"/>
  <c r="AK126" i="4"/>
  <c r="AK64" i="4"/>
  <c r="AK43" i="4"/>
  <c r="AK44" i="4"/>
  <c r="AK147" i="4"/>
  <c r="AK210" i="4"/>
  <c r="AK272" i="4"/>
  <c r="AK21" i="4"/>
  <c r="AK56" i="4"/>
  <c r="AK112" i="4"/>
  <c r="AK148" i="4"/>
  <c r="AK154" i="4"/>
  <c r="AK298" i="4"/>
  <c r="AK299" i="4"/>
  <c r="AK204" i="4"/>
  <c r="AK40" i="4"/>
  <c r="AK132" i="4"/>
  <c r="AK201" i="4"/>
  <c r="AK186" i="4"/>
  <c r="AK78" i="4"/>
  <c r="AK37" i="4"/>
  <c r="AK206" i="4"/>
  <c r="AK38" i="4"/>
  <c r="AK216" i="4"/>
  <c r="AK39" i="4"/>
  <c r="AK262" i="4"/>
  <c r="AK11" i="4"/>
  <c r="AK36" i="4"/>
  <c r="AK12" i="4"/>
  <c r="AK116" i="4"/>
  <c r="AK28" i="4"/>
  <c r="AK14" i="4"/>
  <c r="AK46" i="4"/>
  <c r="AK217" i="4"/>
  <c r="AK145" i="4"/>
  <c r="AK47" i="4"/>
  <c r="AK128" i="4"/>
  <c r="AK45" i="4"/>
  <c r="AK273" i="4"/>
  <c r="AK49" i="4"/>
  <c r="AK52" i="4"/>
  <c r="AK51" i="4"/>
  <c r="AK41" i="4"/>
  <c r="AK57" i="4"/>
  <c r="AK50" i="4"/>
  <c r="AK55" i="4"/>
  <c r="AK60" i="4"/>
  <c r="AK76" i="4"/>
  <c r="AK17" i="4"/>
  <c r="AK18" i="4"/>
  <c r="AK19" i="4"/>
  <c r="AK20" i="4"/>
  <c r="AK293" i="4"/>
  <c r="AK256" i="4"/>
  <c r="AK2" i="4"/>
  <c r="AK139" i="4"/>
  <c r="AK100" i="4"/>
  <c r="AK140" i="4"/>
  <c r="AK146" i="4"/>
  <c r="AK192" i="4"/>
  <c r="AK227" i="4"/>
  <c r="AK151" i="4"/>
  <c r="AK152" i="4"/>
  <c r="AK153" i="4"/>
  <c r="AK48" i="4"/>
  <c r="AK198" i="4"/>
  <c r="AK92" i="4"/>
  <c r="AK93" i="4"/>
  <c r="AK118" i="4"/>
  <c r="AK289" i="4"/>
  <c r="AK222" i="4"/>
  <c r="AK269" i="4"/>
  <c r="AK30" i="4"/>
  <c r="AK130" i="4"/>
  <c r="AK88" i="4"/>
  <c r="AK5" i="4"/>
  <c r="AK244" i="4"/>
  <c r="AK230" i="4"/>
  <c r="AK61" i="4"/>
  <c r="AK7" i="4"/>
  <c r="AK8" i="4"/>
  <c r="AK23" i="4"/>
  <c r="AK9" i="4"/>
  <c r="AK22" i="4"/>
  <c r="AK6" i="4"/>
  <c r="AK229" i="4"/>
  <c r="AK101" i="4"/>
  <c r="AK149" i="4"/>
  <c r="AK150" i="4"/>
  <c r="AK73" i="4"/>
  <c r="AK263" i="4"/>
  <c r="AK291" i="4"/>
  <c r="AK292" i="4"/>
  <c r="AK301" i="4"/>
  <c r="AK71" i="4"/>
  <c r="AK72" i="4"/>
  <c r="AK280" i="4"/>
  <c r="AK190" i="4"/>
  <c r="AK129" i="4"/>
  <c r="AK274" i="4"/>
  <c r="AK191" i="4"/>
  <c r="AK196" i="4"/>
  <c r="AK297" i="4"/>
  <c r="AK124" i="4"/>
  <c r="AK125" i="4"/>
  <c r="AK238" i="4"/>
  <c r="AK202" i="4"/>
  <c r="AK203" i="4"/>
  <c r="AK133" i="4"/>
  <c r="AK26" i="4"/>
  <c r="AK53" i="4"/>
  <c r="AK59" i="4"/>
  <c r="AK221" i="4"/>
  <c r="AK121" i="4"/>
  <c r="AK270" i="4"/>
  <c r="AK174" i="4"/>
  <c r="AK173" i="4"/>
  <c r="AK241" i="4"/>
  <c r="AK282" i="4"/>
  <c r="AK302" i="4"/>
  <c r="AK240" i="4"/>
  <c r="AK131" i="4"/>
  <c r="AK228" i="4"/>
  <c r="AK82" i="4"/>
  <c r="AK77" i="4"/>
  <c r="AK110" i="4"/>
  <c r="AK257" i="4"/>
  <c r="AK258" i="4"/>
  <c r="AK252" i="4"/>
  <c r="AK243" i="4"/>
  <c r="AK231" i="4"/>
  <c r="AK13" i="4"/>
  <c r="AK255" i="4"/>
  <c r="AK248" i="4"/>
  <c r="AK279" i="4"/>
  <c r="AK287" i="4"/>
  <c r="AK247" i="4"/>
  <c r="AK254" i="4"/>
  <c r="AK261" i="4"/>
  <c r="AK284" i="4"/>
  <c r="AK278" i="4"/>
  <c r="AK74" i="4"/>
  <c r="AK114" i="4"/>
  <c r="AK188" i="4"/>
  <c r="AK239" i="4"/>
  <c r="AK98" i="4"/>
  <c r="AK266" i="4"/>
  <c r="AK265" i="4"/>
  <c r="AK285" i="4"/>
  <c r="AK286" i="4"/>
  <c r="AK134" i="4"/>
  <c r="AK155" i="4"/>
  <c r="AK157" i="4"/>
  <c r="AK97" i="4"/>
  <c r="AK246" i="4"/>
  <c r="AK267" i="4"/>
  <c r="AK156" i="4"/>
  <c r="AK122" i="4"/>
  <c r="AK294" i="4"/>
  <c r="AK225" i="4"/>
  <c r="AK226" i="4"/>
  <c r="AK264" i="4"/>
  <c r="AK235" i="4"/>
  <c r="AK169" i="4"/>
  <c r="AK175" i="4"/>
  <c r="AK177" i="4"/>
  <c r="AK136" i="4"/>
  <c r="AK209" i="4"/>
  <c r="AK138" i="4"/>
  <c r="AK91" i="4"/>
  <c r="AK142" i="4"/>
  <c r="AK25" i="4"/>
  <c r="AK90" i="4"/>
  <c r="AK178" i="4"/>
  <c r="AK79" i="4"/>
  <c r="AK123" i="4"/>
  <c r="AK180" i="4"/>
  <c r="AK141" i="4"/>
  <c r="AK207" i="4"/>
  <c r="AK220" i="4"/>
  <c r="AK223" i="4"/>
  <c r="AK65" i="4"/>
  <c r="AK189" i="4"/>
  <c r="AK224" i="4"/>
  <c r="AK194" i="4"/>
  <c r="AK208" i="4"/>
  <c r="AK144" i="4"/>
  <c r="AK232" i="4"/>
  <c r="AK158" i="4"/>
  <c r="AK159" i="4"/>
  <c r="AK160" i="4"/>
  <c r="AK161" i="4"/>
  <c r="AK135" i="4"/>
  <c r="AK119" i="4"/>
  <c r="AK219" i="4"/>
  <c r="AK102" i="4"/>
  <c r="AK176" i="4"/>
  <c r="AK137" i="4"/>
  <c r="AK179" i="4"/>
  <c r="AK181" i="4"/>
  <c r="AK182" i="4"/>
  <c r="AK120" i="4"/>
  <c r="AK111" i="4"/>
  <c r="AK87" i="4"/>
  <c r="AK236" i="4"/>
  <c r="AK113" i="4"/>
  <c r="AK117" i="4"/>
  <c r="AK83" i="4"/>
  <c r="AK84" i="4"/>
  <c r="AK253" i="4"/>
  <c r="AK163" i="4"/>
  <c r="AK63" i="4"/>
  <c r="AK268" i="4"/>
  <c r="AK249" i="4"/>
  <c r="AK259" i="4"/>
  <c r="AK295" i="4"/>
  <c r="AK27" i="4"/>
  <c r="AK127" i="4"/>
  <c r="AK70" i="4"/>
  <c r="AK193" i="4"/>
  <c r="AK245" i="4"/>
  <c r="AK143" i="4"/>
  <c r="AK271" i="4"/>
  <c r="AK31" i="4"/>
  <c r="AK29" i="4"/>
  <c r="AK288" i="4"/>
  <c r="AK281" i="4"/>
  <c r="AK315" i="4"/>
  <c r="AK309" i="4"/>
  <c r="AK314" i="4"/>
  <c r="AK307" i="4"/>
  <c r="AK316" i="4"/>
  <c r="AK303" i="4"/>
  <c r="AK304" i="4"/>
  <c r="AK317" i="4"/>
  <c r="AK318" i="4"/>
  <c r="AK306" i="4"/>
  <c r="AK308" i="4"/>
  <c r="AK310" i="4"/>
  <c r="AK311" i="4"/>
  <c r="AK312" i="4"/>
  <c r="AK313" i="4"/>
  <c r="AK305" i="4"/>
  <c r="AK322" i="4"/>
  <c r="AK340" i="4"/>
  <c r="AK345" i="4"/>
  <c r="AK333" i="4"/>
  <c r="AK331" i="4"/>
  <c r="AK332" i="4"/>
  <c r="AK350" i="4"/>
  <c r="AK348" i="4"/>
  <c r="AK344" i="4"/>
  <c r="AK347" i="4"/>
  <c r="AK346" i="4"/>
  <c r="AK321" i="4"/>
  <c r="AK323" i="4"/>
  <c r="AK324" i="4"/>
  <c r="AK325" i="4"/>
  <c r="AK326" i="4"/>
  <c r="AK327" i="4"/>
  <c r="AK328" i="4"/>
  <c r="AK329" i="4"/>
  <c r="AK330" i="4"/>
  <c r="AK336" i="4"/>
  <c r="AK341" i="4"/>
  <c r="AK343" i="4"/>
  <c r="AK338" i="4"/>
  <c r="AK342" i="4"/>
  <c r="AK334" i="4"/>
  <c r="AK335" i="4"/>
  <c r="AK349" i="4"/>
  <c r="AK351" i="4"/>
  <c r="AK337" i="4"/>
  <c r="AK339" i="4"/>
  <c r="AK320" i="4"/>
  <c r="AK319" i="4"/>
  <c r="AK355" i="4"/>
  <c r="AK356" i="4"/>
  <c r="AK357" i="4"/>
  <c r="AK358" i="4"/>
  <c r="AK361" i="4"/>
  <c r="AK363" i="4"/>
  <c r="AK362" i="4"/>
  <c r="AK371" i="4"/>
  <c r="AK359" i="4"/>
  <c r="AK360" i="4"/>
  <c r="AK369" i="4"/>
  <c r="AK370" i="4"/>
  <c r="AK354" i="4"/>
  <c r="AK372" i="4"/>
  <c r="AK373" i="4"/>
  <c r="AK365" i="4"/>
  <c r="AK366" i="4"/>
  <c r="AK367" i="4"/>
  <c r="AK368" i="4"/>
  <c r="AK364" i="4"/>
  <c r="AK352" i="4"/>
  <c r="AK353" i="4"/>
  <c r="AK378" i="4"/>
  <c r="AK379" i="4"/>
  <c r="AK382" i="4"/>
  <c r="AK376" i="4"/>
  <c r="AK377" i="4"/>
  <c r="AK380" i="4"/>
  <c r="AK381" i="4"/>
  <c r="AK375" i="4"/>
  <c r="AK383" i="4"/>
  <c r="AK374" i="4"/>
  <c r="AK385" i="4"/>
  <c r="AK391" i="4"/>
  <c r="AK387" i="4"/>
  <c r="AK390" i="4"/>
  <c r="AK388" i="4"/>
  <c r="AK389" i="4"/>
  <c r="AK399" i="4"/>
  <c r="AK407" i="4"/>
  <c r="AK404" i="4"/>
  <c r="AK403" i="4"/>
  <c r="AK408" i="4"/>
  <c r="AK412" i="4"/>
  <c r="AK409" i="4"/>
  <c r="AK415" i="4"/>
  <c r="AK405" i="4"/>
  <c r="AK393" i="4"/>
  <c r="AK394" i="4"/>
  <c r="AK395" i="4"/>
  <c r="AK396" i="4"/>
  <c r="AK397" i="4"/>
  <c r="AK416" i="4"/>
  <c r="AK410" i="4"/>
  <c r="AK398" i="4"/>
  <c r="AK400" i="4"/>
  <c r="AK401" i="4"/>
  <c r="AK411" i="4"/>
  <c r="AK402" i="4"/>
  <c r="AK392" i="4"/>
  <c r="AK413" i="4"/>
  <c r="AK414" i="4"/>
  <c r="AK406" i="4"/>
  <c r="AK3" i="4"/>
  <c r="B7" i="3"/>
  <c r="C7" i="3"/>
  <c r="AI111" i="4"/>
  <c r="U111" i="4" a="1"/>
  <c r="U111" i="4"/>
  <c r="AD94" i="5"/>
  <c r="T111" i="4" a="1"/>
  <c r="T111" i="4"/>
  <c r="AC94" i="5"/>
  <c r="E7" i="3"/>
  <c r="AA56" i="2"/>
  <c r="AB56" i="2"/>
  <c r="D134" i="4"/>
  <c r="E20" i="5"/>
  <c r="AC56" i="2"/>
  <c r="AD56" i="2"/>
  <c r="AE56" i="2"/>
  <c r="H134" i="4"/>
  <c r="K20" i="5"/>
  <c r="L78" i="5"/>
  <c r="AF56" i="2"/>
  <c r="AG56" i="2"/>
  <c r="AH56" i="2"/>
  <c r="AI56" i="2"/>
  <c r="AJ56" i="2"/>
  <c r="N78" i="5"/>
  <c r="O78" i="5"/>
  <c r="AK56" i="2"/>
  <c r="M134" i="4"/>
  <c r="R20" i="5"/>
  <c r="L134" i="4"/>
  <c r="Q20" i="5"/>
  <c r="AL56" i="2"/>
  <c r="AM56" i="2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Z458" i="1"/>
  <c r="BA458" i="1"/>
  <c r="BB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BC458" i="1"/>
  <c r="CT458" i="1"/>
  <c r="AZ457" i="1"/>
  <c r="BA457" i="1"/>
  <c r="BB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BC457" i="1"/>
  <c r="CT457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B372" i="4"/>
  <c r="S372" i="4"/>
  <c r="AZ444" i="1"/>
  <c r="BA444" i="1"/>
  <c r="BB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BC444" i="1"/>
  <c r="CT444" i="1"/>
  <c r="AZ443" i="1"/>
  <c r="BA443" i="1"/>
  <c r="BB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BC443" i="1"/>
  <c r="CT443" i="1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BC422" i="1"/>
  <c r="CT422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168" i="4"/>
  <c r="H168" i="4"/>
  <c r="B59" i="4"/>
  <c r="S59" i="4"/>
  <c r="B264" i="4"/>
  <c r="N264" i="4"/>
  <c r="N133" i="4"/>
  <c r="B54" i="4"/>
  <c r="N54" i="4"/>
  <c r="AA9" i="2"/>
  <c r="AB9" i="2"/>
  <c r="B88" i="4"/>
  <c r="D88" i="4"/>
  <c r="E44" i="5"/>
  <c r="D59" i="4"/>
  <c r="E45" i="5"/>
  <c r="F45" i="5"/>
  <c r="AC9" i="2"/>
  <c r="H45" i="5"/>
  <c r="I45" i="5"/>
  <c r="AD9" i="2"/>
  <c r="AE9" i="2"/>
  <c r="H88" i="4"/>
  <c r="K44" i="5"/>
  <c r="H59" i="4"/>
  <c r="K45" i="5"/>
  <c r="L45" i="5"/>
  <c r="AF9" i="2"/>
  <c r="AG9" i="2"/>
  <c r="AH9" i="2"/>
  <c r="AI9" i="2"/>
  <c r="AJ9" i="2"/>
  <c r="N45" i="5"/>
  <c r="O45" i="5"/>
  <c r="AK9" i="2"/>
  <c r="M88" i="4"/>
  <c r="R44" i="5"/>
  <c r="L88" i="4"/>
  <c r="Q44" i="5"/>
  <c r="M59" i="4"/>
  <c r="R45" i="5"/>
  <c r="L59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B10" i="4"/>
  <c r="S10" i="4"/>
  <c r="B170" i="4"/>
  <c r="S170" i="4"/>
  <c r="B171" i="4"/>
  <c r="S171" i="4"/>
  <c r="B172" i="4"/>
  <c r="S172" i="4"/>
  <c r="B106" i="4"/>
  <c r="S106" i="4"/>
  <c r="B107" i="4"/>
  <c r="S107" i="4"/>
  <c r="S108" i="4"/>
  <c r="B103" i="4"/>
  <c r="S103" i="4"/>
  <c r="B104" i="4"/>
  <c r="S104" i="4"/>
  <c r="B105" i="4"/>
  <c r="S105" i="4"/>
  <c r="S54" i="4"/>
  <c r="B260" i="4"/>
  <c r="S260" i="4"/>
  <c r="B58" i="4"/>
  <c r="S58" i="4"/>
  <c r="N10" i="4"/>
  <c r="AA4" i="2"/>
  <c r="AB4" i="2"/>
  <c r="B12" i="4"/>
  <c r="D12" i="4"/>
  <c r="E263" i="5"/>
  <c r="D10" i="4"/>
  <c r="E254" i="5"/>
  <c r="F254" i="5"/>
  <c r="AC4" i="2"/>
  <c r="H254" i="5"/>
  <c r="I254" i="5"/>
  <c r="AD4" i="2"/>
  <c r="AE4" i="2"/>
  <c r="H12" i="4"/>
  <c r="K263" i="5"/>
  <c r="H10" i="4"/>
  <c r="K254" i="5"/>
  <c r="L254" i="5"/>
  <c r="AF4" i="2"/>
  <c r="AG4" i="2"/>
  <c r="AH4" i="2"/>
  <c r="AI4" i="2"/>
  <c r="AJ4" i="2"/>
  <c r="N254" i="5"/>
  <c r="O254" i="5"/>
  <c r="AK4" i="2"/>
  <c r="M12" i="4"/>
  <c r="R263" i="5"/>
  <c r="L12" i="4"/>
  <c r="Q263" i="5"/>
  <c r="M10" i="4"/>
  <c r="R254" i="5"/>
  <c r="L10" i="4"/>
  <c r="Q254" i="5"/>
  <c r="AL4" i="2"/>
  <c r="AM4" i="2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Z415" i="1"/>
  <c r="BA415" i="1"/>
  <c r="BB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BC415" i="1"/>
  <c r="CT415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B208" i="4"/>
  <c r="M208" i="4"/>
  <c r="B175" i="4"/>
  <c r="M175" i="4"/>
  <c r="B135" i="4"/>
  <c r="N135" i="4"/>
  <c r="N175" i="4"/>
  <c r="B90" i="4"/>
  <c r="N90" i="4"/>
  <c r="B177" i="4"/>
  <c r="N177" i="4"/>
  <c r="B136" i="4"/>
  <c r="N136" i="4"/>
  <c r="B178" i="4"/>
  <c r="N178" i="4"/>
  <c r="B220" i="4"/>
  <c r="N220" i="4"/>
  <c r="B74" i="4"/>
  <c r="N74" i="4"/>
  <c r="B267" i="4"/>
  <c r="N267" i="4"/>
  <c r="N285" i="4"/>
  <c r="B286" i="4"/>
  <c r="N286" i="4"/>
  <c r="B97" i="4"/>
  <c r="N97" i="4"/>
  <c r="N122" i="4"/>
  <c r="B294" i="4"/>
  <c r="N294" i="4"/>
  <c r="N225" i="4"/>
  <c r="B226" i="4"/>
  <c r="N226" i="4"/>
  <c r="B155" i="4"/>
  <c r="N155" i="4"/>
  <c r="B156" i="4"/>
  <c r="N156" i="4"/>
  <c r="B157" i="4"/>
  <c r="N157" i="4"/>
  <c r="N246" i="4"/>
  <c r="B169" i="4"/>
  <c r="N169" i="4"/>
  <c r="B207" i="4"/>
  <c r="N207" i="4"/>
  <c r="O157" i="4"/>
  <c r="O134" i="4"/>
  <c r="O169" i="4"/>
  <c r="N134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232" i="4"/>
  <c r="C134" i="4"/>
  <c r="C20" i="5"/>
  <c r="D232" i="4"/>
  <c r="F20" i="5"/>
  <c r="H20" i="5"/>
  <c r="I20" i="5"/>
  <c r="H232" i="4"/>
  <c r="L20" i="5"/>
  <c r="N20" i="5"/>
  <c r="O20" i="5"/>
  <c r="L232" i="4"/>
  <c r="M232" i="4"/>
  <c r="N232" i="4"/>
  <c r="T20" i="5"/>
  <c r="O232" i="4"/>
  <c r="U20" i="5"/>
  <c r="P232" i="4"/>
  <c r="P134" i="4"/>
  <c r="W20" i="5"/>
  <c r="Q232" i="4"/>
  <c r="Q134" i="4"/>
  <c r="X20" i="5"/>
  <c r="R232" i="4"/>
  <c r="R134" i="4"/>
  <c r="Z20" i="5"/>
  <c r="S232" i="4"/>
  <c r="S134" i="4"/>
  <c r="AA20" i="5"/>
  <c r="AI232" i="4"/>
  <c r="T232" i="4" a="1"/>
  <c r="T232" i="4"/>
  <c r="AI134" i="4"/>
  <c r="T134" i="4" a="1"/>
  <c r="T134" i="4"/>
  <c r="AC20" i="5"/>
  <c r="U232" i="4" a="1"/>
  <c r="U232" i="4"/>
  <c r="U134" i="4" a="1"/>
  <c r="U134" i="4"/>
  <c r="AD20" i="5"/>
  <c r="AF20" i="5"/>
  <c r="AG20" i="5"/>
  <c r="X134" i="4"/>
  <c r="AI20" i="5"/>
  <c r="Y232" i="4"/>
  <c r="Y134" i="4"/>
  <c r="AJ20" i="5"/>
  <c r="Z232" i="4"/>
  <c r="Z134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134" i="4"/>
  <c r="F134" i="4"/>
  <c r="I134" i="4"/>
  <c r="J134" i="4"/>
  <c r="K134" i="4"/>
  <c r="AA134" i="4"/>
  <c r="AC134" i="4"/>
  <c r="AD134" i="4"/>
  <c r="AE134" i="4"/>
  <c r="AF134" i="4"/>
  <c r="AG134" i="4"/>
  <c r="AH134" i="4"/>
  <c r="AJ134" i="4"/>
  <c r="AL134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378" i="1"/>
  <c r="BA378" i="1"/>
  <c r="BB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BC378" i="1"/>
  <c r="CT378" i="1"/>
  <c r="D348" i="9"/>
  <c r="E348" i="9"/>
  <c r="F348" i="9"/>
  <c r="G348" i="9"/>
  <c r="C125" i="7"/>
  <c r="D125" i="7"/>
  <c r="E125" i="7"/>
  <c r="AZ379" i="1"/>
  <c r="BA379" i="1"/>
  <c r="BB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BC379" i="1"/>
  <c r="CT379" i="1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BC308" i="1"/>
  <c r="CT30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B45" i="4"/>
  <c r="X45" i="4"/>
  <c r="N45" i="4"/>
  <c r="B41" i="4"/>
  <c r="X41" i="4"/>
  <c r="B214" i="4"/>
  <c r="N214" i="4"/>
  <c r="B215" i="4"/>
  <c r="N215" i="4"/>
  <c r="B212" i="4"/>
  <c r="N212" i="4"/>
  <c r="B213" i="4"/>
  <c r="N213" i="4"/>
  <c r="B43" i="4"/>
  <c r="O43" i="4"/>
  <c r="B44" i="4"/>
  <c r="O44" i="4"/>
  <c r="B42" i="4"/>
  <c r="O42" i="4"/>
  <c r="N42" i="4"/>
  <c r="B353" i="4"/>
  <c r="Y353" i="4"/>
  <c r="AJ360" i="5"/>
  <c r="Q203" i="4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V12" i="4"/>
  <c r="B28" i="4"/>
  <c r="V28" i="4"/>
  <c r="C28" i="4"/>
  <c r="D28" i="4"/>
  <c r="E28" i="4"/>
  <c r="F28" i="4"/>
  <c r="H28" i="4"/>
  <c r="I28" i="4"/>
  <c r="J28" i="4"/>
  <c r="L28" i="4"/>
  <c r="M28" i="4"/>
  <c r="N28" i="4"/>
  <c r="O28" i="4"/>
  <c r="P28" i="4"/>
  <c r="Q28" i="4"/>
  <c r="R28" i="4"/>
  <c r="AI28" i="4"/>
  <c r="T28" i="4" a="1"/>
  <c r="T28" i="4"/>
  <c r="U28" i="4" a="1"/>
  <c r="U28" i="4"/>
  <c r="X28" i="4"/>
  <c r="Y28" i="4"/>
  <c r="Z28" i="4"/>
  <c r="AA28" i="4"/>
  <c r="AC28" i="4"/>
  <c r="AD28" i="4"/>
  <c r="AE28" i="4"/>
  <c r="AF28" i="4"/>
  <c r="AG28" i="4"/>
  <c r="AH28" i="4"/>
  <c r="AJ28" i="4"/>
  <c r="AL28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44" i="4"/>
  <c r="C19" i="5"/>
  <c r="D44" i="4"/>
  <c r="F19" i="5"/>
  <c r="H19" i="5"/>
  <c r="I19" i="5"/>
  <c r="H44" i="4"/>
  <c r="O19" i="5"/>
  <c r="L44" i="4"/>
  <c r="M44" i="4"/>
  <c r="T19" i="5"/>
  <c r="U19" i="5"/>
  <c r="P44" i="4"/>
  <c r="W19" i="5"/>
  <c r="Q44" i="4"/>
  <c r="X19" i="5"/>
  <c r="R44" i="4"/>
  <c r="Z19" i="5"/>
  <c r="S44" i="4"/>
  <c r="AA19" i="5"/>
  <c r="AI44" i="4"/>
  <c r="T44" i="4" a="1"/>
  <c r="T44" i="4"/>
  <c r="AC19" i="5"/>
  <c r="U44" i="4" a="1"/>
  <c r="U44" i="4"/>
  <c r="AD19" i="5"/>
  <c r="AF19" i="5"/>
  <c r="AG19" i="5"/>
  <c r="X44" i="4"/>
  <c r="AI19" i="5"/>
  <c r="Y44" i="4"/>
  <c r="AJ19" i="5"/>
  <c r="Z44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32" i="4"/>
  <c r="F232" i="4"/>
  <c r="I232" i="4"/>
  <c r="J232" i="4"/>
  <c r="K232" i="4"/>
  <c r="AA232" i="4"/>
  <c r="AC232" i="4"/>
  <c r="AD232" i="4"/>
  <c r="AE232" i="4"/>
  <c r="AF232" i="4"/>
  <c r="AG232" i="4"/>
  <c r="AH232" i="4"/>
  <c r="AJ232" i="4"/>
  <c r="AL232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377" i="1"/>
  <c r="BA377" i="1"/>
  <c r="BB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BC377" i="1"/>
  <c r="CT377" i="1"/>
  <c r="AZ376" i="1"/>
  <c r="BA376" i="1"/>
  <c r="BB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BC376" i="1"/>
  <c r="CT376" i="1"/>
  <c r="D347" i="9"/>
  <c r="E347" i="9"/>
  <c r="F347" i="9"/>
  <c r="G347" i="9"/>
  <c r="C123" i="7"/>
  <c r="E123" i="7"/>
  <c r="D123" i="7"/>
  <c r="AG3" i="5"/>
  <c r="AF3" i="5"/>
  <c r="B64" i="4"/>
  <c r="C64" i="4"/>
  <c r="C3" i="5"/>
  <c r="D64" i="4"/>
  <c r="E3" i="5"/>
  <c r="H64" i="4"/>
  <c r="K3" i="5"/>
  <c r="L64" i="4"/>
  <c r="Q3" i="5"/>
  <c r="M64" i="4"/>
  <c r="R3" i="5"/>
  <c r="T3" i="5"/>
  <c r="O64" i="4"/>
  <c r="U3" i="5"/>
  <c r="P64" i="4"/>
  <c r="W3" i="5"/>
  <c r="Q64" i="4"/>
  <c r="X3" i="5"/>
  <c r="S64" i="4"/>
  <c r="AA3" i="5"/>
  <c r="AI64" i="4"/>
  <c r="T64" i="4" a="1"/>
  <c r="T64" i="4"/>
  <c r="AC3" i="5"/>
  <c r="U64" i="4" a="1"/>
  <c r="U64" i="4"/>
  <c r="AD3" i="5"/>
  <c r="X64" i="4"/>
  <c r="AI3" i="5"/>
  <c r="Y64" i="4"/>
  <c r="AJ3" i="5"/>
  <c r="Z64" i="4"/>
  <c r="AL3" i="5"/>
  <c r="F3" i="5"/>
  <c r="L3" i="5"/>
  <c r="N3" i="5"/>
  <c r="O3" i="5"/>
  <c r="H3" i="5"/>
  <c r="I3" i="5"/>
  <c r="Z3" i="5"/>
  <c r="AN3" i="5"/>
  <c r="O4" i="5"/>
  <c r="H262" i="4"/>
  <c r="K4" i="5"/>
  <c r="AG4" i="5"/>
  <c r="AF4" i="5"/>
  <c r="C262" i="4"/>
  <c r="C4" i="5"/>
  <c r="I262" i="4"/>
  <c r="L4" i="5"/>
  <c r="J262" i="4"/>
  <c r="N4" i="5"/>
  <c r="L262" i="4"/>
  <c r="Q4" i="5"/>
  <c r="M262" i="4"/>
  <c r="R4" i="5"/>
  <c r="T4" i="5"/>
  <c r="O262" i="4"/>
  <c r="U4" i="5"/>
  <c r="W4" i="5"/>
  <c r="Q262" i="4"/>
  <c r="X4" i="5"/>
  <c r="AA4" i="5"/>
  <c r="AI262" i="4"/>
  <c r="T262" i="4" a="1"/>
  <c r="T262" i="4"/>
  <c r="AC4" i="5"/>
  <c r="U262" i="4" a="1"/>
  <c r="U262" i="4"/>
  <c r="AD4" i="5"/>
  <c r="X262" i="4"/>
  <c r="AI4" i="5"/>
  <c r="Y262" i="4"/>
  <c r="AJ4" i="5"/>
  <c r="Z262" i="4"/>
  <c r="AL4" i="5"/>
  <c r="F4" i="5"/>
  <c r="H4" i="5"/>
  <c r="I4" i="5"/>
  <c r="Z4" i="5"/>
  <c r="AN4" i="5"/>
  <c r="AG5" i="5"/>
  <c r="AF5" i="5"/>
  <c r="C130" i="4"/>
  <c r="C5" i="5"/>
  <c r="D130" i="4"/>
  <c r="E5" i="5"/>
  <c r="E130" i="4"/>
  <c r="F5" i="5"/>
  <c r="F130" i="4"/>
  <c r="H5" i="5"/>
  <c r="I5" i="5"/>
  <c r="H130" i="4"/>
  <c r="K5" i="5"/>
  <c r="L130" i="4"/>
  <c r="Q5" i="5"/>
  <c r="M130" i="4"/>
  <c r="R5" i="5"/>
  <c r="T5" i="5"/>
  <c r="U5" i="5"/>
  <c r="P130" i="4"/>
  <c r="W5" i="5"/>
  <c r="Q130" i="4"/>
  <c r="X5" i="5"/>
  <c r="S130" i="4"/>
  <c r="AA5" i="5"/>
  <c r="AI130" i="4"/>
  <c r="T130" i="4" a="1"/>
  <c r="T130" i="4"/>
  <c r="AC5" i="5"/>
  <c r="U130" i="4" a="1"/>
  <c r="U130" i="4"/>
  <c r="AD5" i="5"/>
  <c r="X130" i="4"/>
  <c r="AI5" i="5"/>
  <c r="Y130" i="4"/>
  <c r="AJ5" i="5"/>
  <c r="Z130" i="4"/>
  <c r="AL5" i="5"/>
  <c r="L5" i="5"/>
  <c r="N5" i="5"/>
  <c r="O5" i="5"/>
  <c r="Z5" i="5"/>
  <c r="AN5" i="5"/>
  <c r="AG6" i="5"/>
  <c r="AF6" i="5"/>
  <c r="C265" i="4"/>
  <c r="C6" i="5"/>
  <c r="D265" i="4"/>
  <c r="E6" i="5"/>
  <c r="H265" i="4"/>
  <c r="K6" i="5"/>
  <c r="L265" i="4"/>
  <c r="Q6" i="5"/>
  <c r="M265" i="4"/>
  <c r="R6" i="5"/>
  <c r="T6" i="5"/>
  <c r="O265" i="4"/>
  <c r="U6" i="5"/>
  <c r="P265" i="4"/>
  <c r="W6" i="5"/>
  <c r="Q265" i="4"/>
  <c r="X6" i="5"/>
  <c r="S265" i="4"/>
  <c r="AA6" i="5"/>
  <c r="AD6" i="5"/>
  <c r="X265" i="4"/>
  <c r="AI6" i="5"/>
  <c r="Y265" i="4"/>
  <c r="AJ6" i="5"/>
  <c r="Z265" i="4"/>
  <c r="AL6" i="5"/>
  <c r="F6" i="5"/>
  <c r="H6" i="5"/>
  <c r="I6" i="5"/>
  <c r="L6" i="5"/>
  <c r="N6" i="5"/>
  <c r="O6" i="5"/>
  <c r="Z6" i="5"/>
  <c r="AN6" i="5"/>
  <c r="AG7" i="5"/>
  <c r="AF7" i="5"/>
  <c r="C266" i="4"/>
  <c r="C7" i="5"/>
  <c r="D266" i="4"/>
  <c r="E7" i="5"/>
  <c r="H266" i="4"/>
  <c r="K7" i="5"/>
  <c r="L266" i="4"/>
  <c r="Q7" i="5"/>
  <c r="M266" i="4"/>
  <c r="R7" i="5"/>
  <c r="T7" i="5"/>
  <c r="O266" i="4"/>
  <c r="U7" i="5"/>
  <c r="P266" i="4"/>
  <c r="W7" i="5"/>
  <c r="Q266" i="4"/>
  <c r="X7" i="5"/>
  <c r="S266" i="4"/>
  <c r="AA7" i="5"/>
  <c r="AD7" i="5"/>
  <c r="X266" i="4"/>
  <c r="AI7" i="5"/>
  <c r="Y266" i="4"/>
  <c r="AJ7" i="5"/>
  <c r="Z266" i="4"/>
  <c r="AL7" i="5"/>
  <c r="F7" i="5"/>
  <c r="H7" i="5"/>
  <c r="I7" i="5"/>
  <c r="L7" i="5"/>
  <c r="N7" i="5"/>
  <c r="O7" i="5"/>
  <c r="Z7" i="5"/>
  <c r="AN7" i="5"/>
  <c r="AG8" i="5"/>
  <c r="AF8" i="5"/>
  <c r="C196" i="4"/>
  <c r="C8" i="5"/>
  <c r="D196" i="4"/>
  <c r="E8" i="5"/>
  <c r="H196" i="4"/>
  <c r="K8" i="5"/>
  <c r="L196" i="4"/>
  <c r="Q8" i="5"/>
  <c r="M196" i="4"/>
  <c r="R8" i="5"/>
  <c r="T8" i="5"/>
  <c r="O196" i="4"/>
  <c r="U8" i="5"/>
  <c r="P196" i="4"/>
  <c r="W8" i="5"/>
  <c r="Q196" i="4"/>
  <c r="X8" i="5"/>
  <c r="S196" i="4"/>
  <c r="AA8" i="5"/>
  <c r="AI196" i="4"/>
  <c r="T196" i="4" a="1"/>
  <c r="T196" i="4"/>
  <c r="AC8" i="5"/>
  <c r="U196" i="4" a="1"/>
  <c r="U196" i="4"/>
  <c r="AD8" i="5"/>
  <c r="X196" i="4"/>
  <c r="AI8" i="5"/>
  <c r="Y196" i="4"/>
  <c r="AJ8" i="5"/>
  <c r="Z196" i="4"/>
  <c r="AL8" i="5"/>
  <c r="F8" i="5"/>
  <c r="H8" i="5"/>
  <c r="I8" i="5"/>
  <c r="L8" i="5"/>
  <c r="N8" i="5"/>
  <c r="O8" i="5"/>
  <c r="Z8" i="5"/>
  <c r="AN8" i="5"/>
  <c r="AG9" i="5"/>
  <c r="AF9" i="5"/>
  <c r="C220" i="4"/>
  <c r="C9" i="5"/>
  <c r="D220" i="4"/>
  <c r="E9" i="5"/>
  <c r="E220" i="4"/>
  <c r="F9" i="5"/>
  <c r="F220" i="4"/>
  <c r="H9" i="5"/>
  <c r="I9" i="5"/>
  <c r="H220" i="4"/>
  <c r="K9" i="5"/>
  <c r="L220" i="4"/>
  <c r="Q9" i="5"/>
  <c r="M220" i="4"/>
  <c r="R9" i="5"/>
  <c r="T9" i="5"/>
  <c r="O220" i="4"/>
  <c r="U9" i="5"/>
  <c r="P220" i="4"/>
  <c r="W9" i="5"/>
  <c r="Q220" i="4"/>
  <c r="X9" i="5"/>
  <c r="S220" i="4"/>
  <c r="AA9" i="5"/>
  <c r="AI220" i="4"/>
  <c r="T220" i="4" a="1"/>
  <c r="T220" i="4"/>
  <c r="AC9" i="5"/>
  <c r="U220" i="4" a="1"/>
  <c r="U220" i="4"/>
  <c r="AD9" i="5"/>
  <c r="X220" i="4"/>
  <c r="AI9" i="5"/>
  <c r="Y220" i="4"/>
  <c r="AJ9" i="5"/>
  <c r="Z220" i="4"/>
  <c r="AL9" i="5"/>
  <c r="L9" i="5"/>
  <c r="N9" i="5"/>
  <c r="O9" i="5"/>
  <c r="Z9" i="5"/>
  <c r="AN9" i="5"/>
  <c r="AG10" i="5"/>
  <c r="AF10" i="5"/>
  <c r="B181" i="4"/>
  <c r="C181" i="4"/>
  <c r="C10" i="5"/>
  <c r="D181" i="4"/>
  <c r="E10" i="5"/>
  <c r="K10" i="5"/>
  <c r="L181" i="4"/>
  <c r="Q10" i="5"/>
  <c r="M181" i="4"/>
  <c r="R10" i="5"/>
  <c r="T10" i="5"/>
  <c r="O181" i="4"/>
  <c r="U10" i="5"/>
  <c r="P181" i="4"/>
  <c r="W10" i="5"/>
  <c r="Q181" i="4"/>
  <c r="X10" i="5"/>
  <c r="S181" i="4"/>
  <c r="AA10" i="5"/>
  <c r="AI181" i="4"/>
  <c r="T181" i="4" a="1"/>
  <c r="T181" i="4"/>
  <c r="AC10" i="5"/>
  <c r="U181" i="4" a="1"/>
  <c r="U181" i="4"/>
  <c r="AD10" i="5"/>
  <c r="X181" i="4"/>
  <c r="AI10" i="5"/>
  <c r="Y181" i="4"/>
  <c r="AJ10" i="5"/>
  <c r="Z181" i="4"/>
  <c r="AL10" i="5"/>
  <c r="F10" i="5"/>
  <c r="H10" i="5"/>
  <c r="I10" i="5"/>
  <c r="L10" i="5"/>
  <c r="N10" i="5"/>
  <c r="O10" i="5"/>
  <c r="Z10" i="5"/>
  <c r="AN10" i="5"/>
  <c r="AG11" i="5"/>
  <c r="AF11" i="5"/>
  <c r="B182" i="4"/>
  <c r="C182" i="4"/>
  <c r="C11" i="5"/>
  <c r="D182" i="4"/>
  <c r="E11" i="5"/>
  <c r="K11" i="5"/>
  <c r="L182" i="4"/>
  <c r="Q11" i="5"/>
  <c r="M182" i="4"/>
  <c r="R11" i="5"/>
  <c r="T11" i="5"/>
  <c r="U11" i="5"/>
  <c r="P182" i="4"/>
  <c r="W11" i="5"/>
  <c r="Q182" i="4"/>
  <c r="X11" i="5"/>
  <c r="S182" i="4"/>
  <c r="AA11" i="5"/>
  <c r="AI182" i="4"/>
  <c r="T182" i="4" a="1"/>
  <c r="T182" i="4"/>
  <c r="AC11" i="5"/>
  <c r="U182" i="4" a="1"/>
  <c r="U182" i="4"/>
  <c r="AD11" i="5"/>
  <c r="X182" i="4"/>
  <c r="AI11" i="5"/>
  <c r="Y182" i="4"/>
  <c r="AJ11" i="5"/>
  <c r="Z182" i="4"/>
  <c r="AL11" i="5"/>
  <c r="F11" i="5"/>
  <c r="H11" i="5"/>
  <c r="I11" i="5"/>
  <c r="L11" i="5"/>
  <c r="N11" i="5"/>
  <c r="O11" i="5"/>
  <c r="Z11" i="5"/>
  <c r="AN11" i="5"/>
  <c r="S22" i="4"/>
  <c r="AA12" i="5"/>
  <c r="P22" i="4"/>
  <c r="W12" i="5"/>
  <c r="O12" i="5"/>
  <c r="K12" i="5"/>
  <c r="AG12" i="5"/>
  <c r="AF12" i="5"/>
  <c r="C22" i="4"/>
  <c r="C12" i="5"/>
  <c r="D22" i="4"/>
  <c r="E12" i="5"/>
  <c r="E22" i="4"/>
  <c r="F12" i="5"/>
  <c r="F22" i="4"/>
  <c r="H12" i="5"/>
  <c r="I12" i="5"/>
  <c r="L22" i="4"/>
  <c r="Q12" i="5"/>
  <c r="M22" i="4"/>
  <c r="R12" i="5"/>
  <c r="T12" i="5"/>
  <c r="O22" i="4"/>
  <c r="U12" i="5"/>
  <c r="Q22" i="4"/>
  <c r="X12" i="5"/>
  <c r="R22" i="4"/>
  <c r="Z12" i="5"/>
  <c r="AI22" i="4"/>
  <c r="T22" i="4" a="1"/>
  <c r="T22" i="4"/>
  <c r="AC12" i="5"/>
  <c r="U22" i="4" a="1"/>
  <c r="U22" i="4"/>
  <c r="AD12" i="5"/>
  <c r="X22" i="4"/>
  <c r="AI12" i="5"/>
  <c r="Y22" i="4"/>
  <c r="AJ12" i="5"/>
  <c r="Z22" i="4"/>
  <c r="AL12" i="5"/>
  <c r="AN12" i="5"/>
  <c r="S23" i="4"/>
  <c r="AA13" i="5"/>
  <c r="P23" i="4"/>
  <c r="W13" i="5"/>
  <c r="O13" i="5"/>
  <c r="K13" i="5"/>
  <c r="AG13" i="5"/>
  <c r="AF13" i="5"/>
  <c r="C23" i="4"/>
  <c r="C13" i="5"/>
  <c r="D23" i="4"/>
  <c r="E13" i="5"/>
  <c r="E23" i="4"/>
  <c r="F13" i="5"/>
  <c r="F23" i="4"/>
  <c r="H13" i="5"/>
  <c r="I13" i="5"/>
  <c r="I23" i="4"/>
  <c r="L13" i="5"/>
  <c r="J23" i="4"/>
  <c r="N13" i="5"/>
  <c r="L23" i="4"/>
  <c r="Q13" i="5"/>
  <c r="M23" i="4"/>
  <c r="R13" i="5"/>
  <c r="T13" i="5"/>
  <c r="O23" i="4"/>
  <c r="U13" i="5"/>
  <c r="Q23" i="4"/>
  <c r="X13" i="5"/>
  <c r="R23" i="4"/>
  <c r="Z13" i="5"/>
  <c r="AI23" i="4"/>
  <c r="T23" i="4" a="1"/>
  <c r="T23" i="4"/>
  <c r="AC13" i="5"/>
  <c r="U23" i="4" a="1"/>
  <c r="U23" i="4"/>
  <c r="AD13" i="5"/>
  <c r="X23" i="4"/>
  <c r="AI13" i="5"/>
  <c r="Y23" i="4"/>
  <c r="AJ13" i="5"/>
  <c r="Z23" i="4"/>
  <c r="AL13" i="5"/>
  <c r="AN13" i="5"/>
  <c r="AG14" i="5"/>
  <c r="AF14" i="5"/>
  <c r="B140" i="4"/>
  <c r="C140" i="4"/>
  <c r="C14" i="5"/>
  <c r="D140" i="4"/>
  <c r="E14" i="5"/>
  <c r="E140" i="4"/>
  <c r="F14" i="5"/>
  <c r="F140" i="4"/>
  <c r="H14" i="5"/>
  <c r="I14" i="5"/>
  <c r="H140" i="4"/>
  <c r="K14" i="5"/>
  <c r="L140" i="4"/>
  <c r="Q14" i="5"/>
  <c r="M140" i="4"/>
  <c r="R14" i="5"/>
  <c r="T14" i="5"/>
  <c r="O140" i="4"/>
  <c r="U14" i="5"/>
  <c r="P140" i="4"/>
  <c r="W14" i="5"/>
  <c r="Q140" i="4"/>
  <c r="X14" i="5"/>
  <c r="S140" i="4"/>
  <c r="AA14" i="5"/>
  <c r="AI140" i="4"/>
  <c r="T140" i="4" a="1"/>
  <c r="T140" i="4"/>
  <c r="AC14" i="5"/>
  <c r="U140" i="4" a="1"/>
  <c r="U140" i="4"/>
  <c r="AD14" i="5"/>
  <c r="X140" i="4"/>
  <c r="AI14" i="5"/>
  <c r="Y140" i="4"/>
  <c r="AJ14" i="5"/>
  <c r="Z140" i="4"/>
  <c r="AL14" i="5"/>
  <c r="L14" i="5"/>
  <c r="N14" i="5"/>
  <c r="O14" i="5"/>
  <c r="Z14" i="5"/>
  <c r="AN14" i="5"/>
  <c r="AG15" i="5"/>
  <c r="AF15" i="5"/>
  <c r="B223" i="4"/>
  <c r="C223" i="4"/>
  <c r="C15" i="5"/>
  <c r="D223" i="4"/>
  <c r="E15" i="5"/>
  <c r="E223" i="4"/>
  <c r="F15" i="5"/>
  <c r="F223" i="4"/>
  <c r="H15" i="5"/>
  <c r="I15" i="5"/>
  <c r="K15" i="5"/>
  <c r="L223" i="4"/>
  <c r="Q15" i="5"/>
  <c r="M223" i="4"/>
  <c r="R15" i="5"/>
  <c r="T15" i="5"/>
  <c r="O223" i="4"/>
  <c r="U15" i="5"/>
  <c r="P223" i="4"/>
  <c r="W15" i="5"/>
  <c r="Q223" i="4"/>
  <c r="X15" i="5"/>
  <c r="S223" i="4"/>
  <c r="AA15" i="5"/>
  <c r="AI223" i="4"/>
  <c r="T223" i="4" a="1"/>
  <c r="T223" i="4"/>
  <c r="AC15" i="5"/>
  <c r="U223" i="4" a="1"/>
  <c r="U223" i="4"/>
  <c r="AD15" i="5"/>
  <c r="X223" i="4"/>
  <c r="AI15" i="5"/>
  <c r="Y223" i="4"/>
  <c r="AJ15" i="5"/>
  <c r="Z223" i="4"/>
  <c r="AL15" i="5"/>
  <c r="L15" i="5"/>
  <c r="N15" i="5"/>
  <c r="O15" i="5"/>
  <c r="Z15" i="5"/>
  <c r="AN15" i="5"/>
  <c r="S42" i="4"/>
  <c r="AA16" i="5"/>
  <c r="P42" i="4"/>
  <c r="W16" i="5"/>
  <c r="AG16" i="5"/>
  <c r="AF16" i="5"/>
  <c r="C42" i="4"/>
  <c r="C16" i="5"/>
  <c r="D42" i="4"/>
  <c r="E16" i="5"/>
  <c r="K16" i="5"/>
  <c r="L42" i="4"/>
  <c r="Q16" i="5"/>
  <c r="M42" i="4"/>
  <c r="R16" i="5"/>
  <c r="T16" i="5"/>
  <c r="U16" i="5"/>
  <c r="Q42" i="4"/>
  <c r="X16" i="5"/>
  <c r="R42" i="4"/>
  <c r="Z16" i="5"/>
  <c r="AI42" i="4"/>
  <c r="T42" i="4" a="1"/>
  <c r="T42" i="4"/>
  <c r="AC16" i="5"/>
  <c r="U42" i="4" a="1"/>
  <c r="U42" i="4"/>
  <c r="AD16" i="5"/>
  <c r="X42" i="4"/>
  <c r="AI16" i="5"/>
  <c r="Y42" i="4"/>
  <c r="AJ16" i="5"/>
  <c r="Z42" i="4"/>
  <c r="AL16" i="5"/>
  <c r="L16" i="5"/>
  <c r="N16" i="5"/>
  <c r="O16" i="5"/>
  <c r="F16" i="5"/>
  <c r="H16" i="5"/>
  <c r="I16" i="5"/>
  <c r="AN16" i="5"/>
  <c r="S43" i="4"/>
  <c r="AA17" i="5"/>
  <c r="P43" i="4"/>
  <c r="W17" i="5"/>
  <c r="AG17" i="5"/>
  <c r="AF17" i="5"/>
  <c r="C43" i="4"/>
  <c r="C17" i="5"/>
  <c r="D43" i="4"/>
  <c r="E17" i="5"/>
  <c r="H43" i="4"/>
  <c r="K17" i="5"/>
  <c r="L43" i="4"/>
  <c r="Q17" i="5"/>
  <c r="M43" i="4"/>
  <c r="R17" i="5"/>
  <c r="T17" i="5"/>
  <c r="U17" i="5"/>
  <c r="Q43" i="4"/>
  <c r="X17" i="5"/>
  <c r="R43" i="4"/>
  <c r="Z17" i="5"/>
  <c r="AI43" i="4"/>
  <c r="T43" i="4" a="1"/>
  <c r="T43" i="4"/>
  <c r="AC17" i="5"/>
  <c r="U43" i="4" a="1"/>
  <c r="U43" i="4"/>
  <c r="AD17" i="5"/>
  <c r="X43" i="4"/>
  <c r="AI17" i="5"/>
  <c r="Y43" i="4"/>
  <c r="AJ17" i="5"/>
  <c r="Z43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210" i="4"/>
  <c r="C210" i="4"/>
  <c r="C21" i="5"/>
  <c r="D210" i="4"/>
  <c r="E21" i="5"/>
  <c r="L210" i="4"/>
  <c r="Q21" i="5"/>
  <c r="M210" i="4"/>
  <c r="R21" i="5"/>
  <c r="T21" i="5"/>
  <c r="O210" i="4"/>
  <c r="U21" i="5"/>
  <c r="P210" i="4"/>
  <c r="W21" i="5"/>
  <c r="Q210" i="4"/>
  <c r="X21" i="5"/>
  <c r="S210" i="4"/>
  <c r="AA21" i="5"/>
  <c r="AI210" i="4"/>
  <c r="T210" i="4" a="1"/>
  <c r="T210" i="4"/>
  <c r="AC21" i="5"/>
  <c r="U210" i="4" a="1"/>
  <c r="U210" i="4"/>
  <c r="AD21" i="5"/>
  <c r="X210" i="4"/>
  <c r="AI21" i="5"/>
  <c r="Y210" i="4"/>
  <c r="AJ21" i="5"/>
  <c r="Z210" i="4"/>
  <c r="AL21" i="5"/>
  <c r="L21" i="5"/>
  <c r="N21" i="5"/>
  <c r="O21" i="5"/>
  <c r="F21" i="5"/>
  <c r="H21" i="5"/>
  <c r="I21" i="5"/>
  <c r="Z21" i="5"/>
  <c r="AN21" i="5"/>
  <c r="AG22" i="5"/>
  <c r="AF22" i="5"/>
  <c r="B211" i="4"/>
  <c r="C211" i="4"/>
  <c r="C22" i="5"/>
  <c r="D211" i="4"/>
  <c r="E22" i="5"/>
  <c r="H211" i="4"/>
  <c r="K22" i="5"/>
  <c r="L211" i="4"/>
  <c r="Q22" i="5"/>
  <c r="M211" i="4"/>
  <c r="R22" i="5"/>
  <c r="T22" i="5"/>
  <c r="O211" i="4"/>
  <c r="U22" i="5"/>
  <c r="P211" i="4"/>
  <c r="W22" i="5"/>
  <c r="Q211" i="4"/>
  <c r="X22" i="5"/>
  <c r="S211" i="4"/>
  <c r="AA22" i="5"/>
  <c r="AI211" i="4"/>
  <c r="T211" i="4" a="1"/>
  <c r="T211" i="4"/>
  <c r="AC22" i="5"/>
  <c r="U211" i="4" a="1"/>
  <c r="U211" i="4"/>
  <c r="AD22" i="5"/>
  <c r="X211" i="4"/>
  <c r="AI22" i="5"/>
  <c r="Y211" i="4"/>
  <c r="AJ22" i="5"/>
  <c r="Z211" i="4"/>
  <c r="AL22" i="5"/>
  <c r="L22" i="5"/>
  <c r="N22" i="5"/>
  <c r="O22" i="5"/>
  <c r="F22" i="5"/>
  <c r="H22" i="5"/>
  <c r="I22" i="5"/>
  <c r="Z22" i="5"/>
  <c r="AN22" i="5"/>
  <c r="AG23" i="5"/>
  <c r="AF23" i="5"/>
  <c r="C212" i="4"/>
  <c r="C23" i="5"/>
  <c r="D212" i="4"/>
  <c r="E23" i="5"/>
  <c r="H212" i="4"/>
  <c r="K23" i="5"/>
  <c r="I212" i="4"/>
  <c r="L23" i="5"/>
  <c r="J212" i="4"/>
  <c r="N23" i="5"/>
  <c r="O23" i="5"/>
  <c r="L212" i="4"/>
  <c r="Q23" i="5"/>
  <c r="M212" i="4"/>
  <c r="R23" i="5"/>
  <c r="T23" i="5"/>
  <c r="O212" i="4"/>
  <c r="U23" i="5"/>
  <c r="P212" i="4"/>
  <c r="W23" i="5"/>
  <c r="Q212" i="4"/>
  <c r="X23" i="5"/>
  <c r="S212" i="4"/>
  <c r="AA23" i="5"/>
  <c r="AI212" i="4"/>
  <c r="T212" i="4" a="1"/>
  <c r="T212" i="4"/>
  <c r="AC23" i="5"/>
  <c r="U212" i="4" a="1"/>
  <c r="U212" i="4"/>
  <c r="AD23" i="5"/>
  <c r="X212" i="4"/>
  <c r="AI23" i="5"/>
  <c r="Y212" i="4"/>
  <c r="AJ23" i="5"/>
  <c r="Z212" i="4"/>
  <c r="AL23" i="5"/>
  <c r="F23" i="5"/>
  <c r="H23" i="5"/>
  <c r="I23" i="5"/>
  <c r="Z23" i="5"/>
  <c r="AN23" i="5"/>
  <c r="AG24" i="5"/>
  <c r="AF24" i="5"/>
  <c r="C213" i="4"/>
  <c r="C24" i="5"/>
  <c r="D213" i="4"/>
  <c r="E24" i="5"/>
  <c r="H213" i="4"/>
  <c r="K24" i="5"/>
  <c r="L213" i="4"/>
  <c r="Q24" i="5"/>
  <c r="M213" i="4"/>
  <c r="R24" i="5"/>
  <c r="T24" i="5"/>
  <c r="O213" i="4"/>
  <c r="U24" i="5"/>
  <c r="P213" i="4"/>
  <c r="W24" i="5"/>
  <c r="Q213" i="4"/>
  <c r="X24" i="5"/>
  <c r="S213" i="4"/>
  <c r="AA24" i="5"/>
  <c r="AI213" i="4"/>
  <c r="T213" i="4" a="1"/>
  <c r="T213" i="4"/>
  <c r="AC24" i="5"/>
  <c r="U213" i="4" a="1"/>
  <c r="U213" i="4"/>
  <c r="AD24" i="5"/>
  <c r="X213" i="4"/>
  <c r="AI24" i="5"/>
  <c r="Y213" i="4"/>
  <c r="AJ24" i="5"/>
  <c r="Z213" i="4"/>
  <c r="AL24" i="5"/>
  <c r="L24" i="5"/>
  <c r="N24" i="5"/>
  <c r="O24" i="5"/>
  <c r="F24" i="5"/>
  <c r="H24" i="5"/>
  <c r="I24" i="5"/>
  <c r="Z24" i="5"/>
  <c r="AN24" i="5"/>
  <c r="AG25" i="5"/>
  <c r="AF25" i="5"/>
  <c r="C214" i="4"/>
  <c r="C25" i="5"/>
  <c r="D214" i="4"/>
  <c r="E25" i="5"/>
  <c r="H214" i="4"/>
  <c r="K25" i="5"/>
  <c r="L214" i="4"/>
  <c r="Q25" i="5"/>
  <c r="M214" i="4"/>
  <c r="R25" i="5"/>
  <c r="T25" i="5"/>
  <c r="O214" i="4"/>
  <c r="U25" i="5"/>
  <c r="P214" i="4"/>
  <c r="W25" i="5"/>
  <c r="Q214" i="4"/>
  <c r="X25" i="5"/>
  <c r="S214" i="4"/>
  <c r="AA25" i="5"/>
  <c r="AI214" i="4"/>
  <c r="T214" i="4" a="1"/>
  <c r="T214" i="4"/>
  <c r="AC25" i="5"/>
  <c r="U214" i="4" a="1"/>
  <c r="U214" i="4"/>
  <c r="AD25" i="5"/>
  <c r="X214" i="4"/>
  <c r="AI25" i="5"/>
  <c r="Y214" i="4"/>
  <c r="AJ25" i="5"/>
  <c r="Z214" i="4"/>
  <c r="AL25" i="5"/>
  <c r="L25" i="5"/>
  <c r="N25" i="5"/>
  <c r="O25" i="5"/>
  <c r="F25" i="5"/>
  <c r="H25" i="5"/>
  <c r="I25" i="5"/>
  <c r="Z25" i="5"/>
  <c r="AN25" i="5"/>
  <c r="AG26" i="5"/>
  <c r="AF26" i="5"/>
  <c r="C215" i="4"/>
  <c r="C26" i="5"/>
  <c r="D215" i="4"/>
  <c r="E26" i="5"/>
  <c r="H215" i="4"/>
  <c r="K26" i="5"/>
  <c r="L215" i="4"/>
  <c r="Q26" i="5"/>
  <c r="M215" i="4"/>
  <c r="R26" i="5"/>
  <c r="T26" i="5"/>
  <c r="O215" i="4"/>
  <c r="U26" i="5"/>
  <c r="P215" i="4"/>
  <c r="W26" i="5"/>
  <c r="Q215" i="4"/>
  <c r="X26" i="5"/>
  <c r="S215" i="4"/>
  <c r="AA26" i="5"/>
  <c r="AI215" i="4"/>
  <c r="T215" i="4" a="1"/>
  <c r="T215" i="4"/>
  <c r="AC26" i="5"/>
  <c r="U215" i="4" a="1"/>
  <c r="U215" i="4"/>
  <c r="AD26" i="5"/>
  <c r="X215" i="4"/>
  <c r="AI26" i="5"/>
  <c r="Y215" i="4"/>
  <c r="AJ26" i="5"/>
  <c r="Z215" i="4"/>
  <c r="AL26" i="5"/>
  <c r="L26" i="5"/>
  <c r="N26" i="5"/>
  <c r="O26" i="5"/>
  <c r="F26" i="5"/>
  <c r="H26" i="5"/>
  <c r="I26" i="5"/>
  <c r="Z26" i="5"/>
  <c r="AN26" i="5"/>
  <c r="AG27" i="5"/>
  <c r="AF27" i="5"/>
  <c r="B194" i="4"/>
  <c r="C194" i="4"/>
  <c r="C27" i="5"/>
  <c r="D194" i="4"/>
  <c r="E27" i="5"/>
  <c r="E194" i="4"/>
  <c r="F27" i="5"/>
  <c r="F194" i="4"/>
  <c r="H27" i="5"/>
  <c r="I27" i="5"/>
  <c r="K27" i="5"/>
  <c r="L194" i="4"/>
  <c r="Q27" i="5"/>
  <c r="M194" i="4"/>
  <c r="R27" i="5"/>
  <c r="T27" i="5"/>
  <c r="O194" i="4"/>
  <c r="U27" i="5"/>
  <c r="P194" i="4"/>
  <c r="W27" i="5"/>
  <c r="Q194" i="4"/>
  <c r="X27" i="5"/>
  <c r="S194" i="4"/>
  <c r="AA27" i="5"/>
  <c r="AI194" i="4"/>
  <c r="T194" i="4" a="1"/>
  <c r="T194" i="4"/>
  <c r="AC27" i="5"/>
  <c r="U194" i="4" a="1"/>
  <c r="U194" i="4"/>
  <c r="AD27" i="5"/>
  <c r="X194" i="4"/>
  <c r="AI27" i="5"/>
  <c r="Y194" i="4"/>
  <c r="AJ27" i="5"/>
  <c r="Z194" i="4"/>
  <c r="AL27" i="5"/>
  <c r="L27" i="5"/>
  <c r="N27" i="5"/>
  <c r="O27" i="5"/>
  <c r="Z27" i="5"/>
  <c r="AN27" i="5"/>
  <c r="AG28" i="5"/>
  <c r="AF28" i="5"/>
  <c r="C229" i="4"/>
  <c r="C28" i="5"/>
  <c r="D229" i="4"/>
  <c r="E28" i="5"/>
  <c r="E229" i="4"/>
  <c r="F28" i="5"/>
  <c r="F229" i="4"/>
  <c r="H28" i="5"/>
  <c r="I28" i="5"/>
  <c r="H229" i="4"/>
  <c r="K28" i="5"/>
  <c r="L229" i="4"/>
  <c r="Q28" i="5"/>
  <c r="M229" i="4"/>
  <c r="R28" i="5"/>
  <c r="N229" i="4"/>
  <c r="T28" i="5"/>
  <c r="O229" i="4"/>
  <c r="U28" i="5"/>
  <c r="P229" i="4"/>
  <c r="W28" i="5"/>
  <c r="Q229" i="4"/>
  <c r="X28" i="5"/>
  <c r="S229" i="4"/>
  <c r="AA28" i="5"/>
  <c r="AI229" i="4"/>
  <c r="T229" i="4" a="1"/>
  <c r="T229" i="4"/>
  <c r="AC28" i="5"/>
  <c r="U229" i="4" a="1"/>
  <c r="U229" i="4"/>
  <c r="AD28" i="5"/>
  <c r="X229" i="4"/>
  <c r="AI28" i="5"/>
  <c r="Y229" i="4"/>
  <c r="AJ28" i="5"/>
  <c r="Z229" i="4"/>
  <c r="AL28" i="5"/>
  <c r="L28" i="5"/>
  <c r="N28" i="5"/>
  <c r="O28" i="5"/>
  <c r="Z28" i="5"/>
  <c r="AN28" i="5"/>
  <c r="O29" i="5"/>
  <c r="B233" i="4"/>
  <c r="H233" i="4"/>
  <c r="K29" i="5"/>
  <c r="AG29" i="5"/>
  <c r="AF29" i="5"/>
  <c r="C233" i="4"/>
  <c r="C29" i="5"/>
  <c r="D233" i="4"/>
  <c r="E29" i="5"/>
  <c r="I233" i="4"/>
  <c r="L29" i="5"/>
  <c r="J233" i="4"/>
  <c r="N29" i="5"/>
  <c r="L233" i="4"/>
  <c r="Q29" i="5"/>
  <c r="M233" i="4"/>
  <c r="R29" i="5"/>
  <c r="T29" i="5"/>
  <c r="O233" i="4"/>
  <c r="U29" i="5"/>
  <c r="P233" i="4"/>
  <c r="W29" i="5"/>
  <c r="Q233" i="4"/>
  <c r="X29" i="5"/>
  <c r="AA29" i="5"/>
  <c r="AI233" i="4"/>
  <c r="T233" i="4" a="1"/>
  <c r="T233" i="4"/>
  <c r="AC29" i="5"/>
  <c r="U233" i="4" a="1"/>
  <c r="U233" i="4"/>
  <c r="AD29" i="5"/>
  <c r="Y233" i="4"/>
  <c r="AJ29" i="5"/>
  <c r="Z233" i="4"/>
  <c r="AL29" i="5"/>
  <c r="F29" i="5"/>
  <c r="H29" i="5"/>
  <c r="I29" i="5"/>
  <c r="Z29" i="5"/>
  <c r="AN29" i="5"/>
  <c r="AG30" i="5"/>
  <c r="AF30" i="5"/>
  <c r="B234" i="4"/>
  <c r="C234" i="4"/>
  <c r="C30" i="5"/>
  <c r="D234" i="4"/>
  <c r="E30" i="5"/>
  <c r="H234" i="4"/>
  <c r="K30" i="5"/>
  <c r="L234" i="4"/>
  <c r="Q30" i="5"/>
  <c r="M234" i="4"/>
  <c r="R30" i="5"/>
  <c r="T30" i="5"/>
  <c r="O234" i="4"/>
  <c r="U30" i="5"/>
  <c r="P234" i="4"/>
  <c r="W30" i="5"/>
  <c r="Q234" i="4"/>
  <c r="X30" i="5"/>
  <c r="AA30" i="5"/>
  <c r="AI234" i="4"/>
  <c r="T234" i="4" a="1"/>
  <c r="T234" i="4"/>
  <c r="AC30" i="5"/>
  <c r="U234" i="4" a="1"/>
  <c r="U234" i="4"/>
  <c r="AD30" i="5"/>
  <c r="Y234" i="4"/>
  <c r="AJ30" i="5"/>
  <c r="Z234" i="4"/>
  <c r="AL30" i="5"/>
  <c r="L30" i="5"/>
  <c r="N30" i="5"/>
  <c r="O30" i="5"/>
  <c r="F30" i="5"/>
  <c r="H30" i="5"/>
  <c r="I30" i="5"/>
  <c r="Z30" i="5"/>
  <c r="AN30" i="5"/>
  <c r="S45" i="4"/>
  <c r="AA31" i="5"/>
  <c r="P45" i="4"/>
  <c r="W31" i="5"/>
  <c r="AG31" i="5"/>
  <c r="AF31" i="5"/>
  <c r="C45" i="4"/>
  <c r="C31" i="5"/>
  <c r="D45" i="4"/>
  <c r="E31" i="5"/>
  <c r="K31" i="5"/>
  <c r="L45" i="4"/>
  <c r="Q31" i="5"/>
  <c r="M45" i="4"/>
  <c r="R31" i="5"/>
  <c r="T31" i="5"/>
  <c r="O45" i="4"/>
  <c r="U31" i="5"/>
  <c r="Q45" i="4"/>
  <c r="X31" i="5"/>
  <c r="R45" i="4"/>
  <c r="Z31" i="5"/>
  <c r="AI45" i="4"/>
  <c r="T45" i="4" a="1"/>
  <c r="T45" i="4"/>
  <c r="AC31" i="5"/>
  <c r="U45" i="4" a="1"/>
  <c r="U45" i="4"/>
  <c r="AD31" i="5"/>
  <c r="AI31" i="5"/>
  <c r="Y45" i="4"/>
  <c r="AJ31" i="5"/>
  <c r="Z45" i="4"/>
  <c r="AL31" i="5"/>
  <c r="L31" i="5"/>
  <c r="N31" i="5"/>
  <c r="O31" i="5"/>
  <c r="F31" i="5"/>
  <c r="H31" i="5"/>
  <c r="I31" i="5"/>
  <c r="AN31" i="5"/>
  <c r="B46" i="4"/>
  <c r="S46" i="4"/>
  <c r="AA32" i="5"/>
  <c r="P46" i="4"/>
  <c r="W32" i="5"/>
  <c r="AG32" i="5"/>
  <c r="AF32" i="5"/>
  <c r="C46" i="4"/>
  <c r="C32" i="5"/>
  <c r="D46" i="4"/>
  <c r="E32" i="5"/>
  <c r="K32" i="5"/>
  <c r="L46" i="4"/>
  <c r="Q32" i="5"/>
  <c r="M46" i="4"/>
  <c r="R32" i="5"/>
  <c r="T32" i="5"/>
  <c r="O46" i="4"/>
  <c r="U32" i="5"/>
  <c r="Q46" i="4"/>
  <c r="X32" i="5"/>
  <c r="R46" i="4"/>
  <c r="Z32" i="5"/>
  <c r="AI46" i="4"/>
  <c r="T46" i="4" a="1"/>
  <c r="T46" i="4"/>
  <c r="AC32" i="5"/>
  <c r="U46" i="4" a="1"/>
  <c r="U46" i="4"/>
  <c r="AD32" i="5"/>
  <c r="X46" i="4"/>
  <c r="AI32" i="5"/>
  <c r="Y46" i="4"/>
  <c r="AJ32" i="5"/>
  <c r="Z46" i="4"/>
  <c r="AL32" i="5"/>
  <c r="L32" i="5"/>
  <c r="N32" i="5"/>
  <c r="O32" i="5"/>
  <c r="F32" i="5"/>
  <c r="H32" i="5"/>
  <c r="I32" i="5"/>
  <c r="AN32" i="5"/>
  <c r="B47" i="4"/>
  <c r="S47" i="4"/>
  <c r="AA33" i="5"/>
  <c r="P47" i="4"/>
  <c r="W33" i="5"/>
  <c r="AG33" i="5"/>
  <c r="AF33" i="5"/>
  <c r="C47" i="4"/>
  <c r="C33" i="5"/>
  <c r="D47" i="4"/>
  <c r="E33" i="5"/>
  <c r="K33" i="5"/>
  <c r="L47" i="4"/>
  <c r="Q33" i="5"/>
  <c r="M47" i="4"/>
  <c r="R33" i="5"/>
  <c r="T33" i="5"/>
  <c r="O47" i="4"/>
  <c r="U33" i="5"/>
  <c r="Q47" i="4"/>
  <c r="X33" i="5"/>
  <c r="R47" i="4"/>
  <c r="Z33" i="5"/>
  <c r="AI47" i="4"/>
  <c r="T47" i="4" a="1"/>
  <c r="T47" i="4"/>
  <c r="AC33" i="5"/>
  <c r="U47" i="4" a="1"/>
  <c r="U47" i="4"/>
  <c r="AD33" i="5"/>
  <c r="X47" i="4"/>
  <c r="AI33" i="5"/>
  <c r="Y47" i="4"/>
  <c r="AJ33" i="5"/>
  <c r="Z47" i="4"/>
  <c r="AL33" i="5"/>
  <c r="L33" i="5"/>
  <c r="N33" i="5"/>
  <c r="O33" i="5"/>
  <c r="F33" i="5"/>
  <c r="H33" i="5"/>
  <c r="I33" i="5"/>
  <c r="AN33" i="5"/>
  <c r="B49" i="4"/>
  <c r="S49" i="4"/>
  <c r="AA34" i="5"/>
  <c r="P49" i="4"/>
  <c r="W34" i="5"/>
  <c r="AG34" i="5"/>
  <c r="AF34" i="5"/>
  <c r="C49" i="4"/>
  <c r="C34" i="5"/>
  <c r="D49" i="4"/>
  <c r="E34" i="5"/>
  <c r="K34" i="5"/>
  <c r="L49" i="4"/>
  <c r="Q34" i="5"/>
  <c r="M49" i="4"/>
  <c r="R34" i="5"/>
  <c r="T34" i="5"/>
  <c r="O49" i="4"/>
  <c r="U34" i="5"/>
  <c r="Q49" i="4"/>
  <c r="X34" i="5"/>
  <c r="R49" i="4"/>
  <c r="Z34" i="5"/>
  <c r="AI49" i="4"/>
  <c r="T49" i="4" a="1"/>
  <c r="T49" i="4"/>
  <c r="AC34" i="5"/>
  <c r="U49" i="4" a="1"/>
  <c r="U49" i="4"/>
  <c r="AD34" i="5"/>
  <c r="X49" i="4"/>
  <c r="AI34" i="5"/>
  <c r="Y49" i="4"/>
  <c r="AJ34" i="5"/>
  <c r="Z49" i="4"/>
  <c r="AL34" i="5"/>
  <c r="L34" i="5"/>
  <c r="N34" i="5"/>
  <c r="O34" i="5"/>
  <c r="F34" i="5"/>
  <c r="H34" i="5"/>
  <c r="I34" i="5"/>
  <c r="AN34" i="5"/>
  <c r="AG35" i="5"/>
  <c r="AF35" i="5"/>
  <c r="C101" i="4"/>
  <c r="C35" i="5"/>
  <c r="D101" i="4"/>
  <c r="E35" i="5"/>
  <c r="K35" i="5"/>
  <c r="L101" i="4"/>
  <c r="Q35" i="5"/>
  <c r="M101" i="4"/>
  <c r="R35" i="5"/>
  <c r="T35" i="5"/>
  <c r="O101" i="4"/>
  <c r="U35" i="5"/>
  <c r="P101" i="4"/>
  <c r="W35" i="5"/>
  <c r="Q101" i="4"/>
  <c r="X35" i="5"/>
  <c r="S101" i="4"/>
  <c r="AA35" i="5"/>
  <c r="AI101" i="4"/>
  <c r="T101" i="4" a="1"/>
  <c r="T101" i="4"/>
  <c r="AC35" i="5"/>
  <c r="U101" i="4" a="1"/>
  <c r="U101" i="4"/>
  <c r="AD35" i="5"/>
  <c r="AI35" i="5"/>
  <c r="Y101" i="4"/>
  <c r="AJ35" i="5"/>
  <c r="Z101" i="4"/>
  <c r="AL35" i="5"/>
  <c r="L35" i="5"/>
  <c r="F35" i="5"/>
  <c r="H35" i="5"/>
  <c r="I35" i="5"/>
  <c r="N35" i="5"/>
  <c r="O35" i="5"/>
  <c r="Z35" i="5"/>
  <c r="AN35" i="5"/>
  <c r="AG36" i="5"/>
  <c r="AF36" i="5"/>
  <c r="C202" i="4"/>
  <c r="C36" i="5"/>
  <c r="D202" i="4"/>
  <c r="E36" i="5"/>
  <c r="K36" i="5"/>
  <c r="L202" i="4"/>
  <c r="Q36" i="5"/>
  <c r="M202" i="4"/>
  <c r="R36" i="5"/>
  <c r="T36" i="5"/>
  <c r="O202" i="4"/>
  <c r="U36" i="5"/>
  <c r="P202" i="4"/>
  <c r="W36" i="5"/>
  <c r="Q202" i="4"/>
  <c r="X36" i="5"/>
  <c r="S202" i="4"/>
  <c r="AA36" i="5"/>
  <c r="AI202" i="4"/>
  <c r="T202" i="4" a="1"/>
  <c r="T202" i="4"/>
  <c r="AC36" i="5"/>
  <c r="U202" i="4" a="1"/>
  <c r="U202" i="4"/>
  <c r="AD36" i="5"/>
  <c r="X202" i="4"/>
  <c r="AI36" i="5"/>
  <c r="Y202" i="4"/>
  <c r="AJ36" i="5"/>
  <c r="Z202" i="4"/>
  <c r="AL36" i="5"/>
  <c r="L36" i="5"/>
  <c r="F36" i="5"/>
  <c r="H36" i="5"/>
  <c r="I36" i="5"/>
  <c r="N36" i="5"/>
  <c r="O36" i="5"/>
  <c r="Z36" i="5"/>
  <c r="AN36" i="5"/>
  <c r="AG37" i="5"/>
  <c r="AF37" i="5"/>
  <c r="C203" i="4"/>
  <c r="C37" i="5"/>
  <c r="D203" i="4"/>
  <c r="E37" i="5"/>
  <c r="K37" i="5"/>
  <c r="L203" i="4"/>
  <c r="Q37" i="5"/>
  <c r="M203" i="4"/>
  <c r="R37" i="5"/>
  <c r="T37" i="5"/>
  <c r="O203" i="4"/>
  <c r="U37" i="5"/>
  <c r="P203" i="4"/>
  <c r="W37" i="5"/>
  <c r="S203" i="4"/>
  <c r="AA37" i="5"/>
  <c r="AI203" i="4"/>
  <c r="T203" i="4" a="1"/>
  <c r="T203" i="4"/>
  <c r="AC37" i="5"/>
  <c r="U203" i="4" a="1"/>
  <c r="U203" i="4"/>
  <c r="AD37" i="5"/>
  <c r="X203" i="4"/>
  <c r="AI37" i="5"/>
  <c r="Y203" i="4"/>
  <c r="AJ37" i="5"/>
  <c r="Z203" i="4"/>
  <c r="AL37" i="5"/>
  <c r="L37" i="5"/>
  <c r="F37" i="5"/>
  <c r="H37" i="5"/>
  <c r="I37" i="5"/>
  <c r="N37" i="5"/>
  <c r="O37" i="5"/>
  <c r="Z37" i="5"/>
  <c r="AN37" i="5"/>
  <c r="AG38" i="5"/>
  <c r="AF38" i="5"/>
  <c r="B50" i="4"/>
  <c r="C50" i="4"/>
  <c r="C38" i="5"/>
  <c r="D50" i="4"/>
  <c r="E38" i="5"/>
  <c r="H50" i="4"/>
  <c r="K38" i="5"/>
  <c r="L50" i="4"/>
  <c r="Q38" i="5"/>
  <c r="M50" i="4"/>
  <c r="R38" i="5"/>
  <c r="T38" i="5"/>
  <c r="U38" i="5"/>
  <c r="P50" i="4"/>
  <c r="W38" i="5"/>
  <c r="Q50" i="4"/>
  <c r="X38" i="5"/>
  <c r="AA38" i="5"/>
  <c r="AI50" i="4"/>
  <c r="T50" i="4" a="1"/>
  <c r="T50" i="4"/>
  <c r="AC38" i="5"/>
  <c r="U50" i="4" a="1"/>
  <c r="U50" i="4"/>
  <c r="AD38" i="5"/>
  <c r="X50" i="4"/>
  <c r="AI38" i="5"/>
  <c r="Y50" i="4"/>
  <c r="AJ38" i="5"/>
  <c r="Z50" i="4"/>
  <c r="AL38" i="5"/>
  <c r="F38" i="5"/>
  <c r="H38" i="5"/>
  <c r="I38" i="5"/>
  <c r="L38" i="5"/>
  <c r="N38" i="5"/>
  <c r="O38" i="5"/>
  <c r="Z38" i="5"/>
  <c r="AN38" i="5"/>
  <c r="AG39" i="5"/>
  <c r="AF39" i="5"/>
  <c r="B51" i="4"/>
  <c r="C51" i="4"/>
  <c r="C39" i="5"/>
  <c r="D51" i="4"/>
  <c r="E39" i="5"/>
  <c r="H51" i="4"/>
  <c r="K39" i="5"/>
  <c r="L51" i="4"/>
  <c r="Q39" i="5"/>
  <c r="M51" i="4"/>
  <c r="R39" i="5"/>
  <c r="N51" i="4"/>
  <c r="T39" i="5"/>
  <c r="O51" i="4"/>
  <c r="U39" i="5"/>
  <c r="P51" i="4"/>
  <c r="W39" i="5"/>
  <c r="Q51" i="4"/>
  <c r="X39" i="5"/>
  <c r="AA39" i="5"/>
  <c r="AI51" i="4"/>
  <c r="T51" i="4" a="1"/>
  <c r="T51" i="4"/>
  <c r="AC39" i="5"/>
  <c r="U51" i="4" a="1"/>
  <c r="U51" i="4"/>
  <c r="AD39" i="5"/>
  <c r="X51" i="4"/>
  <c r="AI39" i="5"/>
  <c r="Y51" i="4"/>
  <c r="AJ39" i="5"/>
  <c r="Z51" i="4"/>
  <c r="AL39" i="5"/>
  <c r="F39" i="5"/>
  <c r="H39" i="5"/>
  <c r="I39" i="5"/>
  <c r="L39" i="5"/>
  <c r="N39" i="5"/>
  <c r="O39" i="5"/>
  <c r="Z39" i="5"/>
  <c r="AN39" i="5"/>
  <c r="AG40" i="5"/>
  <c r="AF40" i="5"/>
  <c r="B52" i="4"/>
  <c r="C52" i="4"/>
  <c r="C40" i="5"/>
  <c r="D52" i="4"/>
  <c r="E40" i="5"/>
  <c r="H52" i="4"/>
  <c r="K40" i="5"/>
  <c r="L52" i="4"/>
  <c r="Q40" i="5"/>
  <c r="M52" i="4"/>
  <c r="R40" i="5"/>
  <c r="T40" i="5"/>
  <c r="U40" i="5"/>
  <c r="P52" i="4"/>
  <c r="W40" i="5"/>
  <c r="Q52" i="4"/>
  <c r="X40" i="5"/>
  <c r="AA40" i="5"/>
  <c r="AI52" i="4"/>
  <c r="T52" i="4" a="1"/>
  <c r="T52" i="4"/>
  <c r="AC40" i="5"/>
  <c r="U52" i="4" a="1"/>
  <c r="U52" i="4"/>
  <c r="AD40" i="5"/>
  <c r="X52" i="4"/>
  <c r="AI40" i="5"/>
  <c r="Y52" i="4"/>
  <c r="AJ40" i="5"/>
  <c r="Z52" i="4"/>
  <c r="AL40" i="5"/>
  <c r="F40" i="5"/>
  <c r="H40" i="5"/>
  <c r="I40" i="5"/>
  <c r="L40" i="5"/>
  <c r="N40" i="5"/>
  <c r="O40" i="5"/>
  <c r="Z40" i="5"/>
  <c r="AN40" i="5"/>
  <c r="AG41" i="5"/>
  <c r="AF41" i="5"/>
  <c r="C58" i="4"/>
  <c r="C41" i="5"/>
  <c r="D58" i="4"/>
  <c r="E41" i="5"/>
  <c r="H58" i="4"/>
  <c r="K41" i="5"/>
  <c r="L58" i="4"/>
  <c r="Q41" i="5"/>
  <c r="M58" i="4"/>
  <c r="R41" i="5"/>
  <c r="T41" i="5"/>
  <c r="U41" i="5"/>
  <c r="P58" i="4"/>
  <c r="W41" i="5"/>
  <c r="Q58" i="4"/>
  <c r="X41" i="5"/>
  <c r="AA41" i="5"/>
  <c r="AI58" i="4"/>
  <c r="T58" i="4" a="1"/>
  <c r="T58" i="4"/>
  <c r="AC41" i="5"/>
  <c r="U58" i="4" a="1"/>
  <c r="U58" i="4"/>
  <c r="AD41" i="5"/>
  <c r="X58" i="4"/>
  <c r="AI41" i="5"/>
  <c r="Y58" i="4"/>
  <c r="AJ41" i="5"/>
  <c r="Z58" i="4"/>
  <c r="AL41" i="5"/>
  <c r="F41" i="5"/>
  <c r="H41" i="5"/>
  <c r="I41" i="5"/>
  <c r="L41" i="5"/>
  <c r="N41" i="5"/>
  <c r="O41" i="5"/>
  <c r="Z41" i="5"/>
  <c r="AN41" i="5"/>
  <c r="AG42" i="5"/>
  <c r="AF42" i="5"/>
  <c r="B36" i="4"/>
  <c r="C36" i="4"/>
  <c r="C42" i="5"/>
  <c r="D36" i="4"/>
  <c r="E42" i="5"/>
  <c r="H36" i="4"/>
  <c r="K42" i="5"/>
  <c r="L36" i="4"/>
  <c r="Q42" i="5"/>
  <c r="M36" i="4"/>
  <c r="R42" i="5"/>
  <c r="T42" i="5"/>
  <c r="U42" i="5"/>
  <c r="P36" i="4"/>
  <c r="W42" i="5"/>
  <c r="Q36" i="4"/>
  <c r="X42" i="5"/>
  <c r="AA42" i="5"/>
  <c r="AI36" i="4"/>
  <c r="T36" i="4" a="1"/>
  <c r="T36" i="4"/>
  <c r="AC42" i="5"/>
  <c r="U36" i="4" a="1"/>
  <c r="U36" i="4"/>
  <c r="AD42" i="5"/>
  <c r="X36" i="4"/>
  <c r="AI42" i="5"/>
  <c r="Y36" i="4"/>
  <c r="AJ42" i="5"/>
  <c r="Z36" i="4"/>
  <c r="AL42" i="5"/>
  <c r="F42" i="5"/>
  <c r="H42" i="5"/>
  <c r="I42" i="5"/>
  <c r="L42" i="5"/>
  <c r="N42" i="5"/>
  <c r="O42" i="5"/>
  <c r="Z42" i="5"/>
  <c r="AN42" i="5"/>
  <c r="AG43" i="5"/>
  <c r="AF43" i="5"/>
  <c r="C53" i="4"/>
  <c r="C43" i="5"/>
  <c r="T43" i="5"/>
  <c r="O53" i="4"/>
  <c r="U43" i="5"/>
  <c r="P53" i="4"/>
  <c r="W43" i="5"/>
  <c r="Q53" i="4"/>
  <c r="X43" i="5"/>
  <c r="AA43" i="5"/>
  <c r="AI53" i="4"/>
  <c r="T53" i="4" a="1"/>
  <c r="T53" i="4"/>
  <c r="AC43" i="5"/>
  <c r="U53" i="4" a="1"/>
  <c r="U53" i="4"/>
  <c r="AD43" i="5"/>
  <c r="X53" i="4"/>
  <c r="AI43" i="5"/>
  <c r="Y53" i="4"/>
  <c r="AJ43" i="5"/>
  <c r="Z53" i="4"/>
  <c r="AL43" i="5"/>
  <c r="F43" i="5"/>
  <c r="H43" i="5"/>
  <c r="I43" i="5"/>
  <c r="L43" i="5"/>
  <c r="N43" i="5"/>
  <c r="O43" i="5"/>
  <c r="Z43" i="5"/>
  <c r="AN43" i="5"/>
  <c r="AG44" i="5"/>
  <c r="AF44" i="5"/>
  <c r="C88" i="4"/>
  <c r="C44" i="5"/>
  <c r="N88" i="4"/>
  <c r="T44" i="5"/>
  <c r="O88" i="4"/>
  <c r="U44" i="5"/>
  <c r="P88" i="4"/>
  <c r="W44" i="5"/>
  <c r="Q88" i="4"/>
  <c r="X44" i="5"/>
  <c r="AA44" i="5"/>
  <c r="AI88" i="4"/>
  <c r="T88" i="4" a="1"/>
  <c r="T88" i="4"/>
  <c r="AC44" i="5"/>
  <c r="U88" i="4" a="1"/>
  <c r="U88" i="4"/>
  <c r="AD44" i="5"/>
  <c r="X88" i="4"/>
  <c r="AI44" i="5"/>
  <c r="Y88" i="4"/>
  <c r="AJ44" i="5"/>
  <c r="Z88" i="4"/>
  <c r="AL44" i="5"/>
  <c r="F44" i="5"/>
  <c r="H44" i="5"/>
  <c r="I44" i="5"/>
  <c r="L44" i="5"/>
  <c r="N44" i="5"/>
  <c r="O44" i="5"/>
  <c r="Z44" i="5"/>
  <c r="AN44" i="5"/>
  <c r="AG45" i="5"/>
  <c r="AF45" i="5"/>
  <c r="C59" i="4"/>
  <c r="C45" i="5"/>
  <c r="T45" i="5"/>
  <c r="O59" i="4"/>
  <c r="U45" i="5"/>
  <c r="P59" i="4"/>
  <c r="W45" i="5"/>
  <c r="Q59" i="4"/>
  <c r="X45" i="5"/>
  <c r="AA45" i="5"/>
  <c r="AI59" i="4"/>
  <c r="T59" i="4" a="1"/>
  <c r="T59" i="4"/>
  <c r="AC45" i="5"/>
  <c r="U59" i="4" a="1"/>
  <c r="U59" i="4"/>
  <c r="AD45" i="5"/>
  <c r="X59" i="4"/>
  <c r="AI45" i="5"/>
  <c r="Y59" i="4"/>
  <c r="AJ45" i="5"/>
  <c r="Z59" i="4"/>
  <c r="AL45" i="5"/>
  <c r="Z45" i="5"/>
  <c r="AN45" i="5"/>
  <c r="AG46" i="5"/>
  <c r="AF46" i="5"/>
  <c r="C260" i="4"/>
  <c r="C46" i="5"/>
  <c r="D260" i="4"/>
  <c r="E46" i="5"/>
  <c r="H260" i="4"/>
  <c r="K46" i="5"/>
  <c r="L260" i="4"/>
  <c r="Q46" i="5"/>
  <c r="M260" i="4"/>
  <c r="R46" i="5"/>
  <c r="T46" i="5"/>
  <c r="U46" i="5"/>
  <c r="P260" i="4"/>
  <c r="W46" i="5"/>
  <c r="Q260" i="4"/>
  <c r="X46" i="5"/>
  <c r="AA46" i="5"/>
  <c r="AI260" i="4"/>
  <c r="T260" i="4" a="1"/>
  <c r="T260" i="4"/>
  <c r="AC46" i="5"/>
  <c r="U260" i="4" a="1"/>
  <c r="U260" i="4"/>
  <c r="AD46" i="5"/>
  <c r="Y260" i="4"/>
  <c r="AJ46" i="5"/>
  <c r="Z260" i="4"/>
  <c r="AL46" i="5"/>
  <c r="F46" i="5"/>
  <c r="H46" i="5"/>
  <c r="I46" i="5"/>
  <c r="L46" i="5"/>
  <c r="N46" i="5"/>
  <c r="O46" i="5"/>
  <c r="Z46" i="5"/>
  <c r="AN46" i="5"/>
  <c r="AG47" i="5"/>
  <c r="AF47" i="5"/>
  <c r="C54" i="4"/>
  <c r="C47" i="5"/>
  <c r="D54" i="4"/>
  <c r="E47" i="5"/>
  <c r="H54" i="4"/>
  <c r="K47" i="5"/>
  <c r="L54" i="4"/>
  <c r="Q47" i="5"/>
  <c r="M54" i="4"/>
  <c r="R47" i="5"/>
  <c r="T47" i="5"/>
  <c r="O54" i="4"/>
  <c r="U47" i="5"/>
  <c r="P54" i="4"/>
  <c r="W47" i="5"/>
  <c r="Q54" i="4"/>
  <c r="X47" i="5"/>
  <c r="AA47" i="5"/>
  <c r="AI54" i="4"/>
  <c r="T54" i="4" a="1"/>
  <c r="T54" i="4"/>
  <c r="AC47" i="5"/>
  <c r="U54" i="4" a="1"/>
  <c r="U54" i="4"/>
  <c r="AD47" i="5"/>
  <c r="X54" i="4"/>
  <c r="AI47" i="5"/>
  <c r="Y54" i="4"/>
  <c r="AJ47" i="5"/>
  <c r="Z54" i="4"/>
  <c r="AL47" i="5"/>
  <c r="F47" i="5"/>
  <c r="H47" i="5"/>
  <c r="I47" i="5"/>
  <c r="L47" i="5"/>
  <c r="N47" i="5"/>
  <c r="O47" i="5"/>
  <c r="Z47" i="5"/>
  <c r="AN47" i="5"/>
  <c r="AG48" i="5"/>
  <c r="AF48" i="5"/>
  <c r="B89" i="4"/>
  <c r="C89" i="4"/>
  <c r="C48" i="5"/>
  <c r="D89" i="4"/>
  <c r="E48" i="5"/>
  <c r="H89" i="4"/>
  <c r="K48" i="5"/>
  <c r="L89" i="4"/>
  <c r="Q48" i="5"/>
  <c r="M89" i="4"/>
  <c r="R48" i="5"/>
  <c r="T48" i="5"/>
  <c r="U48" i="5"/>
  <c r="P89" i="4"/>
  <c r="W48" i="5"/>
  <c r="Q89" i="4"/>
  <c r="X48" i="5"/>
  <c r="AA48" i="5"/>
  <c r="AI89" i="4"/>
  <c r="T89" i="4" a="1"/>
  <c r="T89" i="4"/>
  <c r="AC48" i="5"/>
  <c r="U89" i="4" a="1"/>
  <c r="U89" i="4"/>
  <c r="AD48" i="5"/>
  <c r="X89" i="4"/>
  <c r="AI48" i="5"/>
  <c r="Y89" i="4"/>
  <c r="AJ48" i="5"/>
  <c r="Z89" i="4"/>
  <c r="AL48" i="5"/>
  <c r="F48" i="5"/>
  <c r="H48" i="5"/>
  <c r="I48" i="5"/>
  <c r="L48" i="5"/>
  <c r="N48" i="5"/>
  <c r="O48" i="5"/>
  <c r="Z48" i="5"/>
  <c r="AN48" i="5"/>
  <c r="AG49" i="5"/>
  <c r="AF49" i="5"/>
  <c r="B26" i="4"/>
  <c r="C26" i="4"/>
  <c r="C49" i="5"/>
  <c r="D26" i="4"/>
  <c r="E49" i="5"/>
  <c r="H26" i="4"/>
  <c r="K49" i="5"/>
  <c r="L26" i="4"/>
  <c r="Q49" i="5"/>
  <c r="M26" i="4"/>
  <c r="R49" i="5"/>
  <c r="T49" i="5"/>
  <c r="O26" i="4"/>
  <c r="U49" i="5"/>
  <c r="P26" i="4"/>
  <c r="W49" i="5"/>
  <c r="Q26" i="4"/>
  <c r="X49" i="5"/>
  <c r="AA49" i="5"/>
  <c r="AI26" i="4"/>
  <c r="T26" i="4" a="1"/>
  <c r="T26" i="4"/>
  <c r="AC49" i="5"/>
  <c r="U26" i="4" a="1"/>
  <c r="U26" i="4"/>
  <c r="AD49" i="5"/>
  <c r="X26" i="4"/>
  <c r="AI49" i="5"/>
  <c r="Y26" i="4"/>
  <c r="AJ49" i="5"/>
  <c r="Z26" i="4"/>
  <c r="AL49" i="5"/>
  <c r="F49" i="5"/>
  <c r="H49" i="5"/>
  <c r="I49" i="5"/>
  <c r="L49" i="5"/>
  <c r="N49" i="5"/>
  <c r="O49" i="5"/>
  <c r="Z49" i="5"/>
  <c r="AN49" i="5"/>
  <c r="AG50" i="5"/>
  <c r="AF50" i="5"/>
  <c r="B272" i="4"/>
  <c r="C272" i="4"/>
  <c r="C50" i="5"/>
  <c r="D272" i="4"/>
  <c r="E50" i="5"/>
  <c r="L272" i="4"/>
  <c r="Q50" i="5"/>
  <c r="M272" i="4"/>
  <c r="R50" i="5"/>
  <c r="T50" i="5"/>
  <c r="U50" i="5"/>
  <c r="P272" i="4"/>
  <c r="W50" i="5"/>
  <c r="Q272" i="4"/>
  <c r="X50" i="5"/>
  <c r="S272" i="4"/>
  <c r="AA50" i="5"/>
  <c r="AI272" i="4"/>
  <c r="T272" i="4" a="1"/>
  <c r="T272" i="4"/>
  <c r="AC50" i="5"/>
  <c r="U272" i="4" a="1"/>
  <c r="U272" i="4"/>
  <c r="AD50" i="5"/>
  <c r="X272" i="4"/>
  <c r="AI50" i="5"/>
  <c r="Y272" i="4"/>
  <c r="AJ50" i="5"/>
  <c r="Z272" i="4"/>
  <c r="AL50" i="5"/>
  <c r="L50" i="5"/>
  <c r="F50" i="5"/>
  <c r="H50" i="5"/>
  <c r="I50" i="5"/>
  <c r="N50" i="5"/>
  <c r="O50" i="5"/>
  <c r="Z50" i="5"/>
  <c r="AN50" i="5"/>
  <c r="AG51" i="5"/>
  <c r="AF51" i="5"/>
  <c r="B273" i="4"/>
  <c r="C273" i="4"/>
  <c r="C51" i="5"/>
  <c r="D273" i="4"/>
  <c r="E51" i="5"/>
  <c r="L273" i="4"/>
  <c r="Q51" i="5"/>
  <c r="M273" i="4"/>
  <c r="R51" i="5"/>
  <c r="N273" i="4"/>
  <c r="T51" i="5"/>
  <c r="O273" i="4"/>
  <c r="U51" i="5"/>
  <c r="P273" i="4"/>
  <c r="W51" i="5"/>
  <c r="Q273" i="4"/>
  <c r="X51" i="5"/>
  <c r="S273" i="4"/>
  <c r="AA51" i="5"/>
  <c r="X273" i="4"/>
  <c r="AI51" i="5"/>
  <c r="Y273" i="4"/>
  <c r="AJ51" i="5"/>
  <c r="Z273" i="4"/>
  <c r="AL51" i="5"/>
  <c r="L51" i="5"/>
  <c r="F51" i="5"/>
  <c r="H51" i="5"/>
  <c r="I51" i="5"/>
  <c r="N51" i="5"/>
  <c r="O51" i="5"/>
  <c r="Z51" i="5"/>
  <c r="AN51" i="5"/>
  <c r="AG52" i="5"/>
  <c r="AF52" i="5"/>
  <c r="C289" i="4"/>
  <c r="C52" i="5"/>
  <c r="D289" i="4"/>
  <c r="E52" i="5"/>
  <c r="L289" i="4"/>
  <c r="Q52" i="5"/>
  <c r="M289" i="4"/>
  <c r="R52" i="5"/>
  <c r="T52" i="5"/>
  <c r="U52" i="5"/>
  <c r="P289" i="4"/>
  <c r="W52" i="5"/>
  <c r="Q289" i="4"/>
  <c r="X52" i="5"/>
  <c r="S289" i="4"/>
  <c r="AA52" i="5"/>
  <c r="AI289" i="4"/>
  <c r="T289" i="4" a="1"/>
  <c r="T289" i="4"/>
  <c r="AC52" i="5"/>
  <c r="U289" i="4" a="1"/>
  <c r="U289" i="4"/>
  <c r="AD52" i="5"/>
  <c r="X289" i="4"/>
  <c r="AI52" i="5"/>
  <c r="Y289" i="4"/>
  <c r="AJ52" i="5"/>
  <c r="Z289" i="4"/>
  <c r="AL52" i="5"/>
  <c r="L52" i="5"/>
  <c r="F52" i="5"/>
  <c r="H52" i="5"/>
  <c r="I52" i="5"/>
  <c r="N52" i="5"/>
  <c r="O52" i="5"/>
  <c r="Z52" i="5"/>
  <c r="AN52" i="5"/>
  <c r="AG53" i="5"/>
  <c r="AF53" i="5"/>
  <c r="B205" i="4"/>
  <c r="C205" i="4"/>
  <c r="C53" i="5"/>
  <c r="D205" i="4"/>
  <c r="E53" i="5"/>
  <c r="L205" i="4"/>
  <c r="Q53" i="5"/>
  <c r="M205" i="4"/>
  <c r="R53" i="5"/>
  <c r="T53" i="5"/>
  <c r="U53" i="5"/>
  <c r="P205" i="4"/>
  <c r="W53" i="5"/>
  <c r="Q205" i="4"/>
  <c r="X53" i="5"/>
  <c r="S205" i="4"/>
  <c r="AA53" i="5"/>
  <c r="AI205" i="4"/>
  <c r="T205" i="4" a="1"/>
  <c r="T205" i="4"/>
  <c r="AC53" i="5"/>
  <c r="U205" i="4" a="1"/>
  <c r="U205" i="4"/>
  <c r="AD53" i="5"/>
  <c r="X205" i="4"/>
  <c r="AI53" i="5"/>
  <c r="Y205" i="4"/>
  <c r="AJ53" i="5"/>
  <c r="Z205" i="4"/>
  <c r="AL53" i="5"/>
  <c r="L53" i="5"/>
  <c r="F53" i="5"/>
  <c r="H53" i="5"/>
  <c r="I53" i="5"/>
  <c r="N53" i="5"/>
  <c r="O53" i="5"/>
  <c r="Z53" i="5"/>
  <c r="AN53" i="5"/>
  <c r="AG54" i="5"/>
  <c r="AF54" i="5"/>
  <c r="C169" i="4"/>
  <c r="C54" i="5"/>
  <c r="D169" i="4"/>
  <c r="E54" i="5"/>
  <c r="K54" i="5"/>
  <c r="I169" i="4"/>
  <c r="L54" i="5"/>
  <c r="J169" i="4"/>
  <c r="N54" i="5"/>
  <c r="O54" i="5"/>
  <c r="L169" i="4"/>
  <c r="Q54" i="5"/>
  <c r="M169" i="4"/>
  <c r="R54" i="5"/>
  <c r="T54" i="5"/>
  <c r="U54" i="5"/>
  <c r="P169" i="4"/>
  <c r="W54" i="5"/>
  <c r="Q169" i="4"/>
  <c r="X54" i="5"/>
  <c r="S169" i="4"/>
  <c r="AA54" i="5"/>
  <c r="AI169" i="4"/>
  <c r="T169" i="4" a="1"/>
  <c r="T169" i="4"/>
  <c r="AC54" i="5"/>
  <c r="U169" i="4" a="1"/>
  <c r="U169" i="4"/>
  <c r="AD54" i="5"/>
  <c r="X169" i="4"/>
  <c r="AI54" i="5"/>
  <c r="Y169" i="4"/>
  <c r="AJ54" i="5"/>
  <c r="Z169" i="4"/>
  <c r="AL54" i="5"/>
  <c r="F54" i="5"/>
  <c r="H54" i="5"/>
  <c r="I54" i="5"/>
  <c r="Z54" i="5"/>
  <c r="AN54" i="5"/>
  <c r="AG55" i="5"/>
  <c r="AF55" i="5"/>
  <c r="C103" i="4"/>
  <c r="C55" i="5"/>
  <c r="D103" i="4"/>
  <c r="E55" i="5"/>
  <c r="H103" i="4"/>
  <c r="K55" i="5"/>
  <c r="L103" i="4"/>
  <c r="Q55" i="5"/>
  <c r="M103" i="4"/>
  <c r="R55" i="5"/>
  <c r="N103" i="4"/>
  <c r="T55" i="5"/>
  <c r="O103" i="4"/>
  <c r="U55" i="5"/>
  <c r="P103" i="4"/>
  <c r="W55" i="5"/>
  <c r="Q103" i="4"/>
  <c r="X55" i="5"/>
  <c r="AA55" i="5"/>
  <c r="AI103" i="4"/>
  <c r="T103" i="4" a="1"/>
  <c r="T103" i="4"/>
  <c r="AC55" i="5"/>
  <c r="U103" i="4" a="1"/>
  <c r="U103" i="4"/>
  <c r="AD55" i="5"/>
  <c r="X103" i="4"/>
  <c r="AI55" i="5"/>
  <c r="Y103" i="4"/>
  <c r="AJ55" i="5"/>
  <c r="Z103" i="4"/>
  <c r="AL55" i="5"/>
  <c r="L55" i="5"/>
  <c r="N55" i="5"/>
  <c r="O55" i="5"/>
  <c r="F55" i="5"/>
  <c r="H55" i="5"/>
  <c r="I55" i="5"/>
  <c r="Z55" i="5"/>
  <c r="AN55" i="5"/>
  <c r="AG56" i="5"/>
  <c r="AF56" i="5"/>
  <c r="C104" i="4"/>
  <c r="C56" i="5"/>
  <c r="D104" i="4"/>
  <c r="E56" i="5"/>
  <c r="H104" i="4"/>
  <c r="K56" i="5"/>
  <c r="L104" i="4"/>
  <c r="Q56" i="5"/>
  <c r="M104" i="4"/>
  <c r="R56" i="5"/>
  <c r="N104" i="4"/>
  <c r="T56" i="5"/>
  <c r="O104" i="4"/>
  <c r="U56" i="5"/>
  <c r="P104" i="4"/>
  <c r="W56" i="5"/>
  <c r="Q104" i="4"/>
  <c r="X56" i="5"/>
  <c r="AA56" i="5"/>
  <c r="AI104" i="4"/>
  <c r="T104" i="4" a="1"/>
  <c r="T104" i="4"/>
  <c r="AC56" i="5"/>
  <c r="U104" i="4" a="1"/>
  <c r="U104" i="4"/>
  <c r="AD56" i="5"/>
  <c r="X104" i="4"/>
  <c r="AI56" i="5"/>
  <c r="Y104" i="4"/>
  <c r="AJ56" i="5"/>
  <c r="Z104" i="4"/>
  <c r="AL56" i="5"/>
  <c r="L56" i="5"/>
  <c r="N56" i="5"/>
  <c r="O56" i="5"/>
  <c r="F56" i="5"/>
  <c r="H56" i="5"/>
  <c r="I56" i="5"/>
  <c r="Z56" i="5"/>
  <c r="AN56" i="5"/>
  <c r="AG57" i="5"/>
  <c r="AF57" i="5"/>
  <c r="C105" i="4"/>
  <c r="C57" i="5"/>
  <c r="D105" i="4"/>
  <c r="E57" i="5"/>
  <c r="H105" i="4"/>
  <c r="K57" i="5"/>
  <c r="L105" i="4"/>
  <c r="Q57" i="5"/>
  <c r="M105" i="4"/>
  <c r="R57" i="5"/>
  <c r="T57" i="5"/>
  <c r="U57" i="5"/>
  <c r="P105" i="4"/>
  <c r="W57" i="5"/>
  <c r="Q105" i="4"/>
  <c r="X57" i="5"/>
  <c r="AA57" i="5"/>
  <c r="AI105" i="4"/>
  <c r="T105" i="4" a="1"/>
  <c r="T105" i="4"/>
  <c r="AC57" i="5"/>
  <c r="U105" i="4" a="1"/>
  <c r="U105" i="4"/>
  <c r="AD57" i="5"/>
  <c r="X105" i="4"/>
  <c r="AI57" i="5"/>
  <c r="Y105" i="4"/>
  <c r="AJ57" i="5"/>
  <c r="Z105" i="4"/>
  <c r="AL57" i="5"/>
  <c r="L57" i="5"/>
  <c r="N57" i="5"/>
  <c r="O57" i="5"/>
  <c r="F57" i="5"/>
  <c r="H57" i="5"/>
  <c r="I57" i="5"/>
  <c r="Z57" i="5"/>
  <c r="AN57" i="5"/>
  <c r="AG58" i="5"/>
  <c r="AF58" i="5"/>
  <c r="C106" i="4"/>
  <c r="C58" i="5"/>
  <c r="D106" i="4"/>
  <c r="E58" i="5"/>
  <c r="H106" i="4"/>
  <c r="K58" i="5"/>
  <c r="I106" i="4"/>
  <c r="L58" i="5"/>
  <c r="J106" i="4"/>
  <c r="N58" i="5"/>
  <c r="O58" i="5"/>
  <c r="L106" i="4"/>
  <c r="Q58" i="5"/>
  <c r="M106" i="4"/>
  <c r="R58" i="5"/>
  <c r="N106" i="4"/>
  <c r="T58" i="5"/>
  <c r="O106" i="4"/>
  <c r="U58" i="5"/>
  <c r="P106" i="4"/>
  <c r="W58" i="5"/>
  <c r="Q106" i="4"/>
  <c r="X58" i="5"/>
  <c r="AA58" i="5"/>
  <c r="AI106" i="4"/>
  <c r="T106" i="4" a="1"/>
  <c r="T106" i="4"/>
  <c r="AC58" i="5"/>
  <c r="U106" i="4" a="1"/>
  <c r="U106" i="4"/>
  <c r="AD58" i="5"/>
  <c r="X106" i="4"/>
  <c r="AI58" i="5"/>
  <c r="Y106" i="4"/>
  <c r="AJ58" i="5"/>
  <c r="Z106" i="4"/>
  <c r="AL58" i="5"/>
  <c r="F58" i="5"/>
  <c r="H58" i="5"/>
  <c r="I58" i="5"/>
  <c r="Z58" i="5"/>
  <c r="AN58" i="5"/>
  <c r="AG59" i="5"/>
  <c r="AF59" i="5"/>
  <c r="C107" i="4"/>
  <c r="C59" i="5"/>
  <c r="D107" i="4"/>
  <c r="E59" i="5"/>
  <c r="H107" i="4"/>
  <c r="K59" i="5"/>
  <c r="L107" i="4"/>
  <c r="Q59" i="5"/>
  <c r="M107" i="4"/>
  <c r="R59" i="5"/>
  <c r="N107" i="4"/>
  <c r="T59" i="5"/>
  <c r="O107" i="4"/>
  <c r="U59" i="5"/>
  <c r="P107" i="4"/>
  <c r="W59" i="5"/>
  <c r="Q107" i="4"/>
  <c r="X59" i="5"/>
  <c r="AA59" i="5"/>
  <c r="AI107" i="4"/>
  <c r="T107" i="4" a="1"/>
  <c r="T107" i="4"/>
  <c r="AC59" i="5"/>
  <c r="U107" i="4" a="1"/>
  <c r="U107" i="4"/>
  <c r="AD59" i="5"/>
  <c r="X107" i="4"/>
  <c r="AI59" i="5"/>
  <c r="Y107" i="4"/>
  <c r="AJ59" i="5"/>
  <c r="Z107" i="4"/>
  <c r="AL59" i="5"/>
  <c r="L59" i="5"/>
  <c r="N59" i="5"/>
  <c r="O59" i="5"/>
  <c r="F59" i="5"/>
  <c r="H59" i="5"/>
  <c r="I59" i="5"/>
  <c r="Z59" i="5"/>
  <c r="AN59" i="5"/>
  <c r="AG60" i="5"/>
  <c r="AF60" i="5"/>
  <c r="C108" i="4"/>
  <c r="C60" i="5"/>
  <c r="T60" i="5"/>
  <c r="U60" i="5"/>
  <c r="P108" i="4"/>
  <c r="W60" i="5"/>
  <c r="Q108" i="4"/>
  <c r="X60" i="5"/>
  <c r="AA60" i="5"/>
  <c r="AI108" i="4"/>
  <c r="T108" i="4" a="1"/>
  <c r="T108" i="4"/>
  <c r="AC60" i="5"/>
  <c r="U108" i="4" a="1"/>
  <c r="U108" i="4"/>
  <c r="AD60" i="5"/>
  <c r="X108" i="4"/>
  <c r="AI60" i="5"/>
  <c r="Y108" i="4"/>
  <c r="AJ60" i="5"/>
  <c r="Z108" i="4"/>
  <c r="AL60" i="5"/>
  <c r="F60" i="5"/>
  <c r="H60" i="5"/>
  <c r="I60" i="5"/>
  <c r="Z60" i="5"/>
  <c r="AN60" i="5"/>
  <c r="AA61" i="5"/>
  <c r="P5" i="4"/>
  <c r="W61" i="5"/>
  <c r="O61" i="5"/>
  <c r="K61" i="5"/>
  <c r="AG61" i="5"/>
  <c r="AF61" i="5"/>
  <c r="C5" i="4"/>
  <c r="C61" i="5"/>
  <c r="D5" i="4"/>
  <c r="E61" i="5"/>
  <c r="L61" i="5"/>
  <c r="N61" i="5"/>
  <c r="L5" i="4"/>
  <c r="Q61" i="5"/>
  <c r="O5" i="4"/>
  <c r="U61" i="5"/>
  <c r="Q5" i="4"/>
  <c r="X61" i="5"/>
  <c r="R5" i="4"/>
  <c r="Z61" i="5"/>
  <c r="AI5" i="4"/>
  <c r="T5" i="4" a="1"/>
  <c r="T5" i="4"/>
  <c r="AC61" i="5"/>
  <c r="U5" i="4" a="1"/>
  <c r="U5" i="4"/>
  <c r="AD61" i="5"/>
  <c r="X5" i="4"/>
  <c r="AI61" i="5"/>
  <c r="Y5" i="4"/>
  <c r="AJ61" i="5"/>
  <c r="Z5" i="4"/>
  <c r="AL61" i="5"/>
  <c r="R61" i="5"/>
  <c r="T61" i="5"/>
  <c r="F61" i="5"/>
  <c r="H61" i="5"/>
  <c r="I61" i="5"/>
  <c r="AN61" i="5"/>
  <c r="AG62" i="5"/>
  <c r="AF62" i="5"/>
  <c r="B37" i="4"/>
  <c r="C37" i="4"/>
  <c r="C62" i="5"/>
  <c r="D37" i="4"/>
  <c r="E62" i="5"/>
  <c r="H37" i="4"/>
  <c r="K62" i="5"/>
  <c r="L37" i="4"/>
  <c r="Q62" i="5"/>
  <c r="M37" i="4"/>
  <c r="R62" i="5"/>
  <c r="T62" i="5"/>
  <c r="U62" i="5"/>
  <c r="P37" i="4"/>
  <c r="W62" i="5"/>
  <c r="Q37" i="4"/>
  <c r="X62" i="5"/>
  <c r="AA62" i="5"/>
  <c r="AI37" i="4"/>
  <c r="T37" i="4" a="1"/>
  <c r="T37" i="4"/>
  <c r="AC62" i="5"/>
  <c r="U37" i="4" a="1"/>
  <c r="U37" i="4"/>
  <c r="AD62" i="5"/>
  <c r="AI62" i="5"/>
  <c r="Y37" i="4"/>
  <c r="AJ62" i="5"/>
  <c r="Z37" i="4"/>
  <c r="AL62" i="5"/>
  <c r="F62" i="5"/>
  <c r="H62" i="5"/>
  <c r="I62" i="5"/>
  <c r="L62" i="5"/>
  <c r="N62" i="5"/>
  <c r="O62" i="5"/>
  <c r="Z62" i="5"/>
  <c r="AN62" i="5"/>
  <c r="AG63" i="5"/>
  <c r="AF63" i="5"/>
  <c r="B38" i="4"/>
  <c r="C38" i="4"/>
  <c r="C63" i="5"/>
  <c r="D38" i="4"/>
  <c r="E63" i="5"/>
  <c r="H38" i="4"/>
  <c r="K63" i="5"/>
  <c r="L38" i="4"/>
  <c r="Q63" i="5"/>
  <c r="M38" i="4"/>
  <c r="R63" i="5"/>
  <c r="T63" i="5"/>
  <c r="U63" i="5"/>
  <c r="P38" i="4"/>
  <c r="W63" i="5"/>
  <c r="Q38" i="4"/>
  <c r="X63" i="5"/>
  <c r="AA63" i="5"/>
  <c r="AI38" i="4"/>
  <c r="T38" i="4" a="1"/>
  <c r="T38" i="4"/>
  <c r="AC63" i="5"/>
  <c r="U38" i="4" a="1"/>
  <c r="U38" i="4"/>
  <c r="AD63" i="5"/>
  <c r="Y38" i="4"/>
  <c r="AJ63" i="5"/>
  <c r="Z38" i="4"/>
  <c r="AL63" i="5"/>
  <c r="F63" i="5"/>
  <c r="H63" i="5"/>
  <c r="I63" i="5"/>
  <c r="L63" i="5"/>
  <c r="N63" i="5"/>
  <c r="O63" i="5"/>
  <c r="Z63" i="5"/>
  <c r="AN63" i="5"/>
  <c r="AG64" i="5"/>
  <c r="AF64" i="5"/>
  <c r="B39" i="4"/>
  <c r="C39" i="4"/>
  <c r="C64" i="5"/>
  <c r="D39" i="4"/>
  <c r="E64" i="5"/>
  <c r="H39" i="4"/>
  <c r="K64" i="5"/>
  <c r="L39" i="4"/>
  <c r="Q64" i="5"/>
  <c r="M39" i="4"/>
  <c r="R64" i="5"/>
  <c r="T64" i="5"/>
  <c r="U64" i="5"/>
  <c r="P39" i="4"/>
  <c r="W64" i="5"/>
  <c r="Q39" i="4"/>
  <c r="X64" i="5"/>
  <c r="AA64" i="5"/>
  <c r="AI39" i="4"/>
  <c r="T39" i="4" a="1"/>
  <c r="T39" i="4"/>
  <c r="AC64" i="5"/>
  <c r="U39" i="4" a="1"/>
  <c r="U39" i="4"/>
  <c r="AD64" i="5"/>
  <c r="Y39" i="4"/>
  <c r="AJ64" i="5"/>
  <c r="Z39" i="4"/>
  <c r="AL64" i="5"/>
  <c r="F64" i="5"/>
  <c r="H64" i="5"/>
  <c r="I64" i="5"/>
  <c r="L64" i="5"/>
  <c r="N64" i="5"/>
  <c r="O64" i="5"/>
  <c r="Z64" i="5"/>
  <c r="AN64" i="5"/>
  <c r="AG65" i="5"/>
  <c r="AF65" i="5"/>
  <c r="B109" i="4"/>
  <c r="C109" i="4"/>
  <c r="C65" i="5"/>
  <c r="D109" i="4"/>
  <c r="E65" i="5"/>
  <c r="H109" i="4"/>
  <c r="K65" i="5"/>
  <c r="L109" i="4"/>
  <c r="Q65" i="5"/>
  <c r="M109" i="4"/>
  <c r="R65" i="5"/>
  <c r="T65" i="5"/>
  <c r="U65" i="5"/>
  <c r="P109" i="4"/>
  <c r="W65" i="5"/>
  <c r="Q109" i="4"/>
  <c r="X65" i="5"/>
  <c r="AA65" i="5"/>
  <c r="AI109" i="4"/>
  <c r="T109" i="4" a="1"/>
  <c r="T109" i="4"/>
  <c r="AC65" i="5"/>
  <c r="U109" i="4" a="1"/>
  <c r="U109" i="4"/>
  <c r="AD65" i="5"/>
  <c r="X109" i="4"/>
  <c r="AI65" i="5"/>
  <c r="Y109" i="4"/>
  <c r="AJ65" i="5"/>
  <c r="Z109" i="4"/>
  <c r="AL65" i="5"/>
  <c r="F65" i="5"/>
  <c r="H65" i="5"/>
  <c r="I65" i="5"/>
  <c r="L65" i="5"/>
  <c r="N65" i="5"/>
  <c r="O65" i="5"/>
  <c r="Z65" i="5"/>
  <c r="AN65" i="5"/>
  <c r="AG66" i="5"/>
  <c r="AF66" i="5"/>
  <c r="B60" i="4"/>
  <c r="C60" i="4"/>
  <c r="C66" i="5"/>
  <c r="D60" i="4"/>
  <c r="E66" i="5"/>
  <c r="H60" i="4"/>
  <c r="K66" i="5"/>
  <c r="L60" i="4"/>
  <c r="Q66" i="5"/>
  <c r="M60" i="4"/>
  <c r="R66" i="5"/>
  <c r="T66" i="5"/>
  <c r="U66" i="5"/>
  <c r="P60" i="4"/>
  <c r="W66" i="5"/>
  <c r="Q60" i="4"/>
  <c r="X66" i="5"/>
  <c r="AA66" i="5"/>
  <c r="AI60" i="4"/>
  <c r="T60" i="4" a="1"/>
  <c r="T60" i="4"/>
  <c r="AC66" i="5"/>
  <c r="U60" i="4" a="1"/>
  <c r="U60" i="4"/>
  <c r="AD66" i="5"/>
  <c r="X60" i="4"/>
  <c r="AI66" i="5"/>
  <c r="Y60" i="4"/>
  <c r="AJ66" i="5"/>
  <c r="Z60" i="4"/>
  <c r="AL66" i="5"/>
  <c r="F66" i="5"/>
  <c r="H66" i="5"/>
  <c r="I66" i="5"/>
  <c r="L66" i="5"/>
  <c r="N66" i="5"/>
  <c r="O66" i="5"/>
  <c r="Z66" i="5"/>
  <c r="AN66" i="5"/>
  <c r="AG67" i="5"/>
  <c r="AF67" i="5"/>
  <c r="B55" i="4"/>
  <c r="C55" i="4"/>
  <c r="C67" i="5"/>
  <c r="D55" i="4"/>
  <c r="E67" i="5"/>
  <c r="H55" i="4"/>
  <c r="K67" i="5"/>
  <c r="L55" i="4"/>
  <c r="Q67" i="5"/>
  <c r="M55" i="4"/>
  <c r="R67" i="5"/>
  <c r="T67" i="5"/>
  <c r="U67" i="5"/>
  <c r="P55" i="4"/>
  <c r="W67" i="5"/>
  <c r="Q55" i="4"/>
  <c r="X67" i="5"/>
  <c r="AA67" i="5"/>
  <c r="AI55" i="4"/>
  <c r="T55" i="4" a="1"/>
  <c r="T55" i="4"/>
  <c r="AC67" i="5"/>
  <c r="U55" i="4" a="1"/>
  <c r="U55" i="4"/>
  <c r="AD67" i="5"/>
  <c r="X55" i="4"/>
  <c r="AI67" i="5"/>
  <c r="Y55" i="4"/>
  <c r="AJ67" i="5"/>
  <c r="Z55" i="4"/>
  <c r="AL67" i="5"/>
  <c r="F67" i="5"/>
  <c r="H67" i="5"/>
  <c r="I67" i="5"/>
  <c r="L67" i="5"/>
  <c r="N67" i="5"/>
  <c r="O67" i="5"/>
  <c r="Z67" i="5"/>
  <c r="AN67" i="5"/>
  <c r="AG68" i="5"/>
  <c r="AF68" i="5"/>
  <c r="C170" i="4"/>
  <c r="C68" i="5"/>
  <c r="D170" i="4"/>
  <c r="E68" i="5"/>
  <c r="H170" i="4"/>
  <c r="K68" i="5"/>
  <c r="L170" i="4"/>
  <c r="Q68" i="5"/>
  <c r="M170" i="4"/>
  <c r="R68" i="5"/>
  <c r="T68" i="5"/>
  <c r="U68" i="5"/>
  <c r="P170" i="4"/>
  <c r="W68" i="5"/>
  <c r="Q170" i="4"/>
  <c r="X68" i="5"/>
  <c r="AA68" i="5"/>
  <c r="AI170" i="4"/>
  <c r="T170" i="4" a="1"/>
  <c r="T170" i="4"/>
  <c r="AC68" i="5"/>
  <c r="U170" i="4" a="1"/>
  <c r="U170" i="4"/>
  <c r="AD68" i="5"/>
  <c r="Y170" i="4"/>
  <c r="AJ68" i="5"/>
  <c r="Z170" i="4"/>
  <c r="AL68" i="5"/>
  <c r="F68" i="5"/>
  <c r="H68" i="5"/>
  <c r="I68" i="5"/>
  <c r="L68" i="5"/>
  <c r="N68" i="5"/>
  <c r="O68" i="5"/>
  <c r="Z68" i="5"/>
  <c r="AN68" i="5"/>
  <c r="AG69" i="5"/>
  <c r="AF69" i="5"/>
  <c r="C171" i="4"/>
  <c r="C69" i="5"/>
  <c r="D171" i="4"/>
  <c r="E69" i="5"/>
  <c r="H171" i="4"/>
  <c r="K69" i="5"/>
  <c r="I171" i="4"/>
  <c r="L69" i="5"/>
  <c r="J171" i="4"/>
  <c r="N69" i="5"/>
  <c r="O69" i="5"/>
  <c r="L171" i="4"/>
  <c r="Q69" i="5"/>
  <c r="M171" i="4"/>
  <c r="R69" i="5"/>
  <c r="N171" i="4"/>
  <c r="T69" i="5"/>
  <c r="O171" i="4"/>
  <c r="U69" i="5"/>
  <c r="P171" i="4"/>
  <c r="W69" i="5"/>
  <c r="Q171" i="4"/>
  <c r="X69" i="5"/>
  <c r="AA69" i="5"/>
  <c r="AI171" i="4"/>
  <c r="T171" i="4" a="1"/>
  <c r="T171" i="4"/>
  <c r="AC69" i="5"/>
  <c r="AD69" i="5"/>
  <c r="X171" i="4"/>
  <c r="AI69" i="5"/>
  <c r="Y171" i="4"/>
  <c r="AJ69" i="5"/>
  <c r="Z171" i="4"/>
  <c r="AL69" i="5"/>
  <c r="F69" i="5"/>
  <c r="H69" i="5"/>
  <c r="I69" i="5"/>
  <c r="Z69" i="5"/>
  <c r="AN69" i="5"/>
  <c r="AG70" i="5"/>
  <c r="AF70" i="5"/>
  <c r="C172" i="4"/>
  <c r="C70" i="5"/>
  <c r="D172" i="4"/>
  <c r="E70" i="5"/>
  <c r="H172" i="4"/>
  <c r="K70" i="5"/>
  <c r="L172" i="4"/>
  <c r="Q70" i="5"/>
  <c r="M172" i="4"/>
  <c r="R70" i="5"/>
  <c r="N172" i="4"/>
  <c r="T70" i="5"/>
  <c r="O172" i="4"/>
  <c r="U70" i="5"/>
  <c r="P172" i="4"/>
  <c r="W70" i="5"/>
  <c r="Q172" i="4"/>
  <c r="X70" i="5"/>
  <c r="AA70" i="5"/>
  <c r="AI172" i="4"/>
  <c r="T172" i="4" a="1"/>
  <c r="T172" i="4"/>
  <c r="AC70" i="5"/>
  <c r="U172" i="4" a="1"/>
  <c r="U172" i="4"/>
  <c r="AD70" i="5"/>
  <c r="Y172" i="4"/>
  <c r="AJ70" i="5"/>
  <c r="Z172" i="4"/>
  <c r="AL70" i="5"/>
  <c r="F70" i="5"/>
  <c r="H70" i="5"/>
  <c r="I70" i="5"/>
  <c r="L70" i="5"/>
  <c r="N70" i="5"/>
  <c r="O70" i="5"/>
  <c r="Z70" i="5"/>
  <c r="AN70" i="5"/>
  <c r="AG71" i="5"/>
  <c r="AF71" i="5"/>
  <c r="B206" i="4"/>
  <c r="C206" i="4"/>
  <c r="C71" i="5"/>
  <c r="D206" i="4"/>
  <c r="E71" i="5"/>
  <c r="H206" i="4"/>
  <c r="K71" i="5"/>
  <c r="L206" i="4"/>
  <c r="Q71" i="5"/>
  <c r="M206" i="4"/>
  <c r="R71" i="5"/>
  <c r="T71" i="5"/>
  <c r="U71" i="5"/>
  <c r="P206" i="4"/>
  <c r="W71" i="5"/>
  <c r="Q206" i="4"/>
  <c r="X71" i="5"/>
  <c r="AA71" i="5"/>
  <c r="AI206" i="4"/>
  <c r="T206" i="4" a="1"/>
  <c r="T206" i="4"/>
  <c r="AC71" i="5"/>
  <c r="U206" i="4" a="1"/>
  <c r="U206" i="4"/>
  <c r="AD71" i="5"/>
  <c r="Y206" i="4"/>
  <c r="AJ71" i="5"/>
  <c r="Z206" i="4"/>
  <c r="AL71" i="5"/>
  <c r="F71" i="5"/>
  <c r="H71" i="5"/>
  <c r="I71" i="5"/>
  <c r="L71" i="5"/>
  <c r="N71" i="5"/>
  <c r="O71" i="5"/>
  <c r="Z71" i="5"/>
  <c r="AN71" i="5"/>
  <c r="AG72" i="5"/>
  <c r="AF72" i="5"/>
  <c r="C207" i="4"/>
  <c r="C72" i="5"/>
  <c r="D207" i="4"/>
  <c r="E72" i="5"/>
  <c r="H207" i="4"/>
  <c r="K72" i="5"/>
  <c r="L207" i="4"/>
  <c r="Q72" i="5"/>
  <c r="M207" i="4"/>
  <c r="R72" i="5"/>
  <c r="T72" i="5"/>
  <c r="O207" i="4"/>
  <c r="U72" i="5"/>
  <c r="P207" i="4"/>
  <c r="W72" i="5"/>
  <c r="Q207" i="4"/>
  <c r="X72" i="5"/>
  <c r="S207" i="4"/>
  <c r="AA72" i="5"/>
  <c r="AI207" i="4"/>
  <c r="T207" i="4" a="1"/>
  <c r="T207" i="4"/>
  <c r="AC72" i="5"/>
  <c r="U207" i="4" a="1"/>
  <c r="U207" i="4"/>
  <c r="AD72" i="5"/>
  <c r="X207" i="4"/>
  <c r="AI72" i="5"/>
  <c r="Y207" i="4"/>
  <c r="AJ72" i="5"/>
  <c r="Z207" i="4"/>
  <c r="AL72" i="5"/>
  <c r="F72" i="5"/>
  <c r="H72" i="5"/>
  <c r="I72" i="5"/>
  <c r="L72" i="5"/>
  <c r="N72" i="5"/>
  <c r="O72" i="5"/>
  <c r="Z72" i="5"/>
  <c r="AN72" i="5"/>
  <c r="AG73" i="5"/>
  <c r="AF73" i="5"/>
  <c r="C267" i="4"/>
  <c r="C73" i="5"/>
  <c r="D267" i="4"/>
  <c r="E73" i="5"/>
  <c r="E267" i="4"/>
  <c r="F73" i="5"/>
  <c r="F267" i="4"/>
  <c r="H73" i="5"/>
  <c r="I73" i="5"/>
  <c r="H267" i="4"/>
  <c r="K73" i="5"/>
  <c r="L267" i="4"/>
  <c r="Q73" i="5"/>
  <c r="M267" i="4"/>
  <c r="R73" i="5"/>
  <c r="T73" i="5"/>
  <c r="U73" i="5"/>
  <c r="P267" i="4"/>
  <c r="W73" i="5"/>
  <c r="Q267" i="4"/>
  <c r="X73" i="5"/>
  <c r="S267" i="4"/>
  <c r="AA73" i="5"/>
  <c r="AI267" i="4"/>
  <c r="T267" i="4" a="1"/>
  <c r="T267" i="4"/>
  <c r="AC73" i="5"/>
  <c r="U267" i="4" a="1"/>
  <c r="U267" i="4"/>
  <c r="AD73" i="5"/>
  <c r="X267" i="4"/>
  <c r="AI73" i="5"/>
  <c r="Y267" i="4"/>
  <c r="AJ73" i="5"/>
  <c r="Z267" i="4"/>
  <c r="AL73" i="5"/>
  <c r="L73" i="5"/>
  <c r="N73" i="5"/>
  <c r="O73" i="5"/>
  <c r="Z73" i="5"/>
  <c r="AN73" i="5"/>
  <c r="AG74" i="5"/>
  <c r="AF74" i="5"/>
  <c r="C135" i="4"/>
  <c r="C74" i="5"/>
  <c r="D135" i="4"/>
  <c r="E74" i="5"/>
  <c r="H135" i="4"/>
  <c r="K74" i="5"/>
  <c r="L135" i="4"/>
  <c r="Q74" i="5"/>
  <c r="M135" i="4"/>
  <c r="R74" i="5"/>
  <c r="T74" i="5"/>
  <c r="U74" i="5"/>
  <c r="P135" i="4"/>
  <c r="W74" i="5"/>
  <c r="Q135" i="4"/>
  <c r="X74" i="5"/>
  <c r="S135" i="4"/>
  <c r="AA74" i="5"/>
  <c r="AI135" i="4"/>
  <c r="T135" i="4" a="1"/>
  <c r="T135" i="4"/>
  <c r="AC74" i="5"/>
  <c r="U135" i="4" a="1"/>
  <c r="U135" i="4"/>
  <c r="AD74" i="5"/>
  <c r="X135" i="4"/>
  <c r="AI74" i="5"/>
  <c r="Y135" i="4"/>
  <c r="AJ74" i="5"/>
  <c r="Z135" i="4"/>
  <c r="AL74" i="5"/>
  <c r="F74" i="5"/>
  <c r="H74" i="5"/>
  <c r="I74" i="5"/>
  <c r="L74" i="5"/>
  <c r="N74" i="5"/>
  <c r="O74" i="5"/>
  <c r="Z74" i="5"/>
  <c r="AN74" i="5"/>
  <c r="AG75" i="5"/>
  <c r="AF75" i="5"/>
  <c r="C208" i="4"/>
  <c r="C75" i="5"/>
  <c r="D208" i="4"/>
  <c r="E75" i="5"/>
  <c r="H208" i="4"/>
  <c r="K75" i="5"/>
  <c r="L208" i="4"/>
  <c r="Q75" i="5"/>
  <c r="R75" i="5"/>
  <c r="T75" i="5"/>
  <c r="O208" i="4"/>
  <c r="U75" i="5"/>
  <c r="P208" i="4"/>
  <c r="W75" i="5"/>
  <c r="Q208" i="4"/>
  <c r="X75" i="5"/>
  <c r="S208" i="4"/>
  <c r="AA75" i="5"/>
  <c r="AI208" i="4"/>
  <c r="T208" i="4" a="1"/>
  <c r="T208" i="4"/>
  <c r="AC75" i="5"/>
  <c r="U208" i="4" a="1"/>
  <c r="U208" i="4"/>
  <c r="AD75" i="5"/>
  <c r="X208" i="4"/>
  <c r="AI75" i="5"/>
  <c r="Y208" i="4"/>
  <c r="AJ75" i="5"/>
  <c r="Z208" i="4"/>
  <c r="AL75" i="5"/>
  <c r="F75" i="5"/>
  <c r="H75" i="5"/>
  <c r="I75" i="5"/>
  <c r="L75" i="5"/>
  <c r="N75" i="5"/>
  <c r="O75" i="5"/>
  <c r="Z75" i="5"/>
  <c r="AN75" i="5"/>
  <c r="AG76" i="5"/>
  <c r="AF76" i="5"/>
  <c r="B248" i="4"/>
  <c r="C248" i="4"/>
  <c r="C76" i="5"/>
  <c r="D248" i="4"/>
  <c r="E76" i="5"/>
  <c r="H248" i="4"/>
  <c r="K76" i="5"/>
  <c r="L248" i="4"/>
  <c r="Q76" i="5"/>
  <c r="M248" i="4"/>
  <c r="R76" i="5"/>
  <c r="T76" i="5"/>
  <c r="U76" i="5"/>
  <c r="P248" i="4"/>
  <c r="W76" i="5"/>
  <c r="Q248" i="4"/>
  <c r="X76" i="5"/>
  <c r="S248" i="4"/>
  <c r="AA76" i="5"/>
  <c r="AI248" i="4"/>
  <c r="T248" i="4" a="1"/>
  <c r="T248" i="4"/>
  <c r="AC76" i="5"/>
  <c r="U248" i="4" a="1"/>
  <c r="U248" i="4"/>
  <c r="AD76" i="5"/>
  <c r="X248" i="4"/>
  <c r="AI76" i="5"/>
  <c r="Y248" i="4"/>
  <c r="AJ76" i="5"/>
  <c r="Z248" i="4"/>
  <c r="AL76" i="5"/>
  <c r="F76" i="5"/>
  <c r="H76" i="5"/>
  <c r="I76" i="5"/>
  <c r="L76" i="5"/>
  <c r="N76" i="5"/>
  <c r="O76" i="5"/>
  <c r="Z76" i="5"/>
  <c r="AN76" i="5"/>
  <c r="AG77" i="5"/>
  <c r="AF77" i="5"/>
  <c r="C302" i="4"/>
  <c r="C77" i="5"/>
  <c r="D302" i="4"/>
  <c r="E77" i="5"/>
  <c r="E302" i="4"/>
  <c r="F77" i="5"/>
  <c r="F302" i="4"/>
  <c r="H77" i="5"/>
  <c r="I77" i="5"/>
  <c r="H302" i="4"/>
  <c r="K77" i="5"/>
  <c r="L302" i="4"/>
  <c r="Q77" i="5"/>
  <c r="M302" i="4"/>
  <c r="R77" i="5"/>
  <c r="T77" i="5"/>
  <c r="U77" i="5"/>
  <c r="P302" i="4"/>
  <c r="W77" i="5"/>
  <c r="Q302" i="4"/>
  <c r="X77" i="5"/>
  <c r="AA77" i="5"/>
  <c r="AI302" i="4"/>
  <c r="T302" i="4" a="1"/>
  <c r="T302" i="4"/>
  <c r="AC77" i="5"/>
  <c r="AD77" i="5"/>
  <c r="X302" i="4"/>
  <c r="AI77" i="5"/>
  <c r="Y302" i="4"/>
  <c r="AJ77" i="5"/>
  <c r="Z302" i="4"/>
  <c r="AL77" i="5"/>
  <c r="L77" i="5"/>
  <c r="N77" i="5"/>
  <c r="O77" i="5"/>
  <c r="Z77" i="5"/>
  <c r="AN77" i="5"/>
  <c r="AG78" i="5"/>
  <c r="AF78" i="5"/>
  <c r="C173" i="4"/>
  <c r="C78" i="5"/>
  <c r="T78" i="5"/>
  <c r="U78" i="5"/>
  <c r="P173" i="4"/>
  <c r="W78" i="5"/>
  <c r="Q173" i="4"/>
  <c r="X78" i="5"/>
  <c r="S173" i="4"/>
  <c r="AA78" i="5"/>
  <c r="X173" i="4"/>
  <c r="AI78" i="5"/>
  <c r="Y173" i="4"/>
  <c r="AJ78" i="5"/>
  <c r="Z173" i="4"/>
  <c r="AL78" i="5"/>
  <c r="Z78" i="5"/>
  <c r="AN78" i="5"/>
  <c r="AG79" i="5"/>
  <c r="AF79" i="5"/>
  <c r="B174" i="4"/>
  <c r="C174" i="4"/>
  <c r="C79" i="5"/>
  <c r="D174" i="4"/>
  <c r="E79" i="5"/>
  <c r="E174" i="4"/>
  <c r="F79" i="5"/>
  <c r="F174" i="4"/>
  <c r="H79" i="5"/>
  <c r="I79" i="5"/>
  <c r="H174" i="4"/>
  <c r="K79" i="5"/>
  <c r="L174" i="4"/>
  <c r="Q79" i="5"/>
  <c r="M174" i="4"/>
  <c r="R79" i="5"/>
  <c r="T79" i="5"/>
  <c r="U79" i="5"/>
  <c r="P174" i="4"/>
  <c r="W79" i="5"/>
  <c r="Q174" i="4"/>
  <c r="X79" i="5"/>
  <c r="S174" i="4"/>
  <c r="AA79" i="5"/>
  <c r="AI174" i="4"/>
  <c r="T174" i="4" a="1"/>
  <c r="T174" i="4"/>
  <c r="AC79" i="5"/>
  <c r="AD79" i="5"/>
  <c r="X174" i="4"/>
  <c r="AI79" i="5"/>
  <c r="Y174" i="4"/>
  <c r="AJ79" i="5"/>
  <c r="Z174" i="4"/>
  <c r="AL79" i="5"/>
  <c r="L79" i="5"/>
  <c r="N79" i="5"/>
  <c r="O79" i="5"/>
  <c r="Z79" i="5"/>
  <c r="AN79" i="5"/>
  <c r="AG80" i="5"/>
  <c r="AF80" i="5"/>
  <c r="C221" i="4"/>
  <c r="C80" i="5"/>
  <c r="D221" i="4"/>
  <c r="E80" i="5"/>
  <c r="H221" i="4"/>
  <c r="K80" i="5"/>
  <c r="L221" i="4"/>
  <c r="Q80" i="5"/>
  <c r="M221" i="4"/>
  <c r="R80" i="5"/>
  <c r="T80" i="5"/>
  <c r="O221" i="4"/>
  <c r="U80" i="5"/>
  <c r="P221" i="4"/>
  <c r="W80" i="5"/>
  <c r="Q221" i="4"/>
  <c r="X80" i="5"/>
  <c r="S221" i="4"/>
  <c r="AA80" i="5"/>
  <c r="AI221" i="4"/>
  <c r="T221" i="4" a="1"/>
  <c r="T221" i="4"/>
  <c r="AC80" i="5"/>
  <c r="U221" i="4" a="1"/>
  <c r="U221" i="4"/>
  <c r="AD80" i="5"/>
  <c r="X221" i="4"/>
  <c r="AI80" i="5"/>
  <c r="Y221" i="4"/>
  <c r="AJ80" i="5"/>
  <c r="Z221" i="4"/>
  <c r="AL80" i="5"/>
  <c r="F80" i="5"/>
  <c r="H80" i="5"/>
  <c r="I80" i="5"/>
  <c r="L80" i="5"/>
  <c r="N80" i="5"/>
  <c r="O80" i="5"/>
  <c r="Z80" i="5"/>
  <c r="AN80" i="5"/>
  <c r="AG81" i="5"/>
  <c r="AF81" i="5"/>
  <c r="C175" i="4"/>
  <c r="C81" i="5"/>
  <c r="D175" i="4"/>
  <c r="E81" i="5"/>
  <c r="K81" i="5"/>
  <c r="L175" i="4"/>
  <c r="Q81" i="5"/>
  <c r="R81" i="5"/>
  <c r="T81" i="5"/>
  <c r="O175" i="4"/>
  <c r="U81" i="5"/>
  <c r="P175" i="4"/>
  <c r="W81" i="5"/>
  <c r="Q175" i="4"/>
  <c r="X81" i="5"/>
  <c r="S175" i="4"/>
  <c r="AA81" i="5"/>
  <c r="AI175" i="4"/>
  <c r="T175" i="4" a="1"/>
  <c r="T175" i="4"/>
  <c r="AC81" i="5"/>
  <c r="U175" i="4" a="1"/>
  <c r="U175" i="4"/>
  <c r="AD81" i="5"/>
  <c r="X175" i="4"/>
  <c r="AI81" i="5"/>
  <c r="Y175" i="4"/>
  <c r="AJ81" i="5"/>
  <c r="Z175" i="4"/>
  <c r="AL81" i="5"/>
  <c r="F81" i="5"/>
  <c r="H81" i="5"/>
  <c r="I81" i="5"/>
  <c r="L81" i="5"/>
  <c r="N81" i="5"/>
  <c r="O81" i="5"/>
  <c r="Z81" i="5"/>
  <c r="AN81" i="5"/>
  <c r="AG82" i="5"/>
  <c r="AF82" i="5"/>
  <c r="C90" i="4"/>
  <c r="C82" i="5"/>
  <c r="D90" i="4"/>
  <c r="E82" i="5"/>
  <c r="K82" i="5"/>
  <c r="L90" i="4"/>
  <c r="Q82" i="5"/>
  <c r="M90" i="4"/>
  <c r="R82" i="5"/>
  <c r="T82" i="5"/>
  <c r="O90" i="4"/>
  <c r="U82" i="5"/>
  <c r="P90" i="4"/>
  <c r="W82" i="5"/>
  <c r="Q90" i="4"/>
  <c r="X82" i="5"/>
  <c r="S90" i="4"/>
  <c r="AA82" i="5"/>
  <c r="AI90" i="4"/>
  <c r="T90" i="4" a="1"/>
  <c r="T90" i="4"/>
  <c r="AC82" i="5"/>
  <c r="U90" i="4" a="1"/>
  <c r="U90" i="4"/>
  <c r="AD82" i="5"/>
  <c r="X90" i="4"/>
  <c r="AI82" i="5"/>
  <c r="Y90" i="4"/>
  <c r="AJ82" i="5"/>
  <c r="Z90" i="4"/>
  <c r="AL82" i="5"/>
  <c r="F82" i="5"/>
  <c r="H82" i="5"/>
  <c r="I82" i="5"/>
  <c r="L82" i="5"/>
  <c r="N82" i="5"/>
  <c r="O82" i="5"/>
  <c r="Z82" i="5"/>
  <c r="AN82" i="5"/>
  <c r="AG83" i="5"/>
  <c r="AF83" i="5"/>
  <c r="C177" i="4"/>
  <c r="C83" i="5"/>
  <c r="D177" i="4"/>
  <c r="E83" i="5"/>
  <c r="K83" i="5"/>
  <c r="L177" i="4"/>
  <c r="Q83" i="5"/>
  <c r="M177" i="4"/>
  <c r="R83" i="5"/>
  <c r="T83" i="5"/>
  <c r="O177" i="4"/>
  <c r="U83" i="5"/>
  <c r="P177" i="4"/>
  <c r="W83" i="5"/>
  <c r="Q177" i="4"/>
  <c r="X83" i="5"/>
  <c r="S177" i="4"/>
  <c r="AA83" i="5"/>
  <c r="AI177" i="4"/>
  <c r="T177" i="4" a="1"/>
  <c r="T177" i="4"/>
  <c r="AC83" i="5"/>
  <c r="U177" i="4" a="1"/>
  <c r="U177" i="4"/>
  <c r="AD83" i="5"/>
  <c r="X177" i="4"/>
  <c r="AI83" i="5"/>
  <c r="Y177" i="4"/>
  <c r="AJ83" i="5"/>
  <c r="Z177" i="4"/>
  <c r="AL83" i="5"/>
  <c r="F83" i="5"/>
  <c r="H83" i="5"/>
  <c r="I83" i="5"/>
  <c r="L83" i="5"/>
  <c r="N83" i="5"/>
  <c r="O83" i="5"/>
  <c r="Z83" i="5"/>
  <c r="AN83" i="5"/>
  <c r="AG84" i="5"/>
  <c r="AF84" i="5"/>
  <c r="C136" i="4"/>
  <c r="C84" i="5"/>
  <c r="D136" i="4"/>
  <c r="E84" i="5"/>
  <c r="K84" i="5"/>
  <c r="L136" i="4"/>
  <c r="Q84" i="5"/>
  <c r="M136" i="4"/>
  <c r="R84" i="5"/>
  <c r="T84" i="5"/>
  <c r="U84" i="5"/>
  <c r="P136" i="4"/>
  <c r="W84" i="5"/>
  <c r="Q136" i="4"/>
  <c r="X84" i="5"/>
  <c r="S136" i="4"/>
  <c r="AA84" i="5"/>
  <c r="AI136" i="4"/>
  <c r="T136" i="4" a="1"/>
  <c r="T136" i="4"/>
  <c r="AC84" i="5"/>
  <c r="U136" i="4" a="1"/>
  <c r="U136" i="4"/>
  <c r="AD84" i="5"/>
  <c r="X136" i="4"/>
  <c r="AI84" i="5"/>
  <c r="Y136" i="4"/>
  <c r="AJ84" i="5"/>
  <c r="Z136" i="4"/>
  <c r="AL84" i="5"/>
  <c r="F84" i="5"/>
  <c r="H84" i="5"/>
  <c r="I84" i="5"/>
  <c r="L84" i="5"/>
  <c r="N84" i="5"/>
  <c r="O84" i="5"/>
  <c r="Z84" i="5"/>
  <c r="AN84" i="5"/>
  <c r="AG85" i="5"/>
  <c r="AF85" i="5"/>
  <c r="C178" i="4"/>
  <c r="C85" i="5"/>
  <c r="D178" i="4"/>
  <c r="E85" i="5"/>
  <c r="K85" i="5"/>
  <c r="L178" i="4"/>
  <c r="Q85" i="5"/>
  <c r="M178" i="4"/>
  <c r="R85" i="5"/>
  <c r="T85" i="5"/>
  <c r="O178" i="4"/>
  <c r="U85" i="5"/>
  <c r="P178" i="4"/>
  <c r="W85" i="5"/>
  <c r="Q178" i="4"/>
  <c r="X85" i="5"/>
  <c r="S178" i="4"/>
  <c r="AA85" i="5"/>
  <c r="X178" i="4"/>
  <c r="AI85" i="5"/>
  <c r="Y178" i="4"/>
  <c r="AJ85" i="5"/>
  <c r="Z178" i="4"/>
  <c r="AL85" i="5"/>
  <c r="F85" i="5"/>
  <c r="H85" i="5"/>
  <c r="I85" i="5"/>
  <c r="L85" i="5"/>
  <c r="N85" i="5"/>
  <c r="O85" i="5"/>
  <c r="Z85" i="5"/>
  <c r="AN85" i="5"/>
  <c r="AG86" i="5"/>
  <c r="AF86" i="5"/>
  <c r="B138" i="4"/>
  <c r="C138" i="4"/>
  <c r="C86" i="5"/>
  <c r="D138" i="4"/>
  <c r="E86" i="5"/>
  <c r="K86" i="5"/>
  <c r="L138" i="4"/>
  <c r="Q86" i="5"/>
  <c r="M138" i="4"/>
  <c r="R86" i="5"/>
  <c r="T86" i="5"/>
  <c r="U86" i="5"/>
  <c r="P138" i="4"/>
  <c r="W86" i="5"/>
  <c r="Q138" i="4"/>
  <c r="X86" i="5"/>
  <c r="S138" i="4"/>
  <c r="AA86" i="5"/>
  <c r="AI138" i="4"/>
  <c r="T138" i="4" a="1"/>
  <c r="T138" i="4"/>
  <c r="AC86" i="5"/>
  <c r="U138" i="4" a="1"/>
  <c r="U138" i="4"/>
  <c r="AD86" i="5"/>
  <c r="X138" i="4"/>
  <c r="AI86" i="5"/>
  <c r="Y138" i="4"/>
  <c r="AJ86" i="5"/>
  <c r="Z138" i="4"/>
  <c r="AL86" i="5"/>
  <c r="F86" i="5"/>
  <c r="H86" i="5"/>
  <c r="I86" i="5"/>
  <c r="L86" i="5"/>
  <c r="N86" i="5"/>
  <c r="O86" i="5"/>
  <c r="Z86" i="5"/>
  <c r="AN86" i="5"/>
  <c r="AG87" i="5"/>
  <c r="AF87" i="5"/>
  <c r="C180" i="4"/>
  <c r="C87" i="5"/>
  <c r="T87" i="5"/>
  <c r="O180" i="4"/>
  <c r="U87" i="5"/>
  <c r="P180" i="4"/>
  <c r="W87" i="5"/>
  <c r="Q180" i="4"/>
  <c r="X87" i="5"/>
  <c r="S180" i="4"/>
  <c r="AA87" i="5"/>
  <c r="AI180" i="4"/>
  <c r="T180" i="4" a="1"/>
  <c r="T180" i="4"/>
  <c r="AC87" i="5"/>
  <c r="U180" i="4" a="1"/>
  <c r="U180" i="4"/>
  <c r="AD87" i="5"/>
  <c r="X180" i="4"/>
  <c r="AI87" i="5"/>
  <c r="Y180" i="4"/>
  <c r="AJ87" i="5"/>
  <c r="Z180" i="4"/>
  <c r="AL87" i="5"/>
  <c r="L87" i="5"/>
  <c r="N87" i="5"/>
  <c r="O87" i="5"/>
  <c r="Z87" i="5"/>
  <c r="AN87" i="5"/>
  <c r="AG88" i="5"/>
  <c r="AF88" i="5"/>
  <c r="C110" i="4"/>
  <c r="C88" i="5"/>
  <c r="T88" i="5"/>
  <c r="O110" i="4"/>
  <c r="U88" i="5"/>
  <c r="P110" i="4"/>
  <c r="W88" i="5"/>
  <c r="Q110" i="4"/>
  <c r="X88" i="5"/>
  <c r="S110" i="4"/>
  <c r="AA88" i="5"/>
  <c r="AI110" i="4"/>
  <c r="T110" i="4" a="1"/>
  <c r="T110" i="4"/>
  <c r="AC88" i="5"/>
  <c r="U110" i="4" a="1"/>
  <c r="U110" i="4"/>
  <c r="AD88" i="5"/>
  <c r="X110" i="4"/>
  <c r="AI88" i="5"/>
  <c r="Y110" i="4"/>
  <c r="AJ88" i="5"/>
  <c r="Z110" i="4"/>
  <c r="AL88" i="5"/>
  <c r="L88" i="5"/>
  <c r="N88" i="5"/>
  <c r="O88" i="5"/>
  <c r="Z88" i="5"/>
  <c r="AN88" i="5"/>
  <c r="AG89" i="5"/>
  <c r="AF89" i="5"/>
  <c r="B293" i="4"/>
  <c r="C293" i="4"/>
  <c r="C89" i="5"/>
  <c r="D293" i="4"/>
  <c r="E89" i="5"/>
  <c r="E293" i="4"/>
  <c r="F89" i="5"/>
  <c r="F293" i="4"/>
  <c r="H89" i="5"/>
  <c r="I89" i="5"/>
  <c r="H293" i="4"/>
  <c r="K89" i="5"/>
  <c r="L293" i="4"/>
  <c r="Q89" i="5"/>
  <c r="M293" i="4"/>
  <c r="R89" i="5"/>
  <c r="T89" i="5"/>
  <c r="U89" i="5"/>
  <c r="P293" i="4"/>
  <c r="W89" i="5"/>
  <c r="Q293" i="4"/>
  <c r="X89" i="5"/>
  <c r="S293" i="4"/>
  <c r="AA89" i="5"/>
  <c r="AI293" i="4"/>
  <c r="T293" i="4" a="1"/>
  <c r="T293" i="4"/>
  <c r="AC89" i="5"/>
  <c r="U293" i="4" a="1"/>
  <c r="U293" i="4"/>
  <c r="AD89" i="5"/>
  <c r="X293" i="4"/>
  <c r="AI89" i="5"/>
  <c r="Y293" i="4"/>
  <c r="AJ89" i="5"/>
  <c r="Z293" i="4"/>
  <c r="AL89" i="5"/>
  <c r="L89" i="5"/>
  <c r="N89" i="5"/>
  <c r="O89" i="5"/>
  <c r="Z89" i="5"/>
  <c r="AN89" i="5"/>
  <c r="B40" i="4"/>
  <c r="S40" i="4"/>
  <c r="AA90" i="5"/>
  <c r="P40" i="4"/>
  <c r="W90" i="5"/>
  <c r="K40" i="4"/>
  <c r="O90" i="5"/>
  <c r="H40" i="4"/>
  <c r="K90" i="5"/>
  <c r="W40" i="4"/>
  <c r="AG90" i="5"/>
  <c r="V40" i="4"/>
  <c r="AF90" i="5"/>
  <c r="C40" i="4"/>
  <c r="C90" i="5"/>
  <c r="D40" i="4"/>
  <c r="E90" i="5"/>
  <c r="G40" i="4"/>
  <c r="I90" i="5"/>
  <c r="I40" i="4"/>
  <c r="L90" i="5"/>
  <c r="J40" i="4"/>
  <c r="N90" i="5"/>
  <c r="L40" i="4"/>
  <c r="Q90" i="5"/>
  <c r="O40" i="4"/>
  <c r="U90" i="5"/>
  <c r="Q40" i="4"/>
  <c r="X90" i="5"/>
  <c r="R40" i="4"/>
  <c r="Z90" i="5"/>
  <c r="AI40" i="4"/>
  <c r="T40" i="4" a="1"/>
  <c r="T40" i="4"/>
  <c r="AC90" i="5"/>
  <c r="U40" i="4" a="1"/>
  <c r="U40" i="4"/>
  <c r="AD90" i="5"/>
  <c r="X40" i="4"/>
  <c r="AI90" i="5"/>
  <c r="Y40" i="4"/>
  <c r="AJ90" i="5"/>
  <c r="Z40" i="4"/>
  <c r="AL90" i="5"/>
  <c r="R90" i="5"/>
  <c r="T90" i="5"/>
  <c r="F90" i="5"/>
  <c r="H90" i="5"/>
  <c r="AN90" i="5"/>
  <c r="S21" i="4"/>
  <c r="AA91" i="5"/>
  <c r="P21" i="4"/>
  <c r="W91" i="5"/>
  <c r="AG91" i="5"/>
  <c r="AF91" i="5"/>
  <c r="C21" i="4"/>
  <c r="C91" i="5"/>
  <c r="O21" i="4"/>
  <c r="U91" i="5"/>
  <c r="Q21" i="4"/>
  <c r="X91" i="5"/>
  <c r="R21" i="4"/>
  <c r="Z91" i="5"/>
  <c r="X21" i="4"/>
  <c r="AI91" i="5"/>
  <c r="Y21" i="4"/>
  <c r="AJ91" i="5"/>
  <c r="Z21" i="4"/>
  <c r="AL91" i="5"/>
  <c r="T91" i="5"/>
  <c r="F91" i="5"/>
  <c r="H91" i="5"/>
  <c r="AN91" i="5"/>
  <c r="O92" i="5"/>
  <c r="K92" i="5"/>
  <c r="AG92" i="5"/>
  <c r="AF92" i="5"/>
  <c r="B91" i="4"/>
  <c r="C91" i="4"/>
  <c r="C92" i="5"/>
  <c r="D91" i="4"/>
  <c r="E92" i="5"/>
  <c r="I91" i="4"/>
  <c r="L92" i="5"/>
  <c r="J91" i="4"/>
  <c r="N92" i="5"/>
  <c r="L91" i="4"/>
  <c r="Q92" i="5"/>
  <c r="M91" i="4"/>
  <c r="R92" i="5"/>
  <c r="T92" i="5"/>
  <c r="U92" i="5"/>
  <c r="P91" i="4"/>
  <c r="W92" i="5"/>
  <c r="Q91" i="4"/>
  <c r="X92" i="5"/>
  <c r="S91" i="4"/>
  <c r="AA92" i="5"/>
  <c r="AI91" i="4"/>
  <c r="T91" i="4" a="1"/>
  <c r="T91" i="4"/>
  <c r="AC92" i="5"/>
  <c r="U91" i="4" a="1"/>
  <c r="U91" i="4"/>
  <c r="AD92" i="5"/>
  <c r="X91" i="4"/>
  <c r="AI92" i="5"/>
  <c r="Y91" i="4"/>
  <c r="AJ92" i="5"/>
  <c r="Z91" i="4"/>
  <c r="AL92" i="5"/>
  <c r="F92" i="5"/>
  <c r="H92" i="5"/>
  <c r="I92" i="5"/>
  <c r="Z92" i="5"/>
  <c r="AN92" i="5"/>
  <c r="AG93" i="5"/>
  <c r="AF93" i="5"/>
  <c r="B120" i="4"/>
  <c r="C120" i="4"/>
  <c r="C93" i="5"/>
  <c r="D120" i="4"/>
  <c r="E93" i="5"/>
  <c r="K93" i="5"/>
  <c r="L120" i="4"/>
  <c r="Q93" i="5"/>
  <c r="M120" i="4"/>
  <c r="R93" i="5"/>
  <c r="T93" i="5"/>
  <c r="U93" i="5"/>
  <c r="P120" i="4"/>
  <c r="W93" i="5"/>
  <c r="Q120" i="4"/>
  <c r="X93" i="5"/>
  <c r="S120" i="4"/>
  <c r="AA93" i="5"/>
  <c r="AI120" i="4"/>
  <c r="T120" i="4" a="1"/>
  <c r="T120" i="4"/>
  <c r="AC93" i="5"/>
  <c r="U120" i="4" a="1"/>
  <c r="U120" i="4"/>
  <c r="AD93" i="5"/>
  <c r="X120" i="4"/>
  <c r="AI93" i="5"/>
  <c r="Y120" i="4"/>
  <c r="AJ93" i="5"/>
  <c r="Z120" i="4"/>
  <c r="AL93" i="5"/>
  <c r="F93" i="5"/>
  <c r="H93" i="5"/>
  <c r="I93" i="5"/>
  <c r="L93" i="5"/>
  <c r="N93" i="5"/>
  <c r="O93" i="5"/>
  <c r="Z93" i="5"/>
  <c r="AN93" i="5"/>
  <c r="AG94" i="5"/>
  <c r="AF94" i="5"/>
  <c r="B111" i="4"/>
  <c r="C111" i="4"/>
  <c r="C94" i="5"/>
  <c r="D111" i="4"/>
  <c r="E94" i="5"/>
  <c r="K94" i="5"/>
  <c r="L111" i="4"/>
  <c r="Q94" i="5"/>
  <c r="M111" i="4"/>
  <c r="R94" i="5"/>
  <c r="N111" i="4"/>
  <c r="T94" i="5"/>
  <c r="O111" i="4"/>
  <c r="U94" i="5"/>
  <c r="P111" i="4"/>
  <c r="W94" i="5"/>
  <c r="Q111" i="4"/>
  <c r="X94" i="5"/>
  <c r="S111" i="4"/>
  <c r="AA94" i="5"/>
  <c r="X111" i="4"/>
  <c r="AI94" i="5"/>
  <c r="Y111" i="4"/>
  <c r="AJ94" i="5"/>
  <c r="Z111" i="4"/>
  <c r="AL94" i="5"/>
  <c r="F94" i="5"/>
  <c r="H94" i="5"/>
  <c r="I94" i="5"/>
  <c r="L94" i="5"/>
  <c r="N94" i="5"/>
  <c r="O94" i="5"/>
  <c r="Z94" i="5"/>
  <c r="AN94" i="5"/>
  <c r="AG95" i="5"/>
  <c r="AF95" i="5"/>
  <c r="B236" i="4"/>
  <c r="C236" i="4"/>
  <c r="C95" i="5"/>
  <c r="D236" i="4"/>
  <c r="E95" i="5"/>
  <c r="K95" i="5"/>
  <c r="L236" i="4"/>
  <c r="Q95" i="5"/>
  <c r="M236" i="4"/>
  <c r="R95" i="5"/>
  <c r="T95" i="5"/>
  <c r="U95" i="5"/>
  <c r="P236" i="4"/>
  <c r="W95" i="5"/>
  <c r="Q236" i="4"/>
  <c r="X95" i="5"/>
  <c r="S236" i="4"/>
  <c r="AA95" i="5"/>
  <c r="AI236" i="4"/>
  <c r="T236" i="4" a="1"/>
  <c r="T236" i="4"/>
  <c r="AC95" i="5"/>
  <c r="U236" i="4" a="1"/>
  <c r="U236" i="4"/>
  <c r="AD95" i="5"/>
  <c r="X236" i="4"/>
  <c r="AI95" i="5"/>
  <c r="Y236" i="4"/>
  <c r="AJ95" i="5"/>
  <c r="Z236" i="4"/>
  <c r="AL95" i="5"/>
  <c r="F95" i="5"/>
  <c r="H95" i="5"/>
  <c r="I95" i="5"/>
  <c r="L95" i="5"/>
  <c r="N95" i="5"/>
  <c r="O95" i="5"/>
  <c r="Z95" i="5"/>
  <c r="AN95" i="5"/>
  <c r="AG96" i="5"/>
  <c r="AF96" i="5"/>
  <c r="B261" i="4"/>
  <c r="C261" i="4"/>
  <c r="C96" i="5"/>
  <c r="D261" i="4"/>
  <c r="E96" i="5"/>
  <c r="K96" i="5"/>
  <c r="L261" i="4"/>
  <c r="Q96" i="5"/>
  <c r="M261" i="4"/>
  <c r="R96" i="5"/>
  <c r="T96" i="5"/>
  <c r="U96" i="5"/>
  <c r="P261" i="4"/>
  <c r="W96" i="5"/>
  <c r="Q261" i="4"/>
  <c r="X96" i="5"/>
  <c r="AA96" i="5"/>
  <c r="AI261" i="4"/>
  <c r="T261" i="4" a="1"/>
  <c r="T261" i="4"/>
  <c r="AC96" i="5"/>
  <c r="U261" i="4" a="1"/>
  <c r="U261" i="4"/>
  <c r="AD96" i="5"/>
  <c r="Y261" i="4"/>
  <c r="AJ96" i="5"/>
  <c r="Z261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95" i="4"/>
  <c r="C295" i="4"/>
  <c r="C98" i="5"/>
  <c r="D295" i="4"/>
  <c r="E98" i="5"/>
  <c r="K98" i="5"/>
  <c r="L295" i="4"/>
  <c r="Q98" i="5"/>
  <c r="M295" i="4"/>
  <c r="R98" i="5"/>
  <c r="T98" i="5"/>
  <c r="U98" i="5"/>
  <c r="P295" i="4"/>
  <c r="W98" i="5"/>
  <c r="Q295" i="4"/>
  <c r="X98" i="5"/>
  <c r="AA98" i="5"/>
  <c r="AI295" i="4"/>
  <c r="T295" i="4" a="1"/>
  <c r="T295" i="4"/>
  <c r="AC98" i="5"/>
  <c r="U295" i="4" a="1"/>
  <c r="U295" i="4"/>
  <c r="AD98" i="5"/>
  <c r="Y295" i="4"/>
  <c r="AJ98" i="5"/>
  <c r="Z295" i="4"/>
  <c r="AL98" i="5"/>
  <c r="F98" i="5"/>
  <c r="H98" i="5"/>
  <c r="I98" i="5"/>
  <c r="L98" i="5"/>
  <c r="N98" i="5"/>
  <c r="O98" i="5"/>
  <c r="Z98" i="5"/>
  <c r="AN98" i="5"/>
  <c r="AG99" i="5"/>
  <c r="AF99" i="5"/>
  <c r="B249" i="4"/>
  <c r="C249" i="4"/>
  <c r="C99" i="5"/>
  <c r="D249" i="4"/>
  <c r="E99" i="5"/>
  <c r="K99" i="5"/>
  <c r="L249" i="4"/>
  <c r="Q99" i="5"/>
  <c r="M249" i="4"/>
  <c r="R99" i="5"/>
  <c r="T99" i="5"/>
  <c r="O249" i="4"/>
  <c r="U99" i="5"/>
  <c r="P249" i="4"/>
  <c r="W99" i="5"/>
  <c r="Q249" i="4"/>
  <c r="X99" i="5"/>
  <c r="S249" i="4"/>
  <c r="AA99" i="5"/>
  <c r="AI249" i="4"/>
  <c r="T249" i="4" a="1"/>
  <c r="T249" i="4"/>
  <c r="AC99" i="5"/>
  <c r="U249" i="4" a="1"/>
  <c r="U249" i="4"/>
  <c r="AD99" i="5"/>
  <c r="X249" i="4"/>
  <c r="AI99" i="5"/>
  <c r="Y249" i="4"/>
  <c r="AJ99" i="5"/>
  <c r="Z249" i="4"/>
  <c r="AL99" i="5"/>
  <c r="F99" i="5"/>
  <c r="I99" i="5"/>
  <c r="L99" i="5"/>
  <c r="N99" i="5"/>
  <c r="O99" i="5"/>
  <c r="Z99" i="5"/>
  <c r="AN99" i="5"/>
  <c r="AG100" i="5"/>
  <c r="AF100" i="5"/>
  <c r="B268" i="4"/>
  <c r="C268" i="4"/>
  <c r="C100" i="5"/>
  <c r="D268" i="4"/>
  <c r="E100" i="5"/>
  <c r="H268" i="4"/>
  <c r="K100" i="5"/>
  <c r="L268" i="4"/>
  <c r="Q100" i="5"/>
  <c r="M268" i="4"/>
  <c r="R100" i="5"/>
  <c r="N268" i="4"/>
  <c r="T100" i="5"/>
  <c r="O268" i="4"/>
  <c r="U100" i="5"/>
  <c r="P268" i="4"/>
  <c r="W100" i="5"/>
  <c r="Q268" i="4"/>
  <c r="X100" i="5"/>
  <c r="S268" i="4"/>
  <c r="AA100" i="5"/>
  <c r="AI268" i="4"/>
  <c r="T268" i="4" a="1"/>
  <c r="T268" i="4"/>
  <c r="AC100" i="5"/>
  <c r="U268" i="4" a="1"/>
  <c r="U268" i="4"/>
  <c r="AD100" i="5"/>
  <c r="X268" i="4"/>
  <c r="AI100" i="5"/>
  <c r="Y268" i="4"/>
  <c r="AJ100" i="5"/>
  <c r="Z268" i="4"/>
  <c r="AL100" i="5"/>
  <c r="F100" i="5"/>
  <c r="I100" i="5"/>
  <c r="L100" i="5"/>
  <c r="N100" i="5"/>
  <c r="O100" i="5"/>
  <c r="Z100" i="5"/>
  <c r="AN100" i="5"/>
  <c r="O101" i="5"/>
  <c r="H291" i="4"/>
  <c r="K101" i="5"/>
  <c r="AG101" i="5"/>
  <c r="AF101" i="5"/>
  <c r="C291" i="4"/>
  <c r="C101" i="5"/>
  <c r="D291" i="4"/>
  <c r="E101" i="5"/>
  <c r="I291" i="4"/>
  <c r="L101" i="5"/>
  <c r="J291" i="4"/>
  <c r="N101" i="5"/>
  <c r="L291" i="4"/>
  <c r="Q101" i="5"/>
  <c r="M291" i="4"/>
  <c r="R101" i="5"/>
  <c r="T101" i="5"/>
  <c r="U101" i="5"/>
  <c r="P291" i="4"/>
  <c r="W101" i="5"/>
  <c r="Q291" i="4"/>
  <c r="X101" i="5"/>
  <c r="S291" i="4"/>
  <c r="AA101" i="5"/>
  <c r="AI291" i="4"/>
  <c r="T291" i="4" a="1"/>
  <c r="T291" i="4"/>
  <c r="AC101" i="5"/>
  <c r="U291" i="4" a="1"/>
  <c r="U291" i="4"/>
  <c r="AD101" i="5"/>
  <c r="X291" i="4"/>
  <c r="AI101" i="5"/>
  <c r="Y291" i="4"/>
  <c r="AJ101" i="5"/>
  <c r="Z291" i="4"/>
  <c r="AL101" i="5"/>
  <c r="H101" i="5"/>
  <c r="I101" i="5"/>
  <c r="F101" i="5"/>
  <c r="Z101" i="5"/>
  <c r="AN101" i="5"/>
  <c r="AG102" i="5"/>
  <c r="AF102" i="5"/>
  <c r="B283" i="4"/>
  <c r="C283" i="4"/>
  <c r="C102" i="5"/>
  <c r="D283" i="4"/>
  <c r="E102" i="5"/>
  <c r="E283" i="4"/>
  <c r="F102" i="5"/>
  <c r="F283" i="4"/>
  <c r="H102" i="5"/>
  <c r="I102" i="5"/>
  <c r="H283" i="4"/>
  <c r="K102" i="5"/>
  <c r="L283" i="4"/>
  <c r="Q102" i="5"/>
  <c r="M283" i="4"/>
  <c r="R102" i="5"/>
  <c r="N283" i="4"/>
  <c r="T102" i="5"/>
  <c r="O283" i="4"/>
  <c r="U102" i="5"/>
  <c r="P283" i="4"/>
  <c r="W102" i="5"/>
  <c r="Q283" i="4"/>
  <c r="X102" i="5"/>
  <c r="S283" i="4"/>
  <c r="AA102" i="5"/>
  <c r="AI283" i="4"/>
  <c r="T283" i="4" a="1"/>
  <c r="T283" i="4"/>
  <c r="AC102" i="5"/>
  <c r="U283" i="4" a="1"/>
  <c r="U283" i="4"/>
  <c r="AD102" i="5"/>
  <c r="X283" i="4"/>
  <c r="AI102" i="5"/>
  <c r="Y283" i="4"/>
  <c r="AJ102" i="5"/>
  <c r="Z283" i="4"/>
  <c r="AL102" i="5"/>
  <c r="L102" i="5"/>
  <c r="N102" i="5"/>
  <c r="O102" i="5"/>
  <c r="Z102" i="5"/>
  <c r="AN102" i="5"/>
  <c r="AG103" i="5"/>
  <c r="AF103" i="5"/>
  <c r="B250" i="4"/>
  <c r="C250" i="4"/>
  <c r="C103" i="5"/>
  <c r="D250" i="4"/>
  <c r="E103" i="5"/>
  <c r="E250" i="4"/>
  <c r="F103" i="5"/>
  <c r="F250" i="4"/>
  <c r="H103" i="5"/>
  <c r="I103" i="5"/>
  <c r="H250" i="4"/>
  <c r="K103" i="5"/>
  <c r="L250" i="4"/>
  <c r="Q103" i="5"/>
  <c r="M250" i="4"/>
  <c r="R103" i="5"/>
  <c r="T103" i="5"/>
  <c r="O250" i="4"/>
  <c r="U103" i="5"/>
  <c r="P250" i="4"/>
  <c r="W103" i="5"/>
  <c r="Q250" i="4"/>
  <c r="X103" i="5"/>
  <c r="S250" i="4"/>
  <c r="AA103" i="5"/>
  <c r="AI250" i="4"/>
  <c r="T250" i="4" a="1"/>
  <c r="T250" i="4"/>
  <c r="AC103" i="5"/>
  <c r="U250" i="4" a="1"/>
  <c r="U250" i="4"/>
  <c r="AD103" i="5"/>
  <c r="X250" i="4"/>
  <c r="AI103" i="5"/>
  <c r="Y250" i="4"/>
  <c r="AJ103" i="5"/>
  <c r="Z250" i="4"/>
  <c r="AL103" i="5"/>
  <c r="L103" i="5"/>
  <c r="N103" i="5"/>
  <c r="O103" i="5"/>
  <c r="Z103" i="5"/>
  <c r="AN103" i="5"/>
  <c r="AG104" i="5"/>
  <c r="AF104" i="5"/>
  <c r="B237" i="4"/>
  <c r="C237" i="4"/>
  <c r="C104" i="5"/>
  <c r="D237" i="4"/>
  <c r="E104" i="5"/>
  <c r="E237" i="4"/>
  <c r="F104" i="5"/>
  <c r="F237" i="4"/>
  <c r="H104" i="5"/>
  <c r="I104" i="5"/>
  <c r="H237" i="4"/>
  <c r="K104" i="5"/>
  <c r="L237" i="4"/>
  <c r="Q104" i="5"/>
  <c r="M237" i="4"/>
  <c r="R104" i="5"/>
  <c r="T104" i="5"/>
  <c r="O237" i="4"/>
  <c r="U104" i="5"/>
  <c r="P237" i="4"/>
  <c r="W104" i="5"/>
  <c r="Q237" i="4"/>
  <c r="X104" i="5"/>
  <c r="S237" i="4"/>
  <c r="AA104" i="5"/>
  <c r="AI237" i="4"/>
  <c r="T237" i="4" a="1"/>
  <c r="T237" i="4"/>
  <c r="AC104" i="5"/>
  <c r="U237" i="4" a="1"/>
  <c r="U237" i="4"/>
  <c r="AD104" i="5"/>
  <c r="X237" i="4"/>
  <c r="AI104" i="5"/>
  <c r="Y237" i="4"/>
  <c r="AJ104" i="5"/>
  <c r="Z237" i="4"/>
  <c r="AL104" i="5"/>
  <c r="L104" i="5"/>
  <c r="N104" i="5"/>
  <c r="O104" i="5"/>
  <c r="Z104" i="5"/>
  <c r="AN104" i="5"/>
  <c r="AG105" i="5"/>
  <c r="AF105" i="5"/>
  <c r="C238" i="4"/>
  <c r="C105" i="5"/>
  <c r="D238" i="4"/>
  <c r="E105" i="5"/>
  <c r="E238" i="4"/>
  <c r="F105" i="5"/>
  <c r="F238" i="4"/>
  <c r="H105" i="5"/>
  <c r="I105" i="5"/>
  <c r="K105" i="5"/>
  <c r="L238" i="4"/>
  <c r="Q105" i="5"/>
  <c r="M238" i="4"/>
  <c r="R105" i="5"/>
  <c r="T105" i="5"/>
  <c r="O238" i="4"/>
  <c r="U105" i="5"/>
  <c r="P238" i="4"/>
  <c r="W105" i="5"/>
  <c r="Q238" i="4"/>
  <c r="X105" i="5"/>
  <c r="S238" i="4"/>
  <c r="AA105" i="5"/>
  <c r="AI238" i="4"/>
  <c r="T238" i="4" a="1"/>
  <c r="T238" i="4"/>
  <c r="AC105" i="5"/>
  <c r="U238" i="4" a="1"/>
  <c r="U238" i="4"/>
  <c r="AD105" i="5"/>
  <c r="X238" i="4"/>
  <c r="AI105" i="5"/>
  <c r="Y238" i="4"/>
  <c r="AJ105" i="5"/>
  <c r="Z238" i="4"/>
  <c r="AL105" i="5"/>
  <c r="L105" i="5"/>
  <c r="N105" i="5"/>
  <c r="O105" i="5"/>
  <c r="Z105" i="5"/>
  <c r="AN105" i="5"/>
  <c r="AG106" i="5"/>
  <c r="AF106" i="5"/>
  <c r="B284" i="4"/>
  <c r="C284" i="4"/>
  <c r="C106" i="5"/>
  <c r="D284" i="4"/>
  <c r="E106" i="5"/>
  <c r="E284" i="4"/>
  <c r="F106" i="5"/>
  <c r="F284" i="4"/>
  <c r="H106" i="5"/>
  <c r="I106" i="5"/>
  <c r="H284" i="4"/>
  <c r="K106" i="5"/>
  <c r="L284" i="4"/>
  <c r="Q106" i="5"/>
  <c r="M284" i="4"/>
  <c r="R106" i="5"/>
  <c r="T106" i="5"/>
  <c r="U106" i="5"/>
  <c r="P284" i="4"/>
  <c r="W106" i="5"/>
  <c r="Q284" i="4"/>
  <c r="X106" i="5"/>
  <c r="S284" i="4"/>
  <c r="AA106" i="5"/>
  <c r="AI284" i="4"/>
  <c r="T284" i="4" a="1"/>
  <c r="T284" i="4"/>
  <c r="AC106" i="5"/>
  <c r="U284" i="4" a="1"/>
  <c r="U284" i="4"/>
  <c r="AD106" i="5"/>
  <c r="X284" i="4"/>
  <c r="AI106" i="5"/>
  <c r="Y284" i="4"/>
  <c r="AJ106" i="5"/>
  <c r="Z284" i="4"/>
  <c r="AL106" i="5"/>
  <c r="L106" i="5"/>
  <c r="N106" i="5"/>
  <c r="O106" i="5"/>
  <c r="Z106" i="5"/>
  <c r="AN106" i="5"/>
  <c r="AG107" i="5"/>
  <c r="AF107" i="5"/>
  <c r="C285" i="4"/>
  <c r="C107" i="5"/>
  <c r="T107" i="5"/>
  <c r="U107" i="5"/>
  <c r="P285" i="4"/>
  <c r="W107" i="5"/>
  <c r="Q285" i="4"/>
  <c r="X107" i="5"/>
  <c r="S285" i="4"/>
  <c r="AA107" i="5"/>
  <c r="AI107" i="5"/>
  <c r="Y285" i="4"/>
  <c r="AJ107" i="5"/>
  <c r="Z285" i="4"/>
  <c r="AL107" i="5"/>
  <c r="L107" i="5"/>
  <c r="N107" i="5"/>
  <c r="O107" i="5"/>
  <c r="Z107" i="5"/>
  <c r="AN107" i="5"/>
  <c r="AG108" i="5"/>
  <c r="AF108" i="5"/>
  <c r="C286" i="4"/>
  <c r="C108" i="5"/>
  <c r="D286" i="4"/>
  <c r="E108" i="5"/>
  <c r="E286" i="4"/>
  <c r="F108" i="5"/>
  <c r="F286" i="4"/>
  <c r="H108" i="5"/>
  <c r="I108" i="5"/>
  <c r="H286" i="4"/>
  <c r="K108" i="5"/>
  <c r="L286" i="4"/>
  <c r="Q108" i="5"/>
  <c r="M286" i="4"/>
  <c r="R108" i="5"/>
  <c r="T108" i="5"/>
  <c r="U108" i="5"/>
  <c r="P286" i="4"/>
  <c r="W108" i="5"/>
  <c r="Q286" i="4"/>
  <c r="X108" i="5"/>
  <c r="S286" i="4"/>
  <c r="AA108" i="5"/>
  <c r="AI286" i="4"/>
  <c r="T286" i="4" a="1"/>
  <c r="T286" i="4"/>
  <c r="AC108" i="5"/>
  <c r="U286" i="4" a="1"/>
  <c r="U286" i="4"/>
  <c r="AD108" i="5"/>
  <c r="AI108" i="5"/>
  <c r="Y286" i="4"/>
  <c r="AJ108" i="5"/>
  <c r="Z286" i="4"/>
  <c r="AL108" i="5"/>
  <c r="L108" i="5"/>
  <c r="N108" i="5"/>
  <c r="O108" i="5"/>
  <c r="Z108" i="5"/>
  <c r="AN108" i="5"/>
  <c r="AG109" i="5"/>
  <c r="AF109" i="5"/>
  <c r="B62" i="4"/>
  <c r="C62" i="4"/>
  <c r="C109" i="5"/>
  <c r="D62" i="4"/>
  <c r="E109" i="5"/>
  <c r="H62" i="4"/>
  <c r="K109" i="5"/>
  <c r="L62" i="4"/>
  <c r="Q109" i="5"/>
  <c r="M62" i="4"/>
  <c r="R109" i="5"/>
  <c r="T109" i="5"/>
  <c r="O62" i="4"/>
  <c r="U109" i="5"/>
  <c r="P62" i="4"/>
  <c r="W109" i="5"/>
  <c r="Q62" i="4"/>
  <c r="X109" i="5"/>
  <c r="S62" i="4"/>
  <c r="AA109" i="5"/>
  <c r="AI62" i="4"/>
  <c r="T62" i="4" a="1"/>
  <c r="T62" i="4"/>
  <c r="AC109" i="5"/>
  <c r="U62" i="4" a="1"/>
  <c r="U62" i="4"/>
  <c r="AD109" i="5"/>
  <c r="X62" i="4"/>
  <c r="AI109" i="5"/>
  <c r="Y62" i="4"/>
  <c r="AJ109" i="5"/>
  <c r="Z62" i="4"/>
  <c r="AL109" i="5"/>
  <c r="F109" i="5"/>
  <c r="H109" i="5"/>
  <c r="I109" i="5"/>
  <c r="L109" i="5"/>
  <c r="N109" i="5"/>
  <c r="O109" i="5"/>
  <c r="Z109" i="5"/>
  <c r="AN109" i="5"/>
  <c r="AG110" i="5"/>
  <c r="AF110" i="5"/>
  <c r="C139" i="4"/>
  <c r="C110" i="5"/>
  <c r="D139" i="4"/>
  <c r="E110" i="5"/>
  <c r="E139" i="4"/>
  <c r="F110" i="5"/>
  <c r="F139" i="4"/>
  <c r="H110" i="5"/>
  <c r="I110" i="5"/>
  <c r="H139" i="4"/>
  <c r="K110" i="5"/>
  <c r="L139" i="4"/>
  <c r="Q110" i="5"/>
  <c r="M139" i="4"/>
  <c r="R110" i="5"/>
  <c r="T110" i="5"/>
  <c r="O139" i="4"/>
  <c r="U110" i="5"/>
  <c r="P139" i="4"/>
  <c r="W110" i="5"/>
  <c r="Q139" i="4"/>
  <c r="X110" i="5"/>
  <c r="S139" i="4"/>
  <c r="AA110" i="5"/>
  <c r="AI139" i="4"/>
  <c r="T139" i="4" a="1"/>
  <c r="T139" i="4"/>
  <c r="AC110" i="5"/>
  <c r="U139" i="4" a="1"/>
  <c r="U139" i="4"/>
  <c r="AD110" i="5"/>
  <c r="X139" i="4"/>
  <c r="AI110" i="5"/>
  <c r="Y139" i="4"/>
  <c r="AJ110" i="5"/>
  <c r="Z139" i="4"/>
  <c r="AL110" i="5"/>
  <c r="L110" i="5"/>
  <c r="N110" i="5"/>
  <c r="O110" i="5"/>
  <c r="Z110" i="5"/>
  <c r="AN110" i="5"/>
  <c r="AG111" i="5"/>
  <c r="AF111" i="5"/>
  <c r="C92" i="4"/>
  <c r="C111" i="5"/>
  <c r="D92" i="4"/>
  <c r="E111" i="5"/>
  <c r="H92" i="4"/>
  <c r="K111" i="5"/>
  <c r="L92" i="4"/>
  <c r="Q111" i="5"/>
  <c r="M92" i="4"/>
  <c r="R111" i="5"/>
  <c r="T111" i="5"/>
  <c r="O92" i="4"/>
  <c r="U111" i="5"/>
  <c r="P92" i="4"/>
  <c r="W111" i="5"/>
  <c r="Q92" i="4"/>
  <c r="X111" i="5"/>
  <c r="S92" i="4"/>
  <c r="AA111" i="5"/>
  <c r="AI92" i="4"/>
  <c r="T92" i="4" a="1"/>
  <c r="T92" i="4"/>
  <c r="AC111" i="5"/>
  <c r="U92" i="4" a="1"/>
  <c r="U92" i="4"/>
  <c r="AD111" i="5"/>
  <c r="X92" i="4"/>
  <c r="AI111" i="5"/>
  <c r="Y92" i="4"/>
  <c r="AJ111" i="5"/>
  <c r="Z92" i="4"/>
  <c r="AL111" i="5"/>
  <c r="F111" i="5"/>
  <c r="H111" i="5"/>
  <c r="I111" i="5"/>
  <c r="L111" i="5"/>
  <c r="N111" i="5"/>
  <c r="O111" i="5"/>
  <c r="Z111" i="5"/>
  <c r="AN111" i="5"/>
  <c r="AG112" i="5"/>
  <c r="AF112" i="5"/>
  <c r="C93" i="4"/>
  <c r="C112" i="5"/>
  <c r="D93" i="4"/>
  <c r="E112" i="5"/>
  <c r="H93" i="4"/>
  <c r="K112" i="5"/>
  <c r="L93" i="4"/>
  <c r="Q112" i="5"/>
  <c r="M93" i="4"/>
  <c r="R112" i="5"/>
  <c r="T112" i="5"/>
  <c r="O93" i="4"/>
  <c r="U112" i="5"/>
  <c r="P93" i="4"/>
  <c r="W112" i="5"/>
  <c r="Q93" i="4"/>
  <c r="X112" i="5"/>
  <c r="S93" i="4"/>
  <c r="AA112" i="5"/>
  <c r="AI93" i="4"/>
  <c r="T93" i="4" a="1"/>
  <c r="T93" i="4"/>
  <c r="AC112" i="5"/>
  <c r="U93" i="4" a="1"/>
  <c r="U93" i="4"/>
  <c r="AD112" i="5"/>
  <c r="X93" i="4"/>
  <c r="AI112" i="5"/>
  <c r="Y93" i="4"/>
  <c r="AJ112" i="5"/>
  <c r="Z93" i="4"/>
  <c r="AL112" i="5"/>
  <c r="F112" i="5"/>
  <c r="H112" i="5"/>
  <c r="I112" i="5"/>
  <c r="L112" i="5"/>
  <c r="N112" i="5"/>
  <c r="O112" i="5"/>
  <c r="Z112" i="5"/>
  <c r="AN112" i="5"/>
  <c r="AG113" i="5"/>
  <c r="AF113" i="5"/>
  <c r="C121" i="4"/>
  <c r="C113" i="5"/>
  <c r="D121" i="4"/>
  <c r="E113" i="5"/>
  <c r="H121" i="4"/>
  <c r="K113" i="5"/>
  <c r="L121" i="4"/>
  <c r="Q113" i="5"/>
  <c r="M121" i="4"/>
  <c r="R113" i="5"/>
  <c r="T113" i="5"/>
  <c r="O121" i="4"/>
  <c r="U113" i="5"/>
  <c r="P121" i="4"/>
  <c r="W113" i="5"/>
  <c r="Q121" i="4"/>
  <c r="X113" i="5"/>
  <c r="S121" i="4"/>
  <c r="AA113" i="5"/>
  <c r="AI121" i="4"/>
  <c r="T121" i="4" a="1"/>
  <c r="T121" i="4"/>
  <c r="AC113" i="5"/>
  <c r="U121" i="4" a="1"/>
  <c r="U121" i="4"/>
  <c r="AD113" i="5"/>
  <c r="X121" i="4"/>
  <c r="AI113" i="5"/>
  <c r="Y121" i="4"/>
  <c r="AJ113" i="5"/>
  <c r="Z121" i="4"/>
  <c r="AL113" i="5"/>
  <c r="F113" i="5"/>
  <c r="H113" i="5"/>
  <c r="I113" i="5"/>
  <c r="L113" i="5"/>
  <c r="N113" i="5"/>
  <c r="O113" i="5"/>
  <c r="Z113" i="5"/>
  <c r="AN113" i="5"/>
  <c r="AG114" i="5"/>
  <c r="AF114" i="5"/>
  <c r="B239" i="4"/>
  <c r="C239" i="4"/>
  <c r="C114" i="5"/>
  <c r="D239" i="4"/>
  <c r="E114" i="5"/>
  <c r="K114" i="5"/>
  <c r="L239" i="4"/>
  <c r="Q114" i="5"/>
  <c r="M239" i="4"/>
  <c r="R114" i="5"/>
  <c r="T114" i="5"/>
  <c r="O239" i="4"/>
  <c r="U114" i="5"/>
  <c r="P239" i="4"/>
  <c r="W114" i="5"/>
  <c r="Q239" i="4"/>
  <c r="X114" i="5"/>
  <c r="S239" i="4"/>
  <c r="AA114" i="5"/>
  <c r="AI239" i="4"/>
  <c r="T239" i="4" a="1"/>
  <c r="T239" i="4"/>
  <c r="AC114" i="5"/>
  <c r="U239" i="4" a="1"/>
  <c r="U239" i="4"/>
  <c r="AD114" i="5"/>
  <c r="X239" i="4"/>
  <c r="AI114" i="5"/>
  <c r="Y239" i="4"/>
  <c r="AJ114" i="5"/>
  <c r="Z239" i="4"/>
  <c r="AL114" i="5"/>
  <c r="F114" i="5"/>
  <c r="H114" i="5"/>
  <c r="I114" i="5"/>
  <c r="L114" i="5"/>
  <c r="N114" i="5"/>
  <c r="O114" i="5"/>
  <c r="Z114" i="5"/>
  <c r="AN114" i="5"/>
  <c r="AG115" i="5"/>
  <c r="AF115" i="5"/>
  <c r="B76" i="4"/>
  <c r="C76" i="4"/>
  <c r="C115" i="5"/>
  <c r="D76" i="4"/>
  <c r="E115" i="5"/>
  <c r="H76" i="4"/>
  <c r="K115" i="5"/>
  <c r="L76" i="4"/>
  <c r="Q115" i="5"/>
  <c r="M76" i="4"/>
  <c r="R115" i="5"/>
  <c r="T115" i="5"/>
  <c r="U115" i="5"/>
  <c r="P76" i="4"/>
  <c r="W115" i="5"/>
  <c r="Q76" i="4"/>
  <c r="X115" i="5"/>
  <c r="AA115" i="5"/>
  <c r="AI76" i="4"/>
  <c r="T76" i="4" a="1"/>
  <c r="T76" i="4"/>
  <c r="AC115" i="5"/>
  <c r="U76" i="4" a="1"/>
  <c r="U76" i="4"/>
  <c r="AD115" i="5"/>
  <c r="X76" i="4"/>
  <c r="AI115" i="5"/>
  <c r="Y76" i="4"/>
  <c r="AJ115" i="5"/>
  <c r="Z76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56" i="4"/>
  <c r="C56" i="4"/>
  <c r="C116" i="5"/>
  <c r="D56" i="4"/>
  <c r="E116" i="5"/>
  <c r="E56" i="4"/>
  <c r="F116" i="5"/>
  <c r="F56" i="4"/>
  <c r="H116" i="5"/>
  <c r="I116" i="5"/>
  <c r="I56" i="4"/>
  <c r="L116" i="5"/>
  <c r="J56" i="4"/>
  <c r="N116" i="5"/>
  <c r="L56" i="4"/>
  <c r="Q116" i="5"/>
  <c r="M56" i="4"/>
  <c r="R116" i="5"/>
  <c r="T116" i="5"/>
  <c r="U116" i="5"/>
  <c r="P56" i="4"/>
  <c r="W116" i="5"/>
  <c r="AA116" i="5"/>
  <c r="AI56" i="4"/>
  <c r="T56" i="4" a="1"/>
  <c r="T56" i="4"/>
  <c r="AC116" i="5"/>
  <c r="U56" i="4" a="1"/>
  <c r="U56" i="4"/>
  <c r="AD116" i="5"/>
  <c r="Y56" i="4"/>
  <c r="AJ116" i="5"/>
  <c r="Z56" i="4"/>
  <c r="AL116" i="5"/>
  <c r="X116" i="5"/>
  <c r="Z116" i="5"/>
  <c r="AN116" i="5"/>
  <c r="AG117" i="5"/>
  <c r="AF117" i="5"/>
  <c r="B240" i="4"/>
  <c r="C240" i="4"/>
  <c r="C117" i="5"/>
  <c r="D240" i="4"/>
  <c r="E117" i="5"/>
  <c r="K117" i="5"/>
  <c r="L240" i="4"/>
  <c r="Q117" i="5"/>
  <c r="M240" i="4"/>
  <c r="R117" i="5"/>
  <c r="T117" i="5"/>
  <c r="U117" i="5"/>
  <c r="P240" i="4"/>
  <c r="W117" i="5"/>
  <c r="Q240" i="4"/>
  <c r="X117" i="5"/>
  <c r="S240" i="4"/>
  <c r="AA117" i="5"/>
  <c r="AI240" i="4"/>
  <c r="T240" i="4" a="1"/>
  <c r="T240" i="4"/>
  <c r="AC117" i="5"/>
  <c r="U240" i="4" a="1"/>
  <c r="U240" i="4"/>
  <c r="AD117" i="5"/>
  <c r="X240" i="4"/>
  <c r="AI117" i="5"/>
  <c r="F117" i="5"/>
  <c r="H117" i="5"/>
  <c r="I117" i="5"/>
  <c r="L117" i="5"/>
  <c r="N117" i="5"/>
  <c r="O117" i="5"/>
  <c r="Z117" i="5"/>
  <c r="AN117" i="5"/>
  <c r="AA118" i="5"/>
  <c r="P3" i="4"/>
  <c r="W118" i="5"/>
  <c r="AG118" i="5"/>
  <c r="AF118" i="5"/>
  <c r="C3" i="4"/>
  <c r="C118" i="5"/>
  <c r="D3" i="4"/>
  <c r="E118" i="5"/>
  <c r="K118" i="5"/>
  <c r="Q118" i="5"/>
  <c r="M3" i="4"/>
  <c r="R118" i="5"/>
  <c r="T118" i="5"/>
  <c r="U118" i="5"/>
  <c r="Q3" i="4"/>
  <c r="X118" i="5"/>
  <c r="R3" i="4"/>
  <c r="Z118" i="5"/>
  <c r="AI3" i="4"/>
  <c r="T3" i="4" a="1"/>
  <c r="T3" i="4"/>
  <c r="AC118" i="5"/>
  <c r="U3" i="4" a="1"/>
  <c r="U3" i="4"/>
  <c r="AD118" i="5"/>
  <c r="Y3" i="4"/>
  <c r="AJ118" i="5"/>
  <c r="Z3" i="4"/>
  <c r="AL118" i="5"/>
  <c r="F118" i="5"/>
  <c r="H118" i="5"/>
  <c r="I118" i="5"/>
  <c r="L118" i="5"/>
  <c r="N118" i="5"/>
  <c r="O118" i="5"/>
  <c r="AN118" i="5"/>
  <c r="AG119" i="5"/>
  <c r="AF119" i="5"/>
  <c r="B77" i="4"/>
  <c r="C77" i="4"/>
  <c r="C119" i="5"/>
  <c r="D77" i="4"/>
  <c r="E119" i="5"/>
  <c r="E77" i="4"/>
  <c r="F119" i="5"/>
  <c r="F77" i="4"/>
  <c r="H119" i="5"/>
  <c r="I119" i="5"/>
  <c r="K119" i="5"/>
  <c r="L77" i="4"/>
  <c r="Q119" i="5"/>
  <c r="M77" i="4"/>
  <c r="R119" i="5"/>
  <c r="T119" i="5"/>
  <c r="O77" i="4"/>
  <c r="U119" i="5"/>
  <c r="P77" i="4"/>
  <c r="W119" i="5"/>
  <c r="Q77" i="4"/>
  <c r="X119" i="5"/>
  <c r="AA119" i="5"/>
  <c r="AI77" i="4"/>
  <c r="T77" i="4" a="1"/>
  <c r="T77" i="4"/>
  <c r="AC119" i="5"/>
  <c r="U77" i="4" a="1"/>
  <c r="U77" i="4"/>
  <c r="AD119" i="5"/>
  <c r="X77" i="4"/>
  <c r="AI119" i="5"/>
  <c r="Y77" i="4"/>
  <c r="AJ119" i="5"/>
  <c r="Z77" i="4"/>
  <c r="AL119" i="5"/>
  <c r="L119" i="5"/>
  <c r="N119" i="5"/>
  <c r="O119" i="5"/>
  <c r="Z119" i="5"/>
  <c r="AN119" i="5"/>
  <c r="AG120" i="5"/>
  <c r="AF120" i="5"/>
  <c r="B94" i="4"/>
  <c r="C94" i="4"/>
  <c r="C120" i="5"/>
  <c r="D94" i="4"/>
  <c r="E120" i="5"/>
  <c r="H94" i="4"/>
  <c r="K120" i="5"/>
  <c r="L94" i="4"/>
  <c r="Q120" i="5"/>
  <c r="M94" i="4"/>
  <c r="R120" i="5"/>
  <c r="T120" i="5"/>
  <c r="O94" i="4"/>
  <c r="U120" i="5"/>
  <c r="W120" i="5"/>
  <c r="Q94" i="4"/>
  <c r="X120" i="5"/>
  <c r="AA120" i="5"/>
  <c r="AI94" i="4"/>
  <c r="T94" i="4" a="1"/>
  <c r="T94" i="4"/>
  <c r="AC120" i="5"/>
  <c r="U94" i="4" a="1"/>
  <c r="U94" i="4"/>
  <c r="AD120" i="5"/>
  <c r="Y94" i="4"/>
  <c r="AJ120" i="5"/>
  <c r="Z94" i="4"/>
  <c r="AL120" i="5"/>
  <c r="F120" i="5"/>
  <c r="H120" i="5"/>
  <c r="I120" i="5"/>
  <c r="L120" i="5"/>
  <c r="N120" i="5"/>
  <c r="O120" i="5"/>
  <c r="Z120" i="5"/>
  <c r="AN120" i="5"/>
  <c r="AG121" i="5"/>
  <c r="AF121" i="5"/>
  <c r="B78" i="4"/>
  <c r="C78" i="4"/>
  <c r="C121" i="5"/>
  <c r="D78" i="4"/>
  <c r="E121" i="5"/>
  <c r="H78" i="4"/>
  <c r="K121" i="5"/>
  <c r="L78" i="4"/>
  <c r="Q121" i="5"/>
  <c r="M78" i="4"/>
  <c r="R121" i="5"/>
  <c r="N78" i="4"/>
  <c r="T121" i="5"/>
  <c r="U121" i="5"/>
  <c r="W121" i="5"/>
  <c r="Q78" i="4"/>
  <c r="X121" i="5"/>
  <c r="AA121" i="5"/>
  <c r="AI78" i="4"/>
  <c r="T78" i="4" a="1"/>
  <c r="T78" i="4"/>
  <c r="AC121" i="5"/>
  <c r="U78" i="4" a="1"/>
  <c r="U78" i="4"/>
  <c r="AD121" i="5"/>
  <c r="X78" i="4"/>
  <c r="AI121" i="5"/>
  <c r="Y78" i="4"/>
  <c r="AJ121" i="5"/>
  <c r="Z78" i="4"/>
  <c r="AL121" i="5"/>
  <c r="F121" i="5"/>
  <c r="H121" i="5"/>
  <c r="I121" i="5"/>
  <c r="L121" i="5"/>
  <c r="N121" i="5"/>
  <c r="O121" i="5"/>
  <c r="Z121" i="5"/>
  <c r="AN121" i="5"/>
  <c r="AG122" i="5"/>
  <c r="AF122" i="5"/>
  <c r="B96" i="4"/>
  <c r="C96" i="4"/>
  <c r="C122" i="5"/>
  <c r="D96" i="4"/>
  <c r="E122" i="5"/>
  <c r="H96" i="4"/>
  <c r="K122" i="5"/>
  <c r="L96" i="4"/>
  <c r="Q122" i="5"/>
  <c r="R122" i="5"/>
  <c r="T122" i="5"/>
  <c r="O96" i="4"/>
  <c r="U122" i="5"/>
  <c r="P96" i="4"/>
  <c r="W122" i="5"/>
  <c r="Q96" i="4"/>
  <c r="X122" i="5"/>
  <c r="AA122" i="5"/>
  <c r="AI96" i="4"/>
  <c r="T96" i="4" a="1"/>
  <c r="T96" i="4"/>
  <c r="AC122" i="5"/>
  <c r="U96" i="4" a="1"/>
  <c r="U96" i="4"/>
  <c r="AD122" i="5"/>
  <c r="Y96" i="4"/>
  <c r="AJ122" i="5"/>
  <c r="Z96" i="4"/>
  <c r="AL122" i="5"/>
  <c r="F122" i="5"/>
  <c r="H122" i="5"/>
  <c r="I122" i="5"/>
  <c r="L122" i="5"/>
  <c r="N122" i="5"/>
  <c r="O122" i="5"/>
  <c r="Z122" i="5"/>
  <c r="AN122" i="5"/>
  <c r="O123" i="5"/>
  <c r="B141" i="4"/>
  <c r="H141" i="4"/>
  <c r="K123" i="5"/>
  <c r="AG123" i="5"/>
  <c r="AF123" i="5"/>
  <c r="C141" i="4"/>
  <c r="C123" i="5"/>
  <c r="D141" i="4"/>
  <c r="E123" i="5"/>
  <c r="E141" i="4"/>
  <c r="F123" i="5"/>
  <c r="F141" i="4"/>
  <c r="H123" i="5"/>
  <c r="I123" i="5"/>
  <c r="I141" i="4"/>
  <c r="L123" i="5"/>
  <c r="J141" i="4"/>
  <c r="N123" i="5"/>
  <c r="L141" i="4"/>
  <c r="Q123" i="5"/>
  <c r="M141" i="4"/>
  <c r="R123" i="5"/>
  <c r="T123" i="5"/>
  <c r="O141" i="4"/>
  <c r="U123" i="5"/>
  <c r="P141" i="4"/>
  <c r="W123" i="5"/>
  <c r="Q141" i="4"/>
  <c r="X123" i="5"/>
  <c r="S141" i="4"/>
  <c r="AA123" i="5"/>
  <c r="AI141" i="4"/>
  <c r="T141" i="4" a="1"/>
  <c r="T141" i="4"/>
  <c r="AC123" i="5"/>
  <c r="U141" i="4" a="1"/>
  <c r="U141" i="4"/>
  <c r="AD123" i="5"/>
  <c r="X141" i="4"/>
  <c r="AI123" i="5"/>
  <c r="Y141" i="4"/>
  <c r="AJ123" i="5"/>
  <c r="Z141" i="4"/>
  <c r="AL123" i="5"/>
  <c r="Z123" i="5"/>
  <c r="AN123" i="5"/>
  <c r="AG124" i="5"/>
  <c r="AF124" i="5"/>
  <c r="B298" i="4"/>
  <c r="C298" i="4"/>
  <c r="C124" i="5"/>
  <c r="D298" i="4"/>
  <c r="E124" i="5"/>
  <c r="H298" i="4"/>
  <c r="K124" i="5"/>
  <c r="L298" i="4"/>
  <c r="Q124" i="5"/>
  <c r="M298" i="4"/>
  <c r="R124" i="5"/>
  <c r="T124" i="5"/>
  <c r="O298" i="4"/>
  <c r="U124" i="5"/>
  <c r="P298" i="4"/>
  <c r="W124" i="5"/>
  <c r="Q298" i="4"/>
  <c r="X124" i="5"/>
  <c r="AA124" i="5"/>
  <c r="AI298" i="4"/>
  <c r="T298" i="4" a="1"/>
  <c r="T298" i="4"/>
  <c r="AC124" i="5"/>
  <c r="U298" i="4" a="1"/>
  <c r="U298" i="4"/>
  <c r="AD124" i="5"/>
  <c r="X298" i="4"/>
  <c r="AI124" i="5"/>
  <c r="Y298" i="4"/>
  <c r="AJ124" i="5"/>
  <c r="Z298" i="4"/>
  <c r="AL124" i="5"/>
  <c r="F124" i="5"/>
  <c r="H124" i="5"/>
  <c r="I124" i="5"/>
  <c r="L124" i="5"/>
  <c r="N124" i="5"/>
  <c r="O124" i="5"/>
  <c r="Z124" i="5"/>
  <c r="AN124" i="5"/>
  <c r="AG125" i="5"/>
  <c r="AF125" i="5"/>
  <c r="B142" i="4"/>
  <c r="C142" i="4"/>
  <c r="C125" i="5"/>
  <c r="D142" i="4"/>
  <c r="E125" i="5"/>
  <c r="H142" i="4"/>
  <c r="K125" i="5"/>
  <c r="L142" i="4"/>
  <c r="Q125" i="5"/>
  <c r="M142" i="4"/>
  <c r="R125" i="5"/>
  <c r="T125" i="5"/>
  <c r="U125" i="5"/>
  <c r="P142" i="4"/>
  <c r="W125" i="5"/>
  <c r="Q142" i="4"/>
  <c r="X125" i="5"/>
  <c r="S142" i="4"/>
  <c r="AA125" i="5"/>
  <c r="AI142" i="4"/>
  <c r="T142" i="4" a="1"/>
  <c r="T142" i="4"/>
  <c r="AC125" i="5"/>
  <c r="U142" i="4" a="1"/>
  <c r="U142" i="4"/>
  <c r="AD125" i="5"/>
  <c r="X142" i="4"/>
  <c r="AI125" i="5"/>
  <c r="Y142" i="4"/>
  <c r="AJ125" i="5"/>
  <c r="Z142" i="4"/>
  <c r="AL125" i="5"/>
  <c r="F125" i="5"/>
  <c r="H125" i="5"/>
  <c r="I125" i="5"/>
  <c r="L125" i="5"/>
  <c r="N125" i="5"/>
  <c r="O125" i="5"/>
  <c r="Z125" i="5"/>
  <c r="AN125" i="5"/>
  <c r="AG126" i="5"/>
  <c r="AF126" i="5"/>
  <c r="B143" i="4"/>
  <c r="C143" i="4"/>
  <c r="C126" i="5"/>
  <c r="D143" i="4"/>
  <c r="E126" i="5"/>
  <c r="H143" i="4"/>
  <c r="K126" i="5"/>
  <c r="L143" i="4"/>
  <c r="Q126" i="5"/>
  <c r="M143" i="4"/>
  <c r="R126" i="5"/>
  <c r="T126" i="5"/>
  <c r="O143" i="4"/>
  <c r="U126" i="5"/>
  <c r="P143" i="4"/>
  <c r="W126" i="5"/>
  <c r="Q143" i="4"/>
  <c r="X126" i="5"/>
  <c r="S143" i="4"/>
  <c r="AA126" i="5"/>
  <c r="AI143" i="4"/>
  <c r="T143" i="4" a="1"/>
  <c r="T143" i="4"/>
  <c r="AC126" i="5"/>
  <c r="U143" i="4" a="1"/>
  <c r="U143" i="4"/>
  <c r="AD126" i="5"/>
  <c r="X143" i="4"/>
  <c r="AI126" i="5"/>
  <c r="Y143" i="4"/>
  <c r="AJ126" i="5"/>
  <c r="Z143" i="4"/>
  <c r="AL126" i="5"/>
  <c r="F126" i="5"/>
  <c r="H126" i="5"/>
  <c r="I126" i="5"/>
  <c r="L126" i="5"/>
  <c r="N126" i="5"/>
  <c r="O126" i="5"/>
  <c r="Z126" i="5"/>
  <c r="AN126" i="5"/>
  <c r="AG127" i="5"/>
  <c r="AF127" i="5"/>
  <c r="B31" i="4"/>
  <c r="C31" i="4"/>
  <c r="C127" i="5"/>
  <c r="D31" i="4"/>
  <c r="E127" i="5"/>
  <c r="K127" i="5"/>
  <c r="L31" i="4"/>
  <c r="Q127" i="5"/>
  <c r="M31" i="4"/>
  <c r="R127" i="5"/>
  <c r="T127" i="5"/>
  <c r="O31" i="4"/>
  <c r="U127" i="5"/>
  <c r="P31" i="4"/>
  <c r="W127" i="5"/>
  <c r="Q31" i="4"/>
  <c r="X127" i="5"/>
  <c r="AA127" i="5"/>
  <c r="AI31" i="4"/>
  <c r="T31" i="4" a="1"/>
  <c r="T31" i="4"/>
  <c r="AC127" i="5"/>
  <c r="U31" i="4" a="1"/>
  <c r="U31" i="4"/>
  <c r="AD127" i="5"/>
  <c r="X31" i="4"/>
  <c r="AI127" i="5"/>
  <c r="Y31" i="4"/>
  <c r="AJ127" i="5"/>
  <c r="Z31" i="4"/>
  <c r="AL127" i="5"/>
  <c r="F127" i="5"/>
  <c r="H127" i="5"/>
  <c r="I127" i="5"/>
  <c r="L127" i="5"/>
  <c r="N127" i="5"/>
  <c r="O127" i="5"/>
  <c r="Z127" i="5"/>
  <c r="AN127" i="5"/>
  <c r="AG128" i="5"/>
  <c r="AF128" i="5"/>
  <c r="B241" i="4"/>
  <c r="C241" i="4"/>
  <c r="C128" i="5"/>
  <c r="D241" i="4"/>
  <c r="E128" i="5"/>
  <c r="E241" i="4"/>
  <c r="F128" i="5"/>
  <c r="F241" i="4"/>
  <c r="H128" i="5"/>
  <c r="I128" i="5"/>
  <c r="H241" i="4"/>
  <c r="K128" i="5"/>
  <c r="L241" i="4"/>
  <c r="Q128" i="5"/>
  <c r="M241" i="4"/>
  <c r="R128" i="5"/>
  <c r="T128" i="5"/>
  <c r="U128" i="5"/>
  <c r="P241" i="4"/>
  <c r="W128" i="5"/>
  <c r="Q241" i="4"/>
  <c r="X128" i="5"/>
  <c r="S241" i="4"/>
  <c r="AA128" i="5"/>
  <c r="AI241" i="4"/>
  <c r="T241" i="4" a="1"/>
  <c r="T241" i="4"/>
  <c r="AC128" i="5"/>
  <c r="U241" i="4" a="1"/>
  <c r="U241" i="4"/>
  <c r="AD128" i="5"/>
  <c r="X241" i="4"/>
  <c r="AI128" i="5"/>
  <c r="Y241" i="4"/>
  <c r="AJ128" i="5"/>
  <c r="Z241" i="4"/>
  <c r="AL128" i="5"/>
  <c r="L128" i="5"/>
  <c r="N128" i="5"/>
  <c r="O128" i="5"/>
  <c r="Z128" i="5"/>
  <c r="AN128" i="5"/>
  <c r="B32" i="4"/>
  <c r="S32" i="4"/>
  <c r="AA129" i="5"/>
  <c r="P32" i="4"/>
  <c r="W129" i="5"/>
  <c r="AG129" i="5"/>
  <c r="AF129" i="5"/>
  <c r="C32" i="4"/>
  <c r="C129" i="5"/>
  <c r="D32" i="4"/>
  <c r="E129" i="5"/>
  <c r="E32" i="4"/>
  <c r="F129" i="5"/>
  <c r="F32" i="4"/>
  <c r="H129" i="5"/>
  <c r="I129" i="5"/>
  <c r="K129" i="5"/>
  <c r="L32" i="4"/>
  <c r="Q129" i="5"/>
  <c r="U129" i="5"/>
  <c r="Q32" i="4"/>
  <c r="X129" i="5"/>
  <c r="R32" i="4"/>
  <c r="Z129" i="5"/>
  <c r="AI32" i="4"/>
  <c r="T32" i="4" a="1"/>
  <c r="T32" i="4"/>
  <c r="AC129" i="5"/>
  <c r="U32" i="4" a="1"/>
  <c r="U32" i="4"/>
  <c r="AD129" i="5"/>
  <c r="X32" i="4"/>
  <c r="AI129" i="5"/>
  <c r="Y32" i="4"/>
  <c r="AJ129" i="5"/>
  <c r="Z32" i="4"/>
  <c r="AL129" i="5"/>
  <c r="R129" i="5"/>
  <c r="T129" i="5"/>
  <c r="L129" i="5"/>
  <c r="N129" i="5"/>
  <c r="O129" i="5"/>
  <c r="AN129" i="5"/>
  <c r="AG130" i="5"/>
  <c r="AF130" i="5"/>
  <c r="C97" i="4"/>
  <c r="C130" i="5"/>
  <c r="D97" i="4"/>
  <c r="E130" i="5"/>
  <c r="E97" i="4"/>
  <c r="F130" i="5"/>
  <c r="F97" i="4"/>
  <c r="H130" i="5"/>
  <c r="I130" i="5"/>
  <c r="H97" i="4"/>
  <c r="K130" i="5"/>
  <c r="L97" i="4"/>
  <c r="Q130" i="5"/>
  <c r="M97" i="4"/>
  <c r="R130" i="5"/>
  <c r="T130" i="5"/>
  <c r="U130" i="5"/>
  <c r="P97" i="4"/>
  <c r="W130" i="5"/>
  <c r="Q97" i="4"/>
  <c r="X130" i="5"/>
  <c r="S97" i="4"/>
  <c r="AA130" i="5"/>
  <c r="AI97" i="4"/>
  <c r="T97" i="4" a="1"/>
  <c r="T97" i="4"/>
  <c r="AC130" i="5"/>
  <c r="U97" i="4" a="1"/>
  <c r="U97" i="4"/>
  <c r="AD130" i="5"/>
  <c r="X97" i="4"/>
  <c r="AI130" i="5"/>
  <c r="Y97" i="4"/>
  <c r="AJ130" i="5"/>
  <c r="Z97" i="4"/>
  <c r="AL130" i="5"/>
  <c r="Z130" i="5"/>
  <c r="L130" i="5"/>
  <c r="N130" i="5"/>
  <c r="O130" i="5"/>
  <c r="AN130" i="5"/>
  <c r="AG131" i="5"/>
  <c r="AF131" i="5"/>
  <c r="B79" i="4"/>
  <c r="C79" i="4"/>
  <c r="C131" i="5"/>
  <c r="D79" i="4"/>
  <c r="E131" i="5"/>
  <c r="E79" i="4"/>
  <c r="F131" i="5"/>
  <c r="F79" i="4"/>
  <c r="H131" i="5"/>
  <c r="I131" i="5"/>
  <c r="H79" i="4"/>
  <c r="K131" i="5"/>
  <c r="L79" i="4"/>
  <c r="Q131" i="5"/>
  <c r="M79" i="4"/>
  <c r="R131" i="5"/>
  <c r="T131" i="5"/>
  <c r="O79" i="4"/>
  <c r="U131" i="5"/>
  <c r="P79" i="4"/>
  <c r="W131" i="5"/>
  <c r="Q79" i="4"/>
  <c r="X131" i="5"/>
  <c r="AA131" i="5"/>
  <c r="AI79" i="4"/>
  <c r="T79" i="4" a="1"/>
  <c r="T79" i="4"/>
  <c r="AC131" i="5"/>
  <c r="U79" i="4" a="1"/>
  <c r="U79" i="4"/>
  <c r="AD131" i="5"/>
  <c r="X79" i="4"/>
  <c r="AI131" i="5"/>
  <c r="Y79" i="4"/>
  <c r="AJ131" i="5"/>
  <c r="Z79" i="4"/>
  <c r="AL131" i="5"/>
  <c r="Z131" i="5"/>
  <c r="L131" i="5"/>
  <c r="N131" i="5"/>
  <c r="O131" i="5"/>
  <c r="AN131" i="5"/>
  <c r="AG132" i="5"/>
  <c r="AF132" i="5"/>
  <c r="B184" i="4"/>
  <c r="C184" i="4"/>
  <c r="C132" i="5"/>
  <c r="D184" i="4"/>
  <c r="E132" i="5"/>
  <c r="E184" i="4"/>
  <c r="F132" i="5"/>
  <c r="F184" i="4"/>
  <c r="H132" i="5"/>
  <c r="I132" i="5"/>
  <c r="K132" i="5"/>
  <c r="L184" i="4"/>
  <c r="Q132" i="5"/>
  <c r="M184" i="4"/>
  <c r="R132" i="5"/>
  <c r="T132" i="5"/>
  <c r="U132" i="5"/>
  <c r="P184" i="4"/>
  <c r="W132" i="5"/>
  <c r="Q184" i="4"/>
  <c r="X132" i="5"/>
  <c r="S184" i="4"/>
  <c r="AA132" i="5"/>
  <c r="AI184" i="4"/>
  <c r="T184" i="4" a="1"/>
  <c r="T184" i="4"/>
  <c r="AC132" i="5"/>
  <c r="U184" i="4" a="1"/>
  <c r="U184" i="4"/>
  <c r="AD132" i="5"/>
  <c r="X184" i="4"/>
  <c r="AI132" i="5"/>
  <c r="Y184" i="4"/>
  <c r="AJ132" i="5"/>
  <c r="Z184" i="4"/>
  <c r="AL132" i="5"/>
  <c r="Z132" i="5"/>
  <c r="L132" i="5"/>
  <c r="N132" i="5"/>
  <c r="O132" i="5"/>
  <c r="AN132" i="5"/>
  <c r="AA133" i="5"/>
  <c r="P2" i="4"/>
  <c r="W133" i="5"/>
  <c r="O133" i="5"/>
  <c r="K133" i="5"/>
  <c r="AG133" i="5"/>
  <c r="AF133" i="5"/>
  <c r="C2" i="4"/>
  <c r="C133" i="5"/>
  <c r="D2" i="4"/>
  <c r="E133" i="5"/>
  <c r="I2" i="4"/>
  <c r="L133" i="5"/>
  <c r="J2" i="4"/>
  <c r="N133" i="5"/>
  <c r="L2" i="4"/>
  <c r="Q133" i="5"/>
  <c r="M2" i="4"/>
  <c r="R133" i="5"/>
  <c r="T133" i="5"/>
  <c r="U133" i="5"/>
  <c r="Q2" i="4"/>
  <c r="X133" i="5"/>
  <c r="R2" i="4"/>
  <c r="Z133" i="5"/>
  <c r="AI2" i="4"/>
  <c r="T2" i="4" a="1"/>
  <c r="T2" i="4"/>
  <c r="AC133" i="5"/>
  <c r="U2" i="4" a="1"/>
  <c r="U2" i="4"/>
  <c r="AD133" i="5"/>
  <c r="X2" i="4"/>
  <c r="AI133" i="5"/>
  <c r="Y2" i="4"/>
  <c r="AJ133" i="5"/>
  <c r="Z2" i="4"/>
  <c r="AL133" i="5"/>
  <c r="F133" i="5"/>
  <c r="H133" i="5"/>
  <c r="I133" i="5"/>
  <c r="AN133" i="5"/>
  <c r="O134" i="5"/>
  <c r="K134" i="5"/>
  <c r="AG134" i="5"/>
  <c r="AF134" i="5"/>
  <c r="B80" i="4"/>
  <c r="C80" i="4"/>
  <c r="C134" i="5"/>
  <c r="D80" i="4"/>
  <c r="E134" i="5"/>
  <c r="I80" i="4"/>
  <c r="L134" i="5"/>
  <c r="J80" i="4"/>
  <c r="N134" i="5"/>
  <c r="L80" i="4"/>
  <c r="Q134" i="5"/>
  <c r="M80" i="4"/>
  <c r="R134" i="5"/>
  <c r="T134" i="5"/>
  <c r="U134" i="5"/>
  <c r="P80" i="4"/>
  <c r="W134" i="5"/>
  <c r="Q80" i="4"/>
  <c r="X134" i="5"/>
  <c r="AA134" i="5"/>
  <c r="AI80" i="4"/>
  <c r="T80" i="4" a="1"/>
  <c r="T80" i="4"/>
  <c r="AC134" i="5"/>
  <c r="U80" i="4" a="1"/>
  <c r="U80" i="4"/>
  <c r="AD134" i="5"/>
  <c r="X80" i="4"/>
  <c r="AI134" i="5"/>
  <c r="Y80" i="4"/>
  <c r="AJ134" i="5"/>
  <c r="Z80" i="4"/>
  <c r="AL134" i="5"/>
  <c r="Z134" i="5"/>
  <c r="F134" i="5"/>
  <c r="H134" i="5"/>
  <c r="I134" i="5"/>
  <c r="AN134" i="5"/>
  <c r="AG135" i="5"/>
  <c r="AF135" i="5"/>
  <c r="B113" i="4"/>
  <c r="C113" i="4"/>
  <c r="C135" i="5"/>
  <c r="D113" i="4"/>
  <c r="E135" i="5"/>
  <c r="H113" i="4"/>
  <c r="K135" i="5"/>
  <c r="L113" i="4"/>
  <c r="Q135" i="5"/>
  <c r="M113" i="4"/>
  <c r="R135" i="5"/>
  <c r="T135" i="5"/>
  <c r="O113" i="4"/>
  <c r="U135" i="5"/>
  <c r="P113" i="4"/>
  <c r="W135" i="5"/>
  <c r="Q113" i="4"/>
  <c r="X135" i="5"/>
  <c r="S113" i="4"/>
  <c r="AA135" i="5"/>
  <c r="AI113" i="4"/>
  <c r="T113" i="4" a="1"/>
  <c r="T113" i="4"/>
  <c r="AC135" i="5"/>
  <c r="U113" i="4" a="1"/>
  <c r="U113" i="4"/>
  <c r="AD135" i="5"/>
  <c r="X113" i="4"/>
  <c r="AI135" i="5"/>
  <c r="Y113" i="4"/>
  <c r="AJ135" i="5"/>
  <c r="Z113" i="4"/>
  <c r="AL135" i="5"/>
  <c r="L135" i="5"/>
  <c r="N135" i="5"/>
  <c r="O135" i="5"/>
  <c r="Z135" i="5"/>
  <c r="F135" i="5"/>
  <c r="H135" i="5"/>
  <c r="I135" i="5"/>
  <c r="AN135" i="5"/>
  <c r="O136" i="5"/>
  <c r="B185" i="4"/>
  <c r="H185" i="4"/>
  <c r="K136" i="5"/>
  <c r="AG136" i="5"/>
  <c r="AF136" i="5"/>
  <c r="C185" i="4"/>
  <c r="C136" i="5"/>
  <c r="D185" i="4"/>
  <c r="E136" i="5"/>
  <c r="I185" i="4"/>
  <c r="L136" i="5"/>
  <c r="J185" i="4"/>
  <c r="N136" i="5"/>
  <c r="L185" i="4"/>
  <c r="Q136" i="5"/>
  <c r="M185" i="4"/>
  <c r="R136" i="5"/>
  <c r="T136" i="5"/>
  <c r="U136" i="5"/>
  <c r="P185" i="4"/>
  <c r="W136" i="5"/>
  <c r="Q185" i="4"/>
  <c r="X136" i="5"/>
  <c r="AA136" i="5"/>
  <c r="AI185" i="4"/>
  <c r="T185" i="4" a="1"/>
  <c r="T185" i="4"/>
  <c r="AC136" i="5"/>
  <c r="U185" i="4" a="1"/>
  <c r="U185" i="4"/>
  <c r="AD136" i="5"/>
  <c r="X185" i="4"/>
  <c r="AI136" i="5"/>
  <c r="Y185" i="4"/>
  <c r="AJ136" i="5"/>
  <c r="Z185" i="4"/>
  <c r="AL136" i="5"/>
  <c r="Z136" i="5"/>
  <c r="F136" i="5"/>
  <c r="H136" i="5"/>
  <c r="I136" i="5"/>
  <c r="AN136" i="5"/>
  <c r="B33" i="4"/>
  <c r="S33" i="4"/>
  <c r="AA137" i="5"/>
  <c r="P33" i="4"/>
  <c r="W137" i="5"/>
  <c r="AG137" i="5"/>
  <c r="AF137" i="5"/>
  <c r="C33" i="4"/>
  <c r="C137" i="5"/>
  <c r="D33" i="4"/>
  <c r="E137" i="5"/>
  <c r="K137" i="5"/>
  <c r="L33" i="4"/>
  <c r="Q137" i="5"/>
  <c r="U137" i="5"/>
  <c r="Q33" i="4"/>
  <c r="X137" i="5"/>
  <c r="R33" i="4"/>
  <c r="Z137" i="5"/>
  <c r="AI33" i="4"/>
  <c r="T33" i="4" a="1"/>
  <c r="T33" i="4"/>
  <c r="AC137" i="5"/>
  <c r="U33" i="4" a="1"/>
  <c r="U33" i="4"/>
  <c r="AD137" i="5"/>
  <c r="X33" i="4"/>
  <c r="AI137" i="5"/>
  <c r="Y33" i="4"/>
  <c r="AJ137" i="5"/>
  <c r="Z33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B114" i="4"/>
  <c r="C114" i="4"/>
  <c r="C138" i="5"/>
  <c r="D114" i="4"/>
  <c r="E138" i="5"/>
  <c r="H114" i="4"/>
  <c r="K138" i="5"/>
  <c r="L114" i="4"/>
  <c r="Q138" i="5"/>
  <c r="M114" i="4"/>
  <c r="R138" i="5"/>
  <c r="T138" i="5"/>
  <c r="O114" i="4"/>
  <c r="U138" i="5"/>
  <c r="P114" i="4"/>
  <c r="W138" i="5"/>
  <c r="Q114" i="4"/>
  <c r="X138" i="5"/>
  <c r="S114" i="4"/>
  <c r="AA138" i="5"/>
  <c r="AI114" i="4"/>
  <c r="T114" i="4" a="1"/>
  <c r="T114" i="4"/>
  <c r="AC138" i="5"/>
  <c r="U114" i="4" a="1"/>
  <c r="U114" i="4"/>
  <c r="AD138" i="5"/>
  <c r="X114" i="4"/>
  <c r="AI138" i="5"/>
  <c r="Y114" i="4"/>
  <c r="AJ138" i="5"/>
  <c r="Z114" i="4"/>
  <c r="AL138" i="5"/>
  <c r="L138" i="5"/>
  <c r="N138" i="5"/>
  <c r="O138" i="5"/>
  <c r="F138" i="5"/>
  <c r="H138" i="5"/>
  <c r="I138" i="5"/>
  <c r="Z138" i="5"/>
  <c r="AN138" i="5"/>
  <c r="AG139" i="5"/>
  <c r="AF139" i="5"/>
  <c r="B278" i="4"/>
  <c r="C278" i="4"/>
  <c r="C139" i="5"/>
  <c r="D278" i="4"/>
  <c r="E139" i="5"/>
  <c r="E278" i="4"/>
  <c r="F139" i="5"/>
  <c r="F278" i="4"/>
  <c r="H139" i="5"/>
  <c r="I139" i="5"/>
  <c r="K139" i="5"/>
  <c r="L278" i="4"/>
  <c r="Q139" i="5"/>
  <c r="M278" i="4"/>
  <c r="R139" i="5"/>
  <c r="T139" i="5"/>
  <c r="U139" i="5"/>
  <c r="P278" i="4"/>
  <c r="W139" i="5"/>
  <c r="Q278" i="4"/>
  <c r="X139" i="5"/>
  <c r="S278" i="4"/>
  <c r="AA139" i="5"/>
  <c r="AI278" i="4"/>
  <c r="T278" i="4" a="1"/>
  <c r="T278" i="4"/>
  <c r="AC139" i="5"/>
  <c r="U278" i="4" a="1"/>
  <c r="U278" i="4"/>
  <c r="AD139" i="5"/>
  <c r="X278" i="4"/>
  <c r="AI139" i="5"/>
  <c r="Y278" i="4"/>
  <c r="AJ139" i="5"/>
  <c r="Z278" i="4"/>
  <c r="AL139" i="5"/>
  <c r="L139" i="5"/>
  <c r="N139" i="5"/>
  <c r="O139" i="5"/>
  <c r="Z139" i="5"/>
  <c r="AN139" i="5"/>
  <c r="AG140" i="5"/>
  <c r="AF140" i="5"/>
  <c r="B290" i="4"/>
  <c r="C290" i="4"/>
  <c r="C140" i="5"/>
  <c r="D290" i="4"/>
  <c r="E140" i="5"/>
  <c r="E290" i="4"/>
  <c r="F140" i="5"/>
  <c r="F290" i="4"/>
  <c r="H140" i="5"/>
  <c r="I140" i="5"/>
  <c r="H290" i="4"/>
  <c r="K140" i="5"/>
  <c r="L290" i="4"/>
  <c r="Q140" i="5"/>
  <c r="M290" i="4"/>
  <c r="R140" i="5"/>
  <c r="T140" i="5"/>
  <c r="U140" i="5"/>
  <c r="P290" i="4"/>
  <c r="W140" i="5"/>
  <c r="Q290" i="4"/>
  <c r="X140" i="5"/>
  <c r="S290" i="4"/>
  <c r="AA140" i="5"/>
  <c r="AI290" i="4"/>
  <c r="T290" i="4" a="1"/>
  <c r="T290" i="4"/>
  <c r="AC140" i="5"/>
  <c r="U290" i="4" a="1"/>
  <c r="U290" i="4"/>
  <c r="AD140" i="5"/>
  <c r="X290" i="4"/>
  <c r="AI140" i="5"/>
  <c r="Y290" i="4"/>
  <c r="AJ140" i="5"/>
  <c r="Z290" i="4"/>
  <c r="AL140" i="5"/>
  <c r="L140" i="5"/>
  <c r="N140" i="5"/>
  <c r="O140" i="5"/>
  <c r="Z140" i="5"/>
  <c r="AN140" i="5"/>
  <c r="AG141" i="5"/>
  <c r="AF141" i="5"/>
  <c r="C122" i="4"/>
  <c r="C141" i="5"/>
  <c r="E141" i="5"/>
  <c r="E122" i="4"/>
  <c r="F141" i="5"/>
  <c r="F122" i="4"/>
  <c r="H141" i="5"/>
  <c r="I141" i="5"/>
  <c r="H122" i="4"/>
  <c r="K141" i="5"/>
  <c r="L122" i="4"/>
  <c r="Q141" i="5"/>
  <c r="M122" i="4"/>
  <c r="R141" i="5"/>
  <c r="T141" i="5"/>
  <c r="O122" i="4"/>
  <c r="U141" i="5"/>
  <c r="P122" i="4"/>
  <c r="W141" i="5"/>
  <c r="Q122" i="4"/>
  <c r="X141" i="5"/>
  <c r="S122" i="4"/>
  <c r="AA141" i="5"/>
  <c r="AI122" i="4"/>
  <c r="T122" i="4" a="1"/>
  <c r="T122" i="4"/>
  <c r="AC141" i="5"/>
  <c r="U122" i="4" a="1"/>
  <c r="U122" i="4"/>
  <c r="AD141" i="5"/>
  <c r="X122" i="4"/>
  <c r="AI141" i="5"/>
  <c r="Y122" i="4"/>
  <c r="AJ141" i="5"/>
  <c r="Z122" i="4"/>
  <c r="AL141" i="5"/>
  <c r="L141" i="5"/>
  <c r="N141" i="5"/>
  <c r="O141" i="5"/>
  <c r="Z141" i="5"/>
  <c r="AN141" i="5"/>
  <c r="O142" i="5"/>
  <c r="K142" i="5"/>
  <c r="AG142" i="5"/>
  <c r="AF142" i="5"/>
  <c r="C13" i="4"/>
  <c r="C142" i="5"/>
  <c r="E142" i="5"/>
  <c r="I13" i="4"/>
  <c r="L142" i="5"/>
  <c r="J13" i="4"/>
  <c r="N142" i="5"/>
  <c r="L13" i="4"/>
  <c r="Q142" i="5"/>
  <c r="M13" i="4"/>
  <c r="R142" i="5"/>
  <c r="T142" i="5"/>
  <c r="U142" i="5"/>
  <c r="P13" i="4"/>
  <c r="W142" i="5"/>
  <c r="Q13" i="4"/>
  <c r="X142" i="5"/>
  <c r="AA142" i="5"/>
  <c r="AI13" i="4"/>
  <c r="T13" i="4" a="1"/>
  <c r="T13" i="4"/>
  <c r="AC142" i="5"/>
  <c r="U13" i="4" a="1"/>
  <c r="U13" i="4"/>
  <c r="AD142" i="5"/>
  <c r="X13" i="4"/>
  <c r="AI142" i="5"/>
  <c r="Y13" i="4"/>
  <c r="AJ142" i="5"/>
  <c r="Z13" i="4"/>
  <c r="AL142" i="5"/>
  <c r="F142" i="5"/>
  <c r="H142" i="5"/>
  <c r="I142" i="5"/>
  <c r="Z142" i="5"/>
  <c r="AN142" i="5"/>
  <c r="AG143" i="5"/>
  <c r="AF143" i="5"/>
  <c r="C292" i="4"/>
  <c r="C143" i="5"/>
  <c r="D292" i="4"/>
  <c r="E143" i="5"/>
  <c r="H292" i="4"/>
  <c r="K143" i="5"/>
  <c r="L292" i="4"/>
  <c r="Q143" i="5"/>
  <c r="M292" i="4"/>
  <c r="R143" i="5"/>
  <c r="T143" i="5"/>
  <c r="U143" i="5"/>
  <c r="P292" i="4"/>
  <c r="W143" i="5"/>
  <c r="Q292" i="4"/>
  <c r="X143" i="5"/>
  <c r="S292" i="4"/>
  <c r="AA143" i="5"/>
  <c r="AI292" i="4"/>
  <c r="T292" i="4" a="1"/>
  <c r="T292" i="4"/>
  <c r="AC143" i="5"/>
  <c r="U292" i="4" a="1"/>
  <c r="U292" i="4"/>
  <c r="AD143" i="5"/>
  <c r="X292" i="4"/>
  <c r="AI143" i="5"/>
  <c r="Y292" i="4"/>
  <c r="AJ143" i="5"/>
  <c r="Z292" i="4"/>
  <c r="AL143" i="5"/>
  <c r="F143" i="5"/>
  <c r="H143" i="5"/>
  <c r="I143" i="5"/>
  <c r="L143" i="5"/>
  <c r="N143" i="5"/>
  <c r="O143" i="5"/>
  <c r="Z143" i="5"/>
  <c r="AN143" i="5"/>
  <c r="O144" i="5"/>
  <c r="H294" i="4"/>
  <c r="K144" i="5"/>
  <c r="AG144" i="5"/>
  <c r="AF144" i="5"/>
  <c r="C294" i="4"/>
  <c r="C144" i="5"/>
  <c r="D294" i="4"/>
  <c r="E144" i="5"/>
  <c r="E294" i="4"/>
  <c r="F144" i="5"/>
  <c r="F294" i="4"/>
  <c r="H144" i="5"/>
  <c r="I144" i="5"/>
  <c r="I294" i="4"/>
  <c r="L144" i="5"/>
  <c r="J294" i="4"/>
  <c r="N144" i="5"/>
  <c r="L294" i="4"/>
  <c r="Q144" i="5"/>
  <c r="M294" i="4"/>
  <c r="R144" i="5"/>
  <c r="T144" i="5"/>
  <c r="O294" i="4"/>
  <c r="U144" i="5"/>
  <c r="P294" i="4"/>
  <c r="W144" i="5"/>
  <c r="Q294" i="4"/>
  <c r="X144" i="5"/>
  <c r="AA144" i="5"/>
  <c r="AI294" i="4"/>
  <c r="T294" i="4" a="1"/>
  <c r="T294" i="4"/>
  <c r="AC144" i="5"/>
  <c r="U294" i="4" a="1"/>
  <c r="U294" i="4"/>
  <c r="AD144" i="5"/>
  <c r="X294" i="4"/>
  <c r="AI144" i="5"/>
  <c r="Y294" i="4"/>
  <c r="AJ144" i="5"/>
  <c r="Z294" i="4"/>
  <c r="AL144" i="5"/>
  <c r="Z144" i="5"/>
  <c r="AN144" i="5"/>
  <c r="AG145" i="5"/>
  <c r="AF145" i="5"/>
  <c r="B123" i="4"/>
  <c r="C123" i="4"/>
  <c r="C145" i="5"/>
  <c r="D123" i="4"/>
  <c r="E145" i="5"/>
  <c r="E123" i="4"/>
  <c r="F145" i="5"/>
  <c r="F123" i="4"/>
  <c r="H145" i="5"/>
  <c r="I145" i="5"/>
  <c r="H123" i="4"/>
  <c r="K145" i="5"/>
  <c r="L123" i="4"/>
  <c r="Q145" i="5"/>
  <c r="M123" i="4"/>
  <c r="R145" i="5"/>
  <c r="T145" i="5"/>
  <c r="O123" i="4"/>
  <c r="U145" i="5"/>
  <c r="P123" i="4"/>
  <c r="W145" i="5"/>
  <c r="Q123" i="4"/>
  <c r="X145" i="5"/>
  <c r="S123" i="4"/>
  <c r="AA145" i="5"/>
  <c r="AI123" i="4"/>
  <c r="T123" i="4" a="1"/>
  <c r="T123" i="4"/>
  <c r="AC145" i="5"/>
  <c r="U123" i="4" a="1"/>
  <c r="U123" i="4"/>
  <c r="AD145" i="5"/>
  <c r="X123" i="4"/>
  <c r="AI145" i="5"/>
  <c r="Y123" i="4"/>
  <c r="AJ145" i="5"/>
  <c r="Z123" i="4"/>
  <c r="AL145" i="5"/>
  <c r="L145" i="5"/>
  <c r="N145" i="5"/>
  <c r="O145" i="5"/>
  <c r="Z145" i="5"/>
  <c r="AN145" i="5"/>
  <c r="AG146" i="5"/>
  <c r="AF146" i="5"/>
  <c r="B242" i="4"/>
  <c r="C242" i="4"/>
  <c r="C146" i="5"/>
  <c r="D242" i="4"/>
  <c r="E146" i="5"/>
  <c r="E242" i="4"/>
  <c r="F146" i="5"/>
  <c r="F242" i="4"/>
  <c r="H146" i="5"/>
  <c r="I146" i="5"/>
  <c r="H242" i="4"/>
  <c r="K146" i="5"/>
  <c r="L242" i="4"/>
  <c r="Q146" i="5"/>
  <c r="M242" i="4"/>
  <c r="R146" i="5"/>
  <c r="T146" i="5"/>
  <c r="O242" i="4"/>
  <c r="U146" i="5"/>
  <c r="P242" i="4"/>
  <c r="W146" i="5"/>
  <c r="Q242" i="4"/>
  <c r="X146" i="5"/>
  <c r="S242" i="4"/>
  <c r="AA146" i="5"/>
  <c r="AI242" i="4"/>
  <c r="T242" i="4" a="1"/>
  <c r="T242" i="4"/>
  <c r="AC146" i="5"/>
  <c r="U242" i="4" a="1"/>
  <c r="U242" i="4"/>
  <c r="AD146" i="5"/>
  <c r="X242" i="4"/>
  <c r="AI146" i="5"/>
  <c r="Y242" i="4"/>
  <c r="AJ146" i="5"/>
  <c r="Z242" i="4"/>
  <c r="AL146" i="5"/>
  <c r="L146" i="5"/>
  <c r="N146" i="5"/>
  <c r="O146" i="5"/>
  <c r="Z146" i="5"/>
  <c r="AN146" i="5"/>
  <c r="AG147" i="5"/>
  <c r="AF147" i="5"/>
  <c r="C81" i="4"/>
  <c r="C147" i="5"/>
  <c r="T147" i="5"/>
  <c r="U147" i="5"/>
  <c r="P81" i="4"/>
  <c r="W147" i="5"/>
  <c r="Q81" i="4"/>
  <c r="X147" i="5"/>
  <c r="AA147" i="5"/>
  <c r="AI81" i="4"/>
  <c r="T81" i="4" a="1"/>
  <c r="T81" i="4"/>
  <c r="AC147" i="5"/>
  <c r="U81" i="4" a="1"/>
  <c r="U81" i="4"/>
  <c r="AD147" i="5"/>
  <c r="X81" i="4"/>
  <c r="AI147" i="5"/>
  <c r="Y81" i="4"/>
  <c r="AJ147" i="5"/>
  <c r="Z81" i="4"/>
  <c r="AL147" i="5"/>
  <c r="F147" i="5"/>
  <c r="H147" i="5"/>
  <c r="I147" i="5"/>
  <c r="Z147" i="5"/>
  <c r="AN147" i="5"/>
  <c r="O148" i="5"/>
  <c r="K148" i="5"/>
  <c r="AG148" i="5"/>
  <c r="AF148" i="5"/>
  <c r="B65" i="4"/>
  <c r="C65" i="4"/>
  <c r="C148" i="5"/>
  <c r="D65" i="4"/>
  <c r="E148" i="5"/>
  <c r="E65" i="4"/>
  <c r="F148" i="5"/>
  <c r="F65" i="4"/>
  <c r="H148" i="5"/>
  <c r="I148" i="5"/>
  <c r="I65" i="4"/>
  <c r="L148" i="5"/>
  <c r="J65" i="4"/>
  <c r="N148" i="5"/>
  <c r="L65" i="4"/>
  <c r="Q148" i="5"/>
  <c r="M65" i="4"/>
  <c r="R148" i="5"/>
  <c r="T148" i="5"/>
  <c r="U148" i="5"/>
  <c r="P65" i="4"/>
  <c r="W148" i="5"/>
  <c r="Q65" i="4"/>
  <c r="X148" i="5"/>
  <c r="S65" i="4"/>
  <c r="AA148" i="5"/>
  <c r="AI65" i="4"/>
  <c r="T65" i="4" a="1"/>
  <c r="T65" i="4"/>
  <c r="AC148" i="5"/>
  <c r="U65" i="4" a="1"/>
  <c r="U65" i="4"/>
  <c r="AD148" i="5"/>
  <c r="X65" i="4"/>
  <c r="AI148" i="5"/>
  <c r="Y65" i="4"/>
  <c r="AJ148" i="5"/>
  <c r="Z65" i="4"/>
  <c r="AL148" i="5"/>
  <c r="Z148" i="5"/>
  <c r="AN148" i="5"/>
  <c r="B34" i="4"/>
  <c r="S34" i="4"/>
  <c r="AA149" i="5"/>
  <c r="P34" i="4"/>
  <c r="W149" i="5"/>
  <c r="AG149" i="5"/>
  <c r="AF149" i="5"/>
  <c r="C34" i="4"/>
  <c r="C149" i="5"/>
  <c r="D34" i="4"/>
  <c r="E149" i="5"/>
  <c r="K149" i="5"/>
  <c r="L34" i="4"/>
  <c r="Q149" i="5"/>
  <c r="U149" i="5"/>
  <c r="Q34" i="4"/>
  <c r="X149" i="5"/>
  <c r="R34" i="4"/>
  <c r="Z149" i="5"/>
  <c r="AI34" i="4"/>
  <c r="T34" i="4" a="1"/>
  <c r="T34" i="4"/>
  <c r="AC149" i="5"/>
  <c r="U34" i="4" a="1"/>
  <c r="U34" i="4"/>
  <c r="AD149" i="5"/>
  <c r="X34" i="4"/>
  <c r="AI149" i="5"/>
  <c r="Y34" i="4"/>
  <c r="AJ149" i="5"/>
  <c r="Z34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186" i="4"/>
  <c r="C186" i="4"/>
  <c r="C150" i="5"/>
  <c r="D186" i="4"/>
  <c r="E150" i="5"/>
  <c r="E186" i="4"/>
  <c r="F150" i="5"/>
  <c r="F186" i="4"/>
  <c r="H150" i="5"/>
  <c r="I150" i="5"/>
  <c r="H186" i="4"/>
  <c r="K150" i="5"/>
  <c r="L186" i="4"/>
  <c r="Q150" i="5"/>
  <c r="M186" i="4"/>
  <c r="R150" i="5"/>
  <c r="T150" i="5"/>
  <c r="O186" i="4"/>
  <c r="U150" i="5"/>
  <c r="P186" i="4"/>
  <c r="W150" i="5"/>
  <c r="Q186" i="4"/>
  <c r="X150" i="5"/>
  <c r="AA150" i="5"/>
  <c r="AI186" i="4"/>
  <c r="T186" i="4" a="1"/>
  <c r="T186" i="4"/>
  <c r="AC150" i="5"/>
  <c r="U186" i="4" a="1"/>
  <c r="U186" i="4"/>
  <c r="AD150" i="5"/>
  <c r="X186" i="4"/>
  <c r="AI150" i="5"/>
  <c r="Y186" i="4"/>
  <c r="AJ150" i="5"/>
  <c r="Z186" i="4"/>
  <c r="AL150" i="5"/>
  <c r="L150" i="5"/>
  <c r="N150" i="5"/>
  <c r="O150" i="5"/>
  <c r="Z150" i="5"/>
  <c r="AN150" i="5"/>
  <c r="O151" i="5"/>
  <c r="B187" i="4"/>
  <c r="H187" i="4"/>
  <c r="K151" i="5"/>
  <c r="AG151" i="5"/>
  <c r="AF151" i="5"/>
  <c r="C187" i="4"/>
  <c r="C151" i="5"/>
  <c r="D187" i="4"/>
  <c r="E151" i="5"/>
  <c r="I187" i="4"/>
  <c r="L151" i="5"/>
  <c r="J187" i="4"/>
  <c r="N151" i="5"/>
  <c r="L187" i="4"/>
  <c r="Q151" i="5"/>
  <c r="M187" i="4"/>
  <c r="R151" i="5"/>
  <c r="T151" i="5"/>
  <c r="U151" i="5"/>
  <c r="P187" i="4"/>
  <c r="W151" i="5"/>
  <c r="Q187" i="4"/>
  <c r="X151" i="5"/>
  <c r="S187" i="4"/>
  <c r="AA151" i="5"/>
  <c r="AI187" i="4"/>
  <c r="T187" i="4" a="1"/>
  <c r="T187" i="4"/>
  <c r="AC151" i="5"/>
  <c r="U187" i="4" a="1"/>
  <c r="U187" i="4"/>
  <c r="AD151" i="5"/>
  <c r="X187" i="4"/>
  <c r="AI151" i="5"/>
  <c r="Y187" i="4"/>
  <c r="AJ151" i="5"/>
  <c r="Z187" i="4"/>
  <c r="AL151" i="5"/>
  <c r="F151" i="5"/>
  <c r="H151" i="5"/>
  <c r="I151" i="5"/>
  <c r="Z151" i="5"/>
  <c r="AN151" i="5"/>
  <c r="B188" i="4"/>
  <c r="S188" i="4"/>
  <c r="AA152" i="5"/>
  <c r="P188" i="4"/>
  <c r="W152" i="5"/>
  <c r="AG152" i="5"/>
  <c r="AF152" i="5"/>
  <c r="C188" i="4"/>
  <c r="C152" i="5"/>
  <c r="D188" i="4"/>
  <c r="E152" i="5"/>
  <c r="E188" i="4"/>
  <c r="F152" i="5"/>
  <c r="F188" i="4"/>
  <c r="H152" i="5"/>
  <c r="I152" i="5"/>
  <c r="K152" i="5"/>
  <c r="L188" i="4"/>
  <c r="Q152" i="5"/>
  <c r="M188" i="4"/>
  <c r="R152" i="5"/>
  <c r="T152" i="5"/>
  <c r="O188" i="4"/>
  <c r="U152" i="5"/>
  <c r="Q188" i="4"/>
  <c r="X152" i="5"/>
  <c r="R188" i="4"/>
  <c r="Z152" i="5"/>
  <c r="AI188" i="4"/>
  <c r="T188" i="4" a="1"/>
  <c r="T188" i="4"/>
  <c r="AC152" i="5"/>
  <c r="U188" i="4" a="1"/>
  <c r="U188" i="4"/>
  <c r="AD152" i="5"/>
  <c r="X188" i="4"/>
  <c r="AI152" i="5"/>
  <c r="Y188" i="4"/>
  <c r="AJ152" i="5"/>
  <c r="Z188" i="4"/>
  <c r="AL152" i="5"/>
  <c r="L152" i="5"/>
  <c r="N152" i="5"/>
  <c r="O152" i="5"/>
  <c r="AN152" i="5"/>
  <c r="O153" i="5"/>
  <c r="B300" i="4"/>
  <c r="H300" i="4"/>
  <c r="K153" i="5"/>
  <c r="AG153" i="5"/>
  <c r="AF153" i="5"/>
  <c r="C300" i="4"/>
  <c r="C153" i="5"/>
  <c r="D300" i="4"/>
  <c r="E153" i="5"/>
  <c r="I300" i="4"/>
  <c r="L153" i="5"/>
  <c r="J300" i="4"/>
  <c r="N153" i="5"/>
  <c r="L300" i="4"/>
  <c r="Q153" i="5"/>
  <c r="M300" i="4"/>
  <c r="R153" i="5"/>
  <c r="T153" i="5"/>
  <c r="U153" i="5"/>
  <c r="P300" i="4"/>
  <c r="W153" i="5"/>
  <c r="Q300" i="4"/>
  <c r="X153" i="5"/>
  <c r="S300" i="4"/>
  <c r="AA153" i="5"/>
  <c r="AI300" i="4"/>
  <c r="T300" i="4" a="1"/>
  <c r="T300" i="4"/>
  <c r="AC153" i="5"/>
  <c r="U300" i="4" a="1"/>
  <c r="U300" i="4"/>
  <c r="AD153" i="5"/>
  <c r="X300" i="4"/>
  <c r="AI153" i="5"/>
  <c r="Y300" i="4"/>
  <c r="AJ153" i="5"/>
  <c r="Z300" i="4"/>
  <c r="AL153" i="5"/>
  <c r="F153" i="5"/>
  <c r="H153" i="5"/>
  <c r="I153" i="5"/>
  <c r="Z153" i="5"/>
  <c r="AN153" i="5"/>
  <c r="AG154" i="5"/>
  <c r="AF154" i="5"/>
  <c r="B299" i="4"/>
  <c r="C299" i="4"/>
  <c r="C154" i="5"/>
  <c r="D299" i="4"/>
  <c r="E154" i="5"/>
  <c r="H299" i="4"/>
  <c r="K154" i="5"/>
  <c r="L299" i="4"/>
  <c r="Q154" i="5"/>
  <c r="M299" i="4"/>
  <c r="R154" i="5"/>
  <c r="T154" i="5"/>
  <c r="O299" i="4"/>
  <c r="U154" i="5"/>
  <c r="P299" i="4"/>
  <c r="W154" i="5"/>
  <c r="Q299" i="4"/>
  <c r="X154" i="5"/>
  <c r="AA154" i="5"/>
  <c r="AI299" i="4"/>
  <c r="T299" i="4" a="1"/>
  <c r="T299" i="4"/>
  <c r="AC154" i="5"/>
  <c r="U299" i="4" a="1"/>
  <c r="U299" i="4"/>
  <c r="AD154" i="5"/>
  <c r="X299" i="4"/>
  <c r="AI154" i="5"/>
  <c r="Y299" i="4"/>
  <c r="AJ154" i="5"/>
  <c r="Z299" i="4"/>
  <c r="AL154" i="5"/>
  <c r="F154" i="5"/>
  <c r="H154" i="5"/>
  <c r="I154" i="5"/>
  <c r="L154" i="5"/>
  <c r="N154" i="5"/>
  <c r="O154" i="5"/>
  <c r="Z154" i="5"/>
  <c r="AN154" i="5"/>
  <c r="AG155" i="5"/>
  <c r="AF155" i="5"/>
  <c r="B144" i="4"/>
  <c r="C144" i="4"/>
  <c r="C155" i="5"/>
  <c r="D144" i="4"/>
  <c r="E155" i="5"/>
  <c r="E144" i="4"/>
  <c r="F155" i="5"/>
  <c r="F144" i="4"/>
  <c r="H155" i="5"/>
  <c r="I155" i="5"/>
  <c r="H144" i="4"/>
  <c r="K155" i="5"/>
  <c r="L144" i="4"/>
  <c r="Q155" i="5"/>
  <c r="M144" i="4"/>
  <c r="R155" i="5"/>
  <c r="T155" i="5"/>
  <c r="O144" i="4"/>
  <c r="U155" i="5"/>
  <c r="P144" i="4"/>
  <c r="W155" i="5"/>
  <c r="Q144" i="4"/>
  <c r="X155" i="5"/>
  <c r="S144" i="4"/>
  <c r="AA155" i="5"/>
  <c r="AI144" i="4"/>
  <c r="T144" i="4" a="1"/>
  <c r="T144" i="4"/>
  <c r="AC155" i="5"/>
  <c r="U144" i="4" a="1"/>
  <c r="U144" i="4"/>
  <c r="AD155" i="5"/>
  <c r="X144" i="4"/>
  <c r="AI155" i="5"/>
  <c r="Y144" i="4"/>
  <c r="AJ155" i="5"/>
  <c r="Z144" i="4"/>
  <c r="AL155" i="5"/>
  <c r="L155" i="5"/>
  <c r="N155" i="5"/>
  <c r="O155" i="5"/>
  <c r="Z155" i="5"/>
  <c r="AN155" i="5"/>
  <c r="AA156" i="5"/>
  <c r="B296" i="4"/>
  <c r="P296" i="4"/>
  <c r="W156" i="5"/>
  <c r="O156" i="5"/>
  <c r="H296" i="4"/>
  <c r="K156" i="5"/>
  <c r="AG156" i="5"/>
  <c r="AF156" i="5"/>
  <c r="C296" i="4"/>
  <c r="C156" i="5"/>
  <c r="D296" i="4"/>
  <c r="E156" i="5"/>
  <c r="I296" i="4"/>
  <c r="L156" i="5"/>
  <c r="J296" i="4"/>
  <c r="N156" i="5"/>
  <c r="L296" i="4"/>
  <c r="Q156" i="5"/>
  <c r="M296" i="4"/>
  <c r="R156" i="5"/>
  <c r="T156" i="5"/>
  <c r="O296" i="4"/>
  <c r="U156" i="5"/>
  <c r="Q296" i="4"/>
  <c r="X156" i="5"/>
  <c r="R296" i="4"/>
  <c r="Z156" i="5"/>
  <c r="AI296" i="4"/>
  <c r="T296" i="4" a="1"/>
  <c r="T296" i="4"/>
  <c r="AC156" i="5"/>
  <c r="U296" i="4" a="1"/>
  <c r="U296" i="4"/>
  <c r="AD156" i="5"/>
  <c r="X296" i="4"/>
  <c r="AI156" i="5"/>
  <c r="Y296" i="4"/>
  <c r="AJ156" i="5"/>
  <c r="Z296" i="4"/>
  <c r="AL156" i="5"/>
  <c r="F156" i="5"/>
  <c r="H156" i="5"/>
  <c r="I156" i="5"/>
  <c r="AN156" i="5"/>
  <c r="AG157" i="5"/>
  <c r="AF157" i="5"/>
  <c r="B252" i="4"/>
  <c r="C252" i="4"/>
  <c r="C157" i="5"/>
  <c r="D252" i="4"/>
  <c r="E157" i="5"/>
  <c r="H252" i="4"/>
  <c r="K157" i="5"/>
  <c r="L252" i="4"/>
  <c r="Q157" i="5"/>
  <c r="M252" i="4"/>
  <c r="R157" i="5"/>
  <c r="T157" i="5"/>
  <c r="U157" i="5"/>
  <c r="P252" i="4"/>
  <c r="W157" i="5"/>
  <c r="Q252" i="4"/>
  <c r="X157" i="5"/>
  <c r="S252" i="4"/>
  <c r="AA157" i="5"/>
  <c r="AI252" i="4"/>
  <c r="T252" i="4" a="1"/>
  <c r="T252" i="4"/>
  <c r="AC157" i="5"/>
  <c r="U252" i="4" a="1"/>
  <c r="U252" i="4"/>
  <c r="AD157" i="5"/>
  <c r="X252" i="4"/>
  <c r="AI157" i="5"/>
  <c r="Y252" i="4"/>
  <c r="AJ157" i="5"/>
  <c r="Z252" i="4"/>
  <c r="AL157" i="5"/>
  <c r="F157" i="5"/>
  <c r="H157" i="5"/>
  <c r="I157" i="5"/>
  <c r="L157" i="5"/>
  <c r="N157" i="5"/>
  <c r="O157" i="5"/>
  <c r="Z157" i="5"/>
  <c r="AN157" i="5"/>
  <c r="AG158" i="5"/>
  <c r="AF158" i="5"/>
  <c r="B82" i="4"/>
  <c r="C82" i="4"/>
  <c r="C158" i="5"/>
  <c r="D82" i="4"/>
  <c r="E158" i="5"/>
  <c r="E82" i="4"/>
  <c r="F158" i="5"/>
  <c r="F82" i="4"/>
  <c r="H158" i="5"/>
  <c r="I158" i="5"/>
  <c r="H82" i="4"/>
  <c r="K158" i="5"/>
  <c r="L82" i="4"/>
  <c r="Q158" i="5"/>
  <c r="M82" i="4"/>
  <c r="R158" i="5"/>
  <c r="T158" i="5"/>
  <c r="O82" i="4"/>
  <c r="U158" i="5"/>
  <c r="P82" i="4"/>
  <c r="W158" i="5"/>
  <c r="Q82" i="4"/>
  <c r="X158" i="5"/>
  <c r="S82" i="4"/>
  <c r="AA158" i="5"/>
  <c r="AI82" i="4"/>
  <c r="T82" i="4" a="1"/>
  <c r="T82" i="4"/>
  <c r="AC158" i="5"/>
  <c r="U82" i="4" a="1"/>
  <c r="U82" i="4"/>
  <c r="AD158" i="5"/>
  <c r="X82" i="4"/>
  <c r="AI158" i="5"/>
  <c r="Y82" i="4"/>
  <c r="AJ158" i="5"/>
  <c r="Z82" i="4"/>
  <c r="AL158" i="5"/>
  <c r="L158" i="5"/>
  <c r="N158" i="5"/>
  <c r="O158" i="5"/>
  <c r="Z158" i="5"/>
  <c r="AN158" i="5"/>
  <c r="AG159" i="5"/>
  <c r="AF159" i="5"/>
  <c r="B83" i="4"/>
  <c r="C83" i="4"/>
  <c r="C159" i="5"/>
  <c r="D83" i="4"/>
  <c r="E159" i="5"/>
  <c r="E83" i="4"/>
  <c r="F159" i="5"/>
  <c r="F83" i="4"/>
  <c r="H159" i="5"/>
  <c r="I159" i="5"/>
  <c r="H83" i="4"/>
  <c r="K159" i="5"/>
  <c r="L83" i="4"/>
  <c r="Q159" i="5"/>
  <c r="M83" i="4"/>
  <c r="R159" i="5"/>
  <c r="T159" i="5"/>
  <c r="O83" i="4"/>
  <c r="U159" i="5"/>
  <c r="P83" i="4"/>
  <c r="W159" i="5"/>
  <c r="Q83" i="4"/>
  <c r="X159" i="5"/>
  <c r="S83" i="4"/>
  <c r="AA159" i="5"/>
  <c r="AI83" i="4"/>
  <c r="T83" i="4" a="1"/>
  <c r="T83" i="4"/>
  <c r="AC159" i="5"/>
  <c r="U83" i="4" a="1"/>
  <c r="U83" i="4"/>
  <c r="AD159" i="5"/>
  <c r="X83" i="4"/>
  <c r="AI159" i="5"/>
  <c r="Y83" i="4"/>
  <c r="AJ159" i="5"/>
  <c r="Z83" i="4"/>
  <c r="AL159" i="5"/>
  <c r="L159" i="5"/>
  <c r="N159" i="5"/>
  <c r="O159" i="5"/>
  <c r="Z159" i="5"/>
  <c r="AN159" i="5"/>
  <c r="AG160" i="5"/>
  <c r="AF160" i="5"/>
  <c r="B84" i="4"/>
  <c r="C84" i="4"/>
  <c r="C160" i="5"/>
  <c r="D84" i="4"/>
  <c r="E160" i="5"/>
  <c r="E84" i="4"/>
  <c r="F160" i="5"/>
  <c r="F84" i="4"/>
  <c r="H160" i="5"/>
  <c r="I160" i="5"/>
  <c r="H84" i="4"/>
  <c r="K160" i="5"/>
  <c r="L84" i="4"/>
  <c r="Q160" i="5"/>
  <c r="M84" i="4"/>
  <c r="R160" i="5"/>
  <c r="T160" i="5"/>
  <c r="O84" i="4"/>
  <c r="U160" i="5"/>
  <c r="P84" i="4"/>
  <c r="W160" i="5"/>
  <c r="Q84" i="4"/>
  <c r="X160" i="5"/>
  <c r="S84" i="4"/>
  <c r="AA160" i="5"/>
  <c r="AI84" i="4"/>
  <c r="T84" i="4" a="1"/>
  <c r="T84" i="4"/>
  <c r="AC160" i="5"/>
  <c r="U84" i="4" a="1"/>
  <c r="U84" i="4"/>
  <c r="AD160" i="5"/>
  <c r="X84" i="4"/>
  <c r="AI160" i="5"/>
  <c r="Y84" i="4"/>
  <c r="AJ160" i="5"/>
  <c r="Z84" i="4"/>
  <c r="AL160" i="5"/>
  <c r="L160" i="5"/>
  <c r="N160" i="5"/>
  <c r="O160" i="5"/>
  <c r="Z160" i="5"/>
  <c r="AN160" i="5"/>
  <c r="AG161" i="5"/>
  <c r="AF161" i="5"/>
  <c r="B115" i="4"/>
  <c r="C115" i="4"/>
  <c r="C161" i="5"/>
  <c r="D115" i="4"/>
  <c r="E161" i="5"/>
  <c r="H115" i="4"/>
  <c r="K161" i="5"/>
  <c r="L115" i="4"/>
  <c r="Q161" i="5"/>
  <c r="M115" i="4"/>
  <c r="R161" i="5"/>
  <c r="N115" i="4"/>
  <c r="T161" i="5"/>
  <c r="O115" i="4"/>
  <c r="U161" i="5"/>
  <c r="P115" i="4"/>
  <c r="W161" i="5"/>
  <c r="Q115" i="4"/>
  <c r="X161" i="5"/>
  <c r="AA161" i="5"/>
  <c r="AI115" i="4"/>
  <c r="T115" i="4" a="1"/>
  <c r="T115" i="4"/>
  <c r="AC161" i="5"/>
  <c r="U115" i="4" a="1"/>
  <c r="U115" i="4"/>
  <c r="AD161" i="5"/>
  <c r="X115" i="4"/>
  <c r="AI161" i="5"/>
  <c r="Y115" i="4"/>
  <c r="AJ161" i="5"/>
  <c r="Z115" i="4"/>
  <c r="AL161" i="5"/>
  <c r="F161" i="5"/>
  <c r="H161" i="5"/>
  <c r="I161" i="5"/>
  <c r="L161" i="5"/>
  <c r="N161" i="5"/>
  <c r="O161" i="5"/>
  <c r="Z161" i="5"/>
  <c r="AN161" i="5"/>
  <c r="AG162" i="5"/>
  <c r="AF162" i="5"/>
  <c r="B126" i="4"/>
  <c r="C126" i="4"/>
  <c r="C162" i="5"/>
  <c r="D126" i="4"/>
  <c r="E162" i="5"/>
  <c r="H126" i="4"/>
  <c r="K162" i="5"/>
  <c r="L126" i="4"/>
  <c r="Q162" i="5"/>
  <c r="M126" i="4"/>
  <c r="R162" i="5"/>
  <c r="T162" i="5"/>
  <c r="U162" i="5"/>
  <c r="P126" i="4"/>
  <c r="W162" i="5"/>
  <c r="Q126" i="4"/>
  <c r="X162" i="5"/>
  <c r="AA162" i="5"/>
  <c r="AI126" i="4"/>
  <c r="T126" i="4" a="1"/>
  <c r="T126" i="4"/>
  <c r="AC162" i="5"/>
  <c r="U126" i="4" a="1"/>
  <c r="U126" i="4"/>
  <c r="AD162" i="5"/>
  <c r="Y126" i="4"/>
  <c r="AJ162" i="5"/>
  <c r="Z126" i="4"/>
  <c r="AL162" i="5"/>
  <c r="F162" i="5"/>
  <c r="H162" i="5"/>
  <c r="I162" i="5"/>
  <c r="L162" i="5"/>
  <c r="N162" i="5"/>
  <c r="O162" i="5"/>
  <c r="Z162" i="5"/>
  <c r="AN162" i="5"/>
  <c r="AG163" i="5"/>
  <c r="AF163" i="5"/>
  <c r="B98" i="4"/>
  <c r="C98" i="4"/>
  <c r="C163" i="5"/>
  <c r="D98" i="4"/>
  <c r="E163" i="5"/>
  <c r="H98" i="4"/>
  <c r="K163" i="5"/>
  <c r="L98" i="4"/>
  <c r="Q163" i="5"/>
  <c r="M98" i="4"/>
  <c r="R163" i="5"/>
  <c r="T163" i="5"/>
  <c r="O98" i="4"/>
  <c r="U163" i="5"/>
  <c r="P98" i="4"/>
  <c r="W163" i="5"/>
  <c r="Q98" i="4"/>
  <c r="X163" i="5"/>
  <c r="S98" i="4"/>
  <c r="AA163" i="5"/>
  <c r="AI98" i="4"/>
  <c r="T98" i="4" a="1"/>
  <c r="T98" i="4"/>
  <c r="AC163" i="5"/>
  <c r="U98" i="4" a="1"/>
  <c r="U98" i="4"/>
  <c r="AD163" i="5"/>
  <c r="X98" i="4"/>
  <c r="AI163" i="5"/>
  <c r="Y98" i="4"/>
  <c r="AJ163" i="5"/>
  <c r="Z98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67" i="4"/>
  <c r="C67" i="4"/>
  <c r="C164" i="5"/>
  <c r="D67" i="4"/>
  <c r="E164" i="5"/>
  <c r="E67" i="4"/>
  <c r="F164" i="5"/>
  <c r="F67" i="4"/>
  <c r="H164" i="5"/>
  <c r="I164" i="5"/>
  <c r="I67" i="4"/>
  <c r="L164" i="5"/>
  <c r="J67" i="4"/>
  <c r="N164" i="5"/>
  <c r="L67" i="4"/>
  <c r="Q164" i="5"/>
  <c r="M67" i="4"/>
  <c r="R164" i="5"/>
  <c r="T164" i="5"/>
  <c r="O67" i="4"/>
  <c r="U164" i="5"/>
  <c r="P67" i="4"/>
  <c r="W164" i="5"/>
  <c r="Q67" i="4"/>
  <c r="X164" i="5"/>
  <c r="S67" i="4"/>
  <c r="AA164" i="5"/>
  <c r="AI67" i="4"/>
  <c r="T67" i="4" a="1"/>
  <c r="T67" i="4"/>
  <c r="AC164" i="5"/>
  <c r="U67" i="4" a="1"/>
  <c r="U67" i="4"/>
  <c r="AD164" i="5"/>
  <c r="X67" i="4"/>
  <c r="AI164" i="5"/>
  <c r="Y67" i="4"/>
  <c r="AJ164" i="5"/>
  <c r="Z67" i="4"/>
  <c r="AL164" i="5"/>
  <c r="Z164" i="5"/>
  <c r="AN164" i="5"/>
  <c r="O165" i="5"/>
  <c r="B68" i="4"/>
  <c r="H68" i="4"/>
  <c r="K165" i="5"/>
  <c r="AG165" i="5"/>
  <c r="AF165" i="5"/>
  <c r="C68" i="4"/>
  <c r="C165" i="5"/>
  <c r="D68" i="4"/>
  <c r="E165" i="5"/>
  <c r="E68" i="4"/>
  <c r="F165" i="5"/>
  <c r="F68" i="4"/>
  <c r="H165" i="5"/>
  <c r="I165" i="5"/>
  <c r="L165" i="5"/>
  <c r="J68" i="4"/>
  <c r="N165" i="5"/>
  <c r="L68" i="4"/>
  <c r="Q165" i="5"/>
  <c r="M68" i="4"/>
  <c r="R165" i="5"/>
  <c r="T165" i="5"/>
  <c r="O68" i="4"/>
  <c r="U165" i="5"/>
  <c r="P68" i="4"/>
  <c r="W165" i="5"/>
  <c r="Q68" i="4"/>
  <c r="X165" i="5"/>
  <c r="S68" i="4"/>
  <c r="AA165" i="5"/>
  <c r="AI68" i="4"/>
  <c r="T68" i="4" a="1"/>
  <c r="T68" i="4"/>
  <c r="AC165" i="5"/>
  <c r="U68" i="4" a="1"/>
  <c r="U68" i="4"/>
  <c r="AD165" i="5"/>
  <c r="X68" i="4"/>
  <c r="AI165" i="5"/>
  <c r="Y68" i="4"/>
  <c r="AJ165" i="5"/>
  <c r="Z68" i="4"/>
  <c r="AL165" i="5"/>
  <c r="Z165" i="5"/>
  <c r="AN165" i="5"/>
  <c r="O166" i="5"/>
  <c r="B99" i="4"/>
  <c r="H99" i="4"/>
  <c r="K166" i="5"/>
  <c r="AG166" i="5"/>
  <c r="AF166" i="5"/>
  <c r="C99" i="4"/>
  <c r="C166" i="5"/>
  <c r="D99" i="4"/>
  <c r="E166" i="5"/>
  <c r="E99" i="4"/>
  <c r="F166" i="5"/>
  <c r="F99" i="4"/>
  <c r="H166" i="5"/>
  <c r="I166" i="5"/>
  <c r="I99" i="4"/>
  <c r="L166" i="5"/>
  <c r="J99" i="4"/>
  <c r="N166" i="5"/>
  <c r="L99" i="4"/>
  <c r="Q166" i="5"/>
  <c r="M99" i="4"/>
  <c r="R166" i="5"/>
  <c r="T166" i="5"/>
  <c r="O99" i="4"/>
  <c r="U166" i="5"/>
  <c r="P99" i="4"/>
  <c r="W166" i="5"/>
  <c r="Q99" i="4"/>
  <c r="X166" i="5"/>
  <c r="AA166" i="5"/>
  <c r="AI99" i="4"/>
  <c r="T99" i="4" a="1"/>
  <c r="T99" i="4"/>
  <c r="AC166" i="5"/>
  <c r="U99" i="4" a="1"/>
  <c r="U99" i="4"/>
  <c r="AD166" i="5"/>
  <c r="AI166" i="5"/>
  <c r="Y99" i="4"/>
  <c r="AJ166" i="5"/>
  <c r="Z99" i="4"/>
  <c r="AL166" i="5"/>
  <c r="Z166" i="5"/>
  <c r="AN166" i="5"/>
  <c r="AG167" i="5"/>
  <c r="AF167" i="5"/>
  <c r="B189" i="4"/>
  <c r="C189" i="4"/>
  <c r="C167" i="5"/>
  <c r="D189" i="4"/>
  <c r="E167" i="5"/>
  <c r="K167" i="5"/>
  <c r="L189" i="4"/>
  <c r="Q167" i="5"/>
  <c r="M189" i="4"/>
  <c r="R167" i="5"/>
  <c r="T167" i="5"/>
  <c r="U167" i="5"/>
  <c r="P189" i="4"/>
  <c r="W167" i="5"/>
  <c r="Q189" i="4"/>
  <c r="X167" i="5"/>
  <c r="S189" i="4"/>
  <c r="AA167" i="5"/>
  <c r="AI189" i="4"/>
  <c r="T189" i="4" a="1"/>
  <c r="T189" i="4"/>
  <c r="AC167" i="5"/>
  <c r="U189" i="4" a="1"/>
  <c r="U189" i="4"/>
  <c r="AD167" i="5"/>
  <c r="X189" i="4"/>
  <c r="AI167" i="5"/>
  <c r="Y189" i="4"/>
  <c r="AJ167" i="5"/>
  <c r="Z189" i="4"/>
  <c r="AL167" i="5"/>
  <c r="F167" i="5"/>
  <c r="H167" i="5"/>
  <c r="I167" i="5"/>
  <c r="L167" i="5"/>
  <c r="N167" i="5"/>
  <c r="O167" i="5"/>
  <c r="Z167" i="5"/>
  <c r="AN167" i="5"/>
  <c r="AG168" i="5"/>
  <c r="AF168" i="5"/>
  <c r="B253" i="4"/>
  <c r="C253" i="4"/>
  <c r="C168" i="5"/>
  <c r="D253" i="4"/>
  <c r="E168" i="5"/>
  <c r="K168" i="5"/>
  <c r="L253" i="4"/>
  <c r="Q168" i="5"/>
  <c r="M253" i="4"/>
  <c r="R168" i="5"/>
  <c r="T168" i="5"/>
  <c r="U168" i="5"/>
  <c r="P253" i="4"/>
  <c r="W168" i="5"/>
  <c r="Q253" i="4"/>
  <c r="X168" i="5"/>
  <c r="S253" i="4"/>
  <c r="AA168" i="5"/>
  <c r="AI253" i="4"/>
  <c r="T253" i="4" a="1"/>
  <c r="T253" i="4"/>
  <c r="AC168" i="5"/>
  <c r="U253" i="4" a="1"/>
  <c r="U253" i="4"/>
  <c r="AD168" i="5"/>
  <c r="X253" i="4"/>
  <c r="AI168" i="5"/>
  <c r="Y253" i="4"/>
  <c r="AJ168" i="5"/>
  <c r="Z253" i="4"/>
  <c r="AL168" i="5"/>
  <c r="F168" i="5"/>
  <c r="H168" i="5"/>
  <c r="I168" i="5"/>
  <c r="L168" i="5"/>
  <c r="N168" i="5"/>
  <c r="O168" i="5"/>
  <c r="Z168" i="5"/>
  <c r="AN168" i="5"/>
  <c r="AG169" i="5"/>
  <c r="AF169" i="5"/>
  <c r="B224" i="4"/>
  <c r="C224" i="4"/>
  <c r="C169" i="5"/>
  <c r="E169" i="5"/>
  <c r="K169" i="5"/>
  <c r="L224" i="4"/>
  <c r="Q169" i="5"/>
  <c r="M224" i="4"/>
  <c r="R169" i="5"/>
  <c r="T169" i="5"/>
  <c r="O224" i="4"/>
  <c r="U169" i="5"/>
  <c r="P224" i="4"/>
  <c r="W169" i="5"/>
  <c r="Q224" i="4"/>
  <c r="X169" i="5"/>
  <c r="S224" i="4"/>
  <c r="AA169" i="5"/>
  <c r="AI224" i="4"/>
  <c r="T224" i="4" a="1"/>
  <c r="T224" i="4"/>
  <c r="AC169" i="5"/>
  <c r="U224" i="4" a="1"/>
  <c r="U224" i="4"/>
  <c r="AD169" i="5"/>
  <c r="X224" i="4"/>
  <c r="AI169" i="5"/>
  <c r="Y224" i="4"/>
  <c r="AJ169" i="5"/>
  <c r="Z224" i="4"/>
  <c r="AL169" i="5"/>
  <c r="F169" i="5"/>
  <c r="H169" i="5"/>
  <c r="I169" i="5"/>
  <c r="L169" i="5"/>
  <c r="N169" i="5"/>
  <c r="O169" i="5"/>
  <c r="Z169" i="5"/>
  <c r="AN169" i="5"/>
  <c r="AG170" i="5"/>
  <c r="AF170" i="5"/>
  <c r="B69" i="4"/>
  <c r="C69" i="4"/>
  <c r="C170" i="5"/>
  <c r="D69" i="4"/>
  <c r="E170" i="5"/>
  <c r="H69" i="4"/>
  <c r="K170" i="5"/>
  <c r="L69" i="4"/>
  <c r="Q170" i="5"/>
  <c r="M69" i="4"/>
  <c r="R170" i="5"/>
  <c r="T170" i="5"/>
  <c r="O69" i="4"/>
  <c r="U170" i="5"/>
  <c r="P69" i="4"/>
  <c r="W170" i="5"/>
  <c r="Q69" i="4"/>
  <c r="X170" i="5"/>
  <c r="S69" i="4"/>
  <c r="AA170" i="5"/>
  <c r="AI69" i="4"/>
  <c r="T69" i="4" a="1"/>
  <c r="T69" i="4"/>
  <c r="AC170" i="5"/>
  <c r="U69" i="4" a="1"/>
  <c r="U69" i="4"/>
  <c r="AD170" i="5"/>
  <c r="X69" i="4"/>
  <c r="AI170" i="5"/>
  <c r="Y69" i="4"/>
  <c r="AJ170" i="5"/>
  <c r="Z69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70" i="4"/>
  <c r="C70" i="4"/>
  <c r="C172" i="5"/>
  <c r="D70" i="4"/>
  <c r="E172" i="5"/>
  <c r="K172" i="5"/>
  <c r="L70" i="4"/>
  <c r="Q172" i="5"/>
  <c r="M70" i="4"/>
  <c r="R172" i="5"/>
  <c r="T172" i="5"/>
  <c r="U172" i="5"/>
  <c r="P70" i="4"/>
  <c r="W172" i="5"/>
  <c r="Q70" i="4"/>
  <c r="X172" i="5"/>
  <c r="AA172" i="5"/>
  <c r="AI70" i="4"/>
  <c r="T70" i="4" a="1"/>
  <c r="T70" i="4"/>
  <c r="AC172" i="5"/>
  <c r="U70" i="4" a="1"/>
  <c r="U70" i="4"/>
  <c r="AD172" i="5"/>
  <c r="AI172" i="5"/>
  <c r="Y70" i="4"/>
  <c r="AJ172" i="5"/>
  <c r="Z70" i="4"/>
  <c r="AL172" i="5"/>
  <c r="F172" i="5"/>
  <c r="H172" i="5"/>
  <c r="I172" i="5"/>
  <c r="L172" i="5"/>
  <c r="N172" i="5"/>
  <c r="O172" i="5"/>
  <c r="Z172" i="5"/>
  <c r="AN172" i="5"/>
  <c r="B35" i="4"/>
  <c r="S35" i="4"/>
  <c r="AA173" i="5"/>
  <c r="P35" i="4"/>
  <c r="W173" i="5"/>
  <c r="O173" i="5"/>
  <c r="K173" i="5"/>
  <c r="AG173" i="5"/>
  <c r="AF173" i="5"/>
  <c r="C35" i="4"/>
  <c r="C173" i="5"/>
  <c r="D35" i="4"/>
  <c r="E173" i="5"/>
  <c r="E35" i="4"/>
  <c r="F173" i="5"/>
  <c r="F35" i="4"/>
  <c r="H173" i="5"/>
  <c r="I173" i="5"/>
  <c r="L35" i="4"/>
  <c r="Q173" i="5"/>
  <c r="M35" i="4"/>
  <c r="R173" i="5"/>
  <c r="T173" i="5"/>
  <c r="O35" i="4"/>
  <c r="U173" i="5"/>
  <c r="Q35" i="4"/>
  <c r="X173" i="5"/>
  <c r="R35" i="4"/>
  <c r="Z173" i="5"/>
  <c r="AI35" i="4"/>
  <c r="T35" i="4" a="1"/>
  <c r="T35" i="4"/>
  <c r="AC173" i="5"/>
  <c r="U35" i="4" a="1"/>
  <c r="U35" i="4"/>
  <c r="AD173" i="5"/>
  <c r="X35" i="4"/>
  <c r="AI173" i="5"/>
  <c r="Y35" i="4"/>
  <c r="AJ173" i="5"/>
  <c r="Z35" i="4"/>
  <c r="AL173" i="5"/>
  <c r="AN173" i="5"/>
  <c r="B4" i="4"/>
  <c r="S4" i="4"/>
  <c r="AA174" i="5"/>
  <c r="P4" i="4"/>
  <c r="W174" i="5"/>
  <c r="O174" i="5"/>
  <c r="H4" i="4"/>
  <c r="K174" i="5"/>
  <c r="AG174" i="5"/>
  <c r="AF174" i="5"/>
  <c r="C4" i="4"/>
  <c r="C174" i="5"/>
  <c r="D4" i="4"/>
  <c r="E174" i="5"/>
  <c r="E4" i="4"/>
  <c r="F174" i="5"/>
  <c r="F4" i="4"/>
  <c r="H174" i="5"/>
  <c r="I174" i="5"/>
  <c r="I4" i="4"/>
  <c r="L174" i="5"/>
  <c r="J4" i="4"/>
  <c r="N174" i="5"/>
  <c r="L4" i="4"/>
  <c r="Q174" i="5"/>
  <c r="M4" i="4"/>
  <c r="R174" i="5"/>
  <c r="T174" i="5"/>
  <c r="U174" i="5"/>
  <c r="Q4" i="4"/>
  <c r="X174" i="5"/>
  <c r="R4" i="4"/>
  <c r="Z174" i="5"/>
  <c r="AI4" i="4"/>
  <c r="T4" i="4" a="1"/>
  <c r="T4" i="4"/>
  <c r="AC174" i="5"/>
  <c r="U4" i="4" a="1"/>
  <c r="U4" i="4"/>
  <c r="AD174" i="5"/>
  <c r="X4" i="4"/>
  <c r="AI174" i="5"/>
  <c r="Y4" i="4"/>
  <c r="AJ174" i="5"/>
  <c r="Z4" i="4"/>
  <c r="AL174" i="5"/>
  <c r="AN174" i="5"/>
  <c r="AA175" i="5"/>
  <c r="P6" i="4"/>
  <c r="W175" i="5"/>
  <c r="O175" i="5"/>
  <c r="K175" i="5"/>
  <c r="AG175" i="5"/>
  <c r="AF175" i="5"/>
  <c r="C6" i="4"/>
  <c r="C175" i="5"/>
  <c r="D6" i="4"/>
  <c r="E175" i="5"/>
  <c r="L175" i="5"/>
  <c r="N175" i="5"/>
  <c r="L6" i="4"/>
  <c r="Q175" i="5"/>
  <c r="O6" i="4"/>
  <c r="U175" i="5"/>
  <c r="Q6" i="4"/>
  <c r="X175" i="5"/>
  <c r="R6" i="4"/>
  <c r="Z175" i="5"/>
  <c r="AI6" i="4"/>
  <c r="T6" i="4" a="1"/>
  <c r="T6" i="4"/>
  <c r="AC175" i="5"/>
  <c r="AD175" i="5"/>
  <c r="X6" i="4"/>
  <c r="AI175" i="5"/>
  <c r="Y6" i="4"/>
  <c r="AJ175" i="5"/>
  <c r="Z6" i="4"/>
  <c r="AL175" i="5"/>
  <c r="F175" i="5"/>
  <c r="R175" i="5"/>
  <c r="T175" i="5"/>
  <c r="H175" i="5"/>
  <c r="I175" i="5"/>
  <c r="AN175" i="5"/>
  <c r="AA176" i="5"/>
  <c r="P7" i="4"/>
  <c r="W176" i="5"/>
  <c r="O176" i="5"/>
  <c r="K176" i="5"/>
  <c r="AG176" i="5"/>
  <c r="AF176" i="5"/>
  <c r="C7" i="4"/>
  <c r="C176" i="5"/>
  <c r="D7" i="4"/>
  <c r="E176" i="5"/>
  <c r="L176" i="5"/>
  <c r="N176" i="5"/>
  <c r="L7" i="4"/>
  <c r="Q176" i="5"/>
  <c r="O7" i="4"/>
  <c r="U176" i="5"/>
  <c r="Q7" i="4"/>
  <c r="X176" i="5"/>
  <c r="R7" i="4"/>
  <c r="Z176" i="5"/>
  <c r="AI7" i="4"/>
  <c r="T7" i="4" a="1"/>
  <c r="T7" i="4"/>
  <c r="AC176" i="5"/>
  <c r="AD176" i="5"/>
  <c r="X7" i="4"/>
  <c r="AI176" i="5"/>
  <c r="Y7" i="4"/>
  <c r="AJ176" i="5"/>
  <c r="Z7" i="4"/>
  <c r="AL176" i="5"/>
  <c r="F176" i="5"/>
  <c r="R176" i="5"/>
  <c r="T176" i="5"/>
  <c r="H176" i="5"/>
  <c r="I176" i="5"/>
  <c r="AN176" i="5"/>
  <c r="AA177" i="5"/>
  <c r="P8" i="4"/>
  <c r="W177" i="5"/>
  <c r="O177" i="5"/>
  <c r="H8" i="4"/>
  <c r="K177" i="5"/>
  <c r="AG177" i="5"/>
  <c r="AF177" i="5"/>
  <c r="C8" i="4"/>
  <c r="C177" i="5"/>
  <c r="D8" i="4"/>
  <c r="E177" i="5"/>
  <c r="L177" i="5"/>
  <c r="J8" i="4"/>
  <c r="N177" i="5"/>
  <c r="L8" i="4"/>
  <c r="Q177" i="5"/>
  <c r="M8" i="4"/>
  <c r="R177" i="5"/>
  <c r="T177" i="5"/>
  <c r="O8" i="4"/>
  <c r="U177" i="5"/>
  <c r="Q8" i="4"/>
  <c r="X177" i="5"/>
  <c r="R8" i="4"/>
  <c r="Z177" i="5"/>
  <c r="AI8" i="4"/>
  <c r="T8" i="4" a="1"/>
  <c r="T8" i="4"/>
  <c r="AC177" i="5"/>
  <c r="AD177" i="5"/>
  <c r="X8" i="4"/>
  <c r="AI177" i="5"/>
  <c r="Y8" i="4"/>
  <c r="AJ177" i="5"/>
  <c r="Z8" i="4"/>
  <c r="AL177" i="5"/>
  <c r="F177" i="5"/>
  <c r="H177" i="5"/>
  <c r="I177" i="5"/>
  <c r="AN177" i="5"/>
  <c r="AG178" i="5"/>
  <c r="AF178" i="5"/>
  <c r="B145" i="4"/>
  <c r="C145" i="4"/>
  <c r="C178" i="5"/>
  <c r="D145" i="4"/>
  <c r="E178" i="5"/>
  <c r="H145" i="4"/>
  <c r="K178" i="5"/>
  <c r="L145" i="4"/>
  <c r="Q178" i="5"/>
  <c r="M145" i="4"/>
  <c r="R178" i="5"/>
  <c r="T178" i="5"/>
  <c r="U178" i="5"/>
  <c r="P145" i="4"/>
  <c r="W178" i="5"/>
  <c r="Q145" i="4"/>
  <c r="X178" i="5"/>
  <c r="S145" i="4"/>
  <c r="AA178" i="5"/>
  <c r="AI145" i="4"/>
  <c r="T145" i="4" a="1"/>
  <c r="T145" i="4"/>
  <c r="AC178" i="5"/>
  <c r="U145" i="4" a="1"/>
  <c r="U145" i="4"/>
  <c r="AD178" i="5"/>
  <c r="X145" i="4"/>
  <c r="AI178" i="5"/>
  <c r="Y145" i="4"/>
  <c r="AJ178" i="5"/>
  <c r="Z145" i="4"/>
  <c r="AL178" i="5"/>
  <c r="F178" i="5"/>
  <c r="L178" i="5"/>
  <c r="N178" i="5"/>
  <c r="O178" i="5"/>
  <c r="Z178" i="5"/>
  <c r="H178" i="5"/>
  <c r="I178" i="5"/>
  <c r="AN178" i="5"/>
  <c r="AG179" i="5"/>
  <c r="AF179" i="5"/>
  <c r="B128" i="4"/>
  <c r="C128" i="4"/>
  <c r="C179" i="5"/>
  <c r="D128" i="4"/>
  <c r="E179" i="5"/>
  <c r="E128" i="4"/>
  <c r="F179" i="5"/>
  <c r="F128" i="4"/>
  <c r="H179" i="5"/>
  <c r="I179" i="5"/>
  <c r="H128" i="4"/>
  <c r="K179" i="5"/>
  <c r="L128" i="4"/>
  <c r="Q179" i="5"/>
  <c r="M128" i="4"/>
  <c r="R179" i="5"/>
  <c r="T179" i="5"/>
  <c r="O128" i="4"/>
  <c r="U179" i="5"/>
  <c r="P128" i="4"/>
  <c r="W179" i="5"/>
  <c r="Q128" i="4"/>
  <c r="X179" i="5"/>
  <c r="S128" i="4"/>
  <c r="AA179" i="5"/>
  <c r="AI128" i="4"/>
  <c r="T128" i="4" a="1"/>
  <c r="T128" i="4"/>
  <c r="AC179" i="5"/>
  <c r="U128" i="4" a="1"/>
  <c r="U128" i="4"/>
  <c r="AD179" i="5"/>
  <c r="X128" i="4"/>
  <c r="AI179" i="5"/>
  <c r="Y128" i="4"/>
  <c r="AJ179" i="5"/>
  <c r="Z128" i="4"/>
  <c r="AL179" i="5"/>
  <c r="L179" i="5"/>
  <c r="N179" i="5"/>
  <c r="O179" i="5"/>
  <c r="Z179" i="5"/>
  <c r="AN179" i="5"/>
  <c r="B14" i="4"/>
  <c r="S14" i="4"/>
  <c r="AA180" i="5"/>
  <c r="P14" i="4"/>
  <c r="W180" i="5"/>
  <c r="O180" i="5"/>
  <c r="K180" i="5"/>
  <c r="AG180" i="5"/>
  <c r="AF180" i="5"/>
  <c r="C14" i="4"/>
  <c r="C180" i="5"/>
  <c r="D14" i="4"/>
  <c r="E180" i="5"/>
  <c r="E14" i="4"/>
  <c r="F180" i="5"/>
  <c r="F14" i="4"/>
  <c r="H180" i="5"/>
  <c r="I180" i="5"/>
  <c r="I14" i="4"/>
  <c r="L180" i="5"/>
  <c r="J14" i="4"/>
  <c r="N180" i="5"/>
  <c r="L14" i="4"/>
  <c r="Q180" i="5"/>
  <c r="M14" i="4"/>
  <c r="R180" i="5"/>
  <c r="T180" i="5"/>
  <c r="U180" i="5"/>
  <c r="Q14" i="4"/>
  <c r="X180" i="5"/>
  <c r="R14" i="4"/>
  <c r="Z180" i="5"/>
  <c r="AI14" i="4"/>
  <c r="T14" i="4" a="1"/>
  <c r="T14" i="4"/>
  <c r="AC180" i="5"/>
  <c r="U14" i="4" a="1"/>
  <c r="U14" i="4"/>
  <c r="AD180" i="5"/>
  <c r="AI180" i="5"/>
  <c r="Y14" i="4"/>
  <c r="AJ180" i="5"/>
  <c r="Z14" i="4"/>
  <c r="AL180" i="5"/>
  <c r="AN180" i="5"/>
  <c r="B15" i="4"/>
  <c r="S15" i="4"/>
  <c r="AA181" i="5"/>
  <c r="P15" i="4"/>
  <c r="W181" i="5"/>
  <c r="O181" i="5"/>
  <c r="H15" i="4"/>
  <c r="K181" i="5"/>
  <c r="AG181" i="5"/>
  <c r="AF181" i="5"/>
  <c r="C15" i="4"/>
  <c r="C181" i="5"/>
  <c r="D15" i="4"/>
  <c r="E181" i="5"/>
  <c r="E15" i="4"/>
  <c r="F181" i="5"/>
  <c r="F15" i="4"/>
  <c r="H181" i="5"/>
  <c r="I181" i="5"/>
  <c r="I15" i="4"/>
  <c r="L181" i="5"/>
  <c r="J15" i="4"/>
  <c r="N181" i="5"/>
  <c r="L15" i="4"/>
  <c r="Q181" i="5"/>
  <c r="M15" i="4"/>
  <c r="R181" i="5"/>
  <c r="T181" i="5"/>
  <c r="U181" i="5"/>
  <c r="Q15" i="4"/>
  <c r="X181" i="5"/>
  <c r="R15" i="4"/>
  <c r="Z181" i="5"/>
  <c r="AI15" i="4"/>
  <c r="T15" i="4" a="1"/>
  <c r="T15" i="4"/>
  <c r="AC181" i="5"/>
  <c r="U15" i="4" a="1"/>
  <c r="U15" i="4"/>
  <c r="AD181" i="5"/>
  <c r="X15" i="4"/>
  <c r="AI181" i="5"/>
  <c r="Y15" i="4"/>
  <c r="AJ181" i="5"/>
  <c r="Z15" i="4"/>
  <c r="AL181" i="5"/>
  <c r="AN181" i="5"/>
  <c r="B24" i="4"/>
  <c r="S24" i="4"/>
  <c r="AA182" i="5"/>
  <c r="P24" i="4"/>
  <c r="W182" i="5"/>
  <c r="O182" i="5"/>
  <c r="H24" i="4"/>
  <c r="K182" i="5"/>
  <c r="AG182" i="5"/>
  <c r="AF182" i="5"/>
  <c r="C24" i="4"/>
  <c r="C182" i="5"/>
  <c r="D24" i="4"/>
  <c r="E182" i="5"/>
  <c r="E24" i="4"/>
  <c r="F182" i="5"/>
  <c r="F24" i="4"/>
  <c r="H182" i="5"/>
  <c r="I182" i="5"/>
  <c r="I24" i="4"/>
  <c r="L182" i="5"/>
  <c r="J24" i="4"/>
  <c r="N182" i="5"/>
  <c r="L24" i="4"/>
  <c r="Q182" i="5"/>
  <c r="M24" i="4"/>
  <c r="R182" i="5"/>
  <c r="T182" i="5"/>
  <c r="U182" i="5"/>
  <c r="Q24" i="4"/>
  <c r="X182" i="5"/>
  <c r="R24" i="4"/>
  <c r="Z182" i="5"/>
  <c r="AI24" i="4"/>
  <c r="T24" i="4" a="1"/>
  <c r="T24" i="4"/>
  <c r="AC182" i="5"/>
  <c r="U24" i="4" a="1"/>
  <c r="U24" i="4"/>
  <c r="AD182" i="5"/>
  <c r="AI182" i="5"/>
  <c r="Y24" i="4"/>
  <c r="AJ182" i="5"/>
  <c r="Z24" i="4"/>
  <c r="AL182" i="5"/>
  <c r="AN182" i="5"/>
  <c r="B16" i="4"/>
  <c r="S16" i="4"/>
  <c r="AA183" i="5"/>
  <c r="P16" i="4"/>
  <c r="W183" i="5"/>
  <c r="O183" i="5"/>
  <c r="K183" i="5"/>
  <c r="AG183" i="5"/>
  <c r="AF183" i="5"/>
  <c r="C16" i="4"/>
  <c r="C183" i="5"/>
  <c r="D16" i="4"/>
  <c r="E183" i="5"/>
  <c r="E16" i="4"/>
  <c r="F183" i="5"/>
  <c r="F16" i="4"/>
  <c r="H183" i="5"/>
  <c r="I183" i="5"/>
  <c r="I16" i="4"/>
  <c r="L183" i="5"/>
  <c r="J16" i="4"/>
  <c r="N183" i="5"/>
  <c r="L16" i="4"/>
  <c r="Q183" i="5"/>
  <c r="M16" i="4"/>
  <c r="R183" i="5"/>
  <c r="T183" i="5"/>
  <c r="U183" i="5"/>
  <c r="Q16" i="4"/>
  <c r="X183" i="5"/>
  <c r="R16" i="4"/>
  <c r="Z183" i="5"/>
  <c r="AI16" i="4"/>
  <c r="T16" i="4" a="1"/>
  <c r="T16" i="4"/>
  <c r="AC183" i="5"/>
  <c r="U16" i="4" a="1"/>
  <c r="U16" i="4"/>
  <c r="AD183" i="5"/>
  <c r="X16" i="4"/>
  <c r="AI183" i="5"/>
  <c r="Y16" i="4"/>
  <c r="AJ183" i="5"/>
  <c r="Z16" i="4"/>
  <c r="AL183" i="5"/>
  <c r="AN183" i="5"/>
  <c r="B17" i="4"/>
  <c r="S17" i="4"/>
  <c r="AA184" i="5"/>
  <c r="P17" i="4"/>
  <c r="W184" i="5"/>
  <c r="O184" i="5"/>
  <c r="K184" i="5"/>
  <c r="AG184" i="5"/>
  <c r="AF184" i="5"/>
  <c r="C17" i="4"/>
  <c r="C184" i="5"/>
  <c r="D17" i="4"/>
  <c r="E184" i="5"/>
  <c r="E17" i="4"/>
  <c r="F184" i="5"/>
  <c r="F17" i="4"/>
  <c r="H184" i="5"/>
  <c r="I184" i="5"/>
  <c r="I17" i="4"/>
  <c r="L184" i="5"/>
  <c r="J17" i="4"/>
  <c r="N184" i="5"/>
  <c r="L17" i="4"/>
  <c r="Q184" i="5"/>
  <c r="M17" i="4"/>
  <c r="R184" i="5"/>
  <c r="T184" i="5"/>
  <c r="U184" i="5"/>
  <c r="Q17" i="4"/>
  <c r="X184" i="5"/>
  <c r="R17" i="4"/>
  <c r="Z184" i="5"/>
  <c r="AI17" i="4"/>
  <c r="T17" i="4" a="1"/>
  <c r="T17" i="4"/>
  <c r="AC184" i="5"/>
  <c r="U17" i="4" a="1"/>
  <c r="U17" i="4"/>
  <c r="AD184" i="5"/>
  <c r="X17" i="4"/>
  <c r="AI184" i="5"/>
  <c r="Y17" i="4"/>
  <c r="AJ184" i="5"/>
  <c r="Z17" i="4"/>
  <c r="AL184" i="5"/>
  <c r="AN184" i="5"/>
  <c r="S18" i="4"/>
  <c r="AA185" i="5"/>
  <c r="P18" i="4"/>
  <c r="W185" i="5"/>
  <c r="O185" i="5"/>
  <c r="H18" i="4"/>
  <c r="K185" i="5"/>
  <c r="AG185" i="5"/>
  <c r="AF185" i="5"/>
  <c r="C18" i="4"/>
  <c r="C185" i="5"/>
  <c r="D18" i="4"/>
  <c r="E185" i="5"/>
  <c r="E18" i="4"/>
  <c r="F185" i="5"/>
  <c r="F18" i="4"/>
  <c r="H185" i="5"/>
  <c r="I185" i="5"/>
  <c r="I18" i="4"/>
  <c r="L185" i="5"/>
  <c r="J18" i="4"/>
  <c r="N185" i="5"/>
  <c r="L18" i="4"/>
  <c r="Q185" i="5"/>
  <c r="M18" i="4"/>
  <c r="R185" i="5"/>
  <c r="T185" i="5"/>
  <c r="O18" i="4"/>
  <c r="U185" i="5"/>
  <c r="Q18" i="4"/>
  <c r="X185" i="5"/>
  <c r="R18" i="4"/>
  <c r="Z185" i="5"/>
  <c r="AI18" i="4"/>
  <c r="T18" i="4" a="1"/>
  <c r="T18" i="4"/>
  <c r="AC185" i="5"/>
  <c r="U18" i="4" a="1"/>
  <c r="U18" i="4"/>
  <c r="AD185" i="5"/>
  <c r="AI185" i="5"/>
  <c r="Y18" i="4"/>
  <c r="AJ185" i="5"/>
  <c r="Z18" i="4"/>
  <c r="AL185" i="5"/>
  <c r="AN185" i="5"/>
  <c r="S19" i="4"/>
  <c r="AA186" i="5"/>
  <c r="P19" i="4"/>
  <c r="W186" i="5"/>
  <c r="O186" i="5"/>
  <c r="K186" i="5"/>
  <c r="AG186" i="5"/>
  <c r="AF186" i="5"/>
  <c r="C19" i="4"/>
  <c r="C186" i="5"/>
  <c r="D19" i="4"/>
  <c r="E186" i="5"/>
  <c r="E19" i="4"/>
  <c r="F186" i="5"/>
  <c r="F19" i="4"/>
  <c r="H186" i="5"/>
  <c r="I186" i="5"/>
  <c r="I19" i="4"/>
  <c r="L186" i="5"/>
  <c r="J19" i="4"/>
  <c r="N186" i="5"/>
  <c r="L19" i="4"/>
  <c r="Q186" i="5"/>
  <c r="M19" i="4"/>
  <c r="R186" i="5"/>
  <c r="T186" i="5"/>
  <c r="U186" i="5"/>
  <c r="Q19" i="4"/>
  <c r="X186" i="5"/>
  <c r="R19" i="4"/>
  <c r="Z186" i="5"/>
  <c r="AI19" i="4"/>
  <c r="T19" i="4" a="1"/>
  <c r="T19" i="4"/>
  <c r="AC186" i="5"/>
  <c r="U19" i="4" a="1"/>
  <c r="U19" i="4"/>
  <c r="AD186" i="5"/>
  <c r="X19" i="4"/>
  <c r="AI186" i="5"/>
  <c r="Y19" i="4"/>
  <c r="AJ186" i="5"/>
  <c r="Z19" i="4"/>
  <c r="AL186" i="5"/>
  <c r="AN186" i="5"/>
  <c r="S20" i="4"/>
  <c r="AA187" i="5"/>
  <c r="P20" i="4"/>
  <c r="W187" i="5"/>
  <c r="O187" i="5"/>
  <c r="K187" i="5"/>
  <c r="AG187" i="5"/>
  <c r="AF187" i="5"/>
  <c r="C20" i="4"/>
  <c r="C187" i="5"/>
  <c r="D20" i="4"/>
  <c r="E187" i="5"/>
  <c r="E20" i="4"/>
  <c r="F187" i="5"/>
  <c r="F20" i="4"/>
  <c r="H187" i="5"/>
  <c r="I187" i="5"/>
  <c r="I20" i="4"/>
  <c r="L187" i="5"/>
  <c r="J20" i="4"/>
  <c r="N187" i="5"/>
  <c r="L20" i="4"/>
  <c r="Q187" i="5"/>
  <c r="M20" i="4"/>
  <c r="R187" i="5"/>
  <c r="T187" i="5"/>
  <c r="U187" i="5"/>
  <c r="Q20" i="4"/>
  <c r="X187" i="5"/>
  <c r="R20" i="4"/>
  <c r="Z187" i="5"/>
  <c r="AI20" i="4"/>
  <c r="T20" i="4" a="1"/>
  <c r="T20" i="4"/>
  <c r="AC187" i="5"/>
  <c r="U20" i="4" a="1"/>
  <c r="U20" i="4"/>
  <c r="AD187" i="5"/>
  <c r="AI187" i="5"/>
  <c r="Y20" i="4"/>
  <c r="AJ187" i="5"/>
  <c r="Z20" i="4"/>
  <c r="AL187" i="5"/>
  <c r="AN187" i="5"/>
  <c r="AA188" i="5"/>
  <c r="P9" i="4"/>
  <c r="W188" i="5"/>
  <c r="O188" i="5"/>
  <c r="K188" i="5"/>
  <c r="AG188" i="5"/>
  <c r="AF188" i="5"/>
  <c r="C9" i="4"/>
  <c r="C188" i="5"/>
  <c r="D9" i="4"/>
  <c r="E188" i="5"/>
  <c r="L188" i="5"/>
  <c r="N188" i="5"/>
  <c r="L9" i="4"/>
  <c r="Q188" i="5"/>
  <c r="O9" i="4"/>
  <c r="U188" i="5"/>
  <c r="Q9" i="4"/>
  <c r="X188" i="5"/>
  <c r="R9" i="4"/>
  <c r="Z188" i="5"/>
  <c r="AI9" i="4"/>
  <c r="T9" i="4" a="1"/>
  <c r="T9" i="4"/>
  <c r="AC188" i="5"/>
  <c r="AD188" i="5"/>
  <c r="X9" i="4"/>
  <c r="AI188" i="5"/>
  <c r="Y9" i="4"/>
  <c r="AJ188" i="5"/>
  <c r="Z9" i="4"/>
  <c r="AL188" i="5"/>
  <c r="R188" i="5"/>
  <c r="T188" i="5"/>
  <c r="F188" i="5"/>
  <c r="H188" i="5"/>
  <c r="I188" i="5"/>
  <c r="AN188" i="5"/>
  <c r="AG189" i="5"/>
  <c r="AF189" i="5"/>
  <c r="C301" i="4"/>
  <c r="C189" i="5"/>
  <c r="D301" i="4"/>
  <c r="E189" i="5"/>
  <c r="K189" i="5"/>
  <c r="L301" i="4"/>
  <c r="Q189" i="5"/>
  <c r="M301" i="4"/>
  <c r="R189" i="5"/>
  <c r="T189" i="5"/>
  <c r="O301" i="4"/>
  <c r="U189" i="5"/>
  <c r="P301" i="4"/>
  <c r="W189" i="5"/>
  <c r="Q301" i="4"/>
  <c r="X189" i="5"/>
  <c r="S301" i="4"/>
  <c r="AA189" i="5"/>
  <c r="AI301" i="4"/>
  <c r="T301" i="4" a="1"/>
  <c r="T301" i="4"/>
  <c r="AC189" i="5"/>
  <c r="U301" i="4" a="1"/>
  <c r="U301" i="4"/>
  <c r="AD189" i="5"/>
  <c r="X301" i="4"/>
  <c r="AI189" i="5"/>
  <c r="Y301" i="4"/>
  <c r="AJ189" i="5"/>
  <c r="Z301" i="4"/>
  <c r="AL189" i="5"/>
  <c r="F189" i="5"/>
  <c r="H189" i="5"/>
  <c r="I189" i="5"/>
  <c r="L189" i="5"/>
  <c r="N189" i="5"/>
  <c r="O189" i="5"/>
  <c r="Z189" i="5"/>
  <c r="AN189" i="5"/>
  <c r="AG190" i="5"/>
  <c r="AF190" i="5"/>
  <c r="C71" i="4"/>
  <c r="C190" i="5"/>
  <c r="T190" i="5"/>
  <c r="O71" i="4"/>
  <c r="U190" i="5"/>
  <c r="P71" i="4"/>
  <c r="W190" i="5"/>
  <c r="Q71" i="4"/>
  <c r="X190" i="5"/>
  <c r="AA190" i="5"/>
  <c r="AI71" i="4"/>
  <c r="T71" i="4" a="1"/>
  <c r="T71" i="4"/>
  <c r="AC190" i="5"/>
  <c r="U71" i="4" a="1"/>
  <c r="U71" i="4"/>
  <c r="AD190" i="5"/>
  <c r="X71" i="4"/>
  <c r="AI190" i="5"/>
  <c r="Y71" i="4"/>
  <c r="AJ190" i="5"/>
  <c r="Z71" i="4"/>
  <c r="AL190" i="5"/>
  <c r="F190" i="5"/>
  <c r="H190" i="5"/>
  <c r="I190" i="5"/>
  <c r="L190" i="5"/>
  <c r="N190" i="5"/>
  <c r="O190" i="5"/>
  <c r="Z190" i="5"/>
  <c r="AN190" i="5"/>
  <c r="AG191" i="5"/>
  <c r="AF191" i="5"/>
  <c r="C72" i="4"/>
  <c r="C191" i="5"/>
  <c r="T191" i="5"/>
  <c r="O72" i="4"/>
  <c r="U191" i="5"/>
  <c r="P72" i="4"/>
  <c r="W191" i="5"/>
  <c r="Q72" i="4"/>
  <c r="X191" i="5"/>
  <c r="AA191" i="5"/>
  <c r="AI72" i="4"/>
  <c r="T72" i="4" a="1"/>
  <c r="T72" i="4"/>
  <c r="AC191" i="5"/>
  <c r="U72" i="4" a="1"/>
  <c r="U72" i="4"/>
  <c r="AD191" i="5"/>
  <c r="X72" i="4"/>
  <c r="AI191" i="5"/>
  <c r="Y72" i="4"/>
  <c r="AJ191" i="5"/>
  <c r="Z72" i="4"/>
  <c r="AL191" i="5"/>
  <c r="F191" i="5"/>
  <c r="H191" i="5"/>
  <c r="I191" i="5"/>
  <c r="L191" i="5"/>
  <c r="N191" i="5"/>
  <c r="O191" i="5"/>
  <c r="Z191" i="5"/>
  <c r="AN191" i="5"/>
  <c r="AG192" i="5"/>
  <c r="AF192" i="5"/>
  <c r="C73" i="4"/>
  <c r="C192" i="5"/>
  <c r="D73" i="4"/>
  <c r="E192" i="5"/>
  <c r="H73" i="4"/>
  <c r="K192" i="5"/>
  <c r="L73" i="4"/>
  <c r="Q192" i="5"/>
  <c r="M73" i="4"/>
  <c r="R192" i="5"/>
  <c r="T192" i="5"/>
  <c r="O73" i="4"/>
  <c r="U192" i="5"/>
  <c r="P73" i="4"/>
  <c r="W192" i="5"/>
  <c r="Q73" i="4"/>
  <c r="X192" i="5"/>
  <c r="AA192" i="5"/>
  <c r="AI73" i="4"/>
  <c r="T73" i="4" a="1"/>
  <c r="T73" i="4"/>
  <c r="AC192" i="5"/>
  <c r="U73" i="4" a="1"/>
  <c r="U73" i="4"/>
  <c r="AD192" i="5"/>
  <c r="X73" i="4"/>
  <c r="AI192" i="5"/>
  <c r="Y73" i="4"/>
  <c r="AJ192" i="5"/>
  <c r="Z73" i="4"/>
  <c r="AL192" i="5"/>
  <c r="F192" i="5"/>
  <c r="H192" i="5"/>
  <c r="I192" i="5"/>
  <c r="L192" i="5"/>
  <c r="N192" i="5"/>
  <c r="O192" i="5"/>
  <c r="Z192" i="5"/>
  <c r="AN192" i="5"/>
  <c r="AG193" i="5"/>
  <c r="AF193" i="5"/>
  <c r="B243" i="4"/>
  <c r="C243" i="4"/>
  <c r="C193" i="5"/>
  <c r="D243" i="4"/>
  <c r="E193" i="5"/>
  <c r="H243" i="4"/>
  <c r="K193" i="5"/>
  <c r="L243" i="4"/>
  <c r="Q193" i="5"/>
  <c r="M243" i="4"/>
  <c r="R193" i="5"/>
  <c r="T193" i="5"/>
  <c r="U193" i="5"/>
  <c r="P243" i="4"/>
  <c r="W193" i="5"/>
  <c r="Q243" i="4"/>
  <c r="X193" i="5"/>
  <c r="S243" i="4"/>
  <c r="AA193" i="5"/>
  <c r="AI243" i="4"/>
  <c r="T243" i="4" a="1"/>
  <c r="T243" i="4"/>
  <c r="AC193" i="5"/>
  <c r="U243" i="4" a="1"/>
  <c r="U243" i="4"/>
  <c r="AD193" i="5"/>
  <c r="X243" i="4"/>
  <c r="AI193" i="5"/>
  <c r="Y243" i="4"/>
  <c r="AJ193" i="5"/>
  <c r="Z243" i="4"/>
  <c r="AL193" i="5"/>
  <c r="F193" i="5"/>
  <c r="H193" i="5"/>
  <c r="I193" i="5"/>
  <c r="L193" i="5"/>
  <c r="N193" i="5"/>
  <c r="O193" i="5"/>
  <c r="Z193" i="5"/>
  <c r="AN193" i="5"/>
  <c r="AG194" i="5"/>
  <c r="AF194" i="5"/>
  <c r="B254" i="4"/>
  <c r="C254" i="4"/>
  <c r="C194" i="5"/>
  <c r="D254" i="4"/>
  <c r="E194" i="5"/>
  <c r="K194" i="5"/>
  <c r="L254" i="4"/>
  <c r="Q194" i="5"/>
  <c r="M254" i="4"/>
  <c r="R194" i="5"/>
  <c r="T194" i="5"/>
  <c r="O254" i="4"/>
  <c r="U194" i="5"/>
  <c r="P254" i="4"/>
  <c r="W194" i="5"/>
  <c r="Q254" i="4"/>
  <c r="X194" i="5"/>
  <c r="S254" i="4"/>
  <c r="AA194" i="5"/>
  <c r="AI254" i="4"/>
  <c r="T254" i="4" a="1"/>
  <c r="T254" i="4"/>
  <c r="AC194" i="5"/>
  <c r="U254" i="4" a="1"/>
  <c r="U254" i="4"/>
  <c r="AD194" i="5"/>
  <c r="X254" i="4"/>
  <c r="AI194" i="5"/>
  <c r="Y254" i="4"/>
  <c r="AJ194" i="5"/>
  <c r="Z254" i="4"/>
  <c r="AL194" i="5"/>
  <c r="F194" i="5"/>
  <c r="H194" i="5"/>
  <c r="I194" i="5"/>
  <c r="L194" i="5"/>
  <c r="N194" i="5"/>
  <c r="O194" i="5"/>
  <c r="Z194" i="5"/>
  <c r="AN194" i="5"/>
  <c r="AG195" i="5"/>
  <c r="AF195" i="5"/>
  <c r="B255" i="4"/>
  <c r="C255" i="4"/>
  <c r="C195" i="5"/>
  <c r="D255" i="4"/>
  <c r="E195" i="5"/>
  <c r="K195" i="5"/>
  <c r="L255" i="4"/>
  <c r="Q195" i="5"/>
  <c r="M255" i="4"/>
  <c r="R195" i="5"/>
  <c r="T195" i="5"/>
  <c r="O255" i="4"/>
  <c r="U195" i="5"/>
  <c r="P255" i="4"/>
  <c r="W195" i="5"/>
  <c r="Q255" i="4"/>
  <c r="X195" i="5"/>
  <c r="S255" i="4"/>
  <c r="AA195" i="5"/>
  <c r="AI255" i="4"/>
  <c r="T255" i="4" a="1"/>
  <c r="T255" i="4"/>
  <c r="AC195" i="5"/>
  <c r="U255" i="4" a="1"/>
  <c r="U255" i="4"/>
  <c r="AD195" i="5"/>
  <c r="X255" i="4"/>
  <c r="AI195" i="5"/>
  <c r="Y255" i="4"/>
  <c r="AJ195" i="5"/>
  <c r="Z255" i="4"/>
  <c r="AL195" i="5"/>
  <c r="F195" i="5"/>
  <c r="H195" i="5"/>
  <c r="I195" i="5"/>
  <c r="L195" i="5"/>
  <c r="N195" i="5"/>
  <c r="O195" i="5"/>
  <c r="Z195" i="5"/>
  <c r="AN195" i="5"/>
  <c r="AG196" i="5"/>
  <c r="AF196" i="5"/>
  <c r="C225" i="4"/>
  <c r="C196" i="5"/>
  <c r="T196" i="5"/>
  <c r="O225" i="4"/>
  <c r="U196" i="5"/>
  <c r="P225" i="4"/>
  <c r="W196" i="5"/>
  <c r="Q225" i="4"/>
  <c r="X196" i="5"/>
  <c r="S225" i="4"/>
  <c r="AA196" i="5"/>
  <c r="AI225" i="4"/>
  <c r="T225" i="4" a="1"/>
  <c r="T225" i="4"/>
  <c r="AC196" i="5"/>
  <c r="U225" i="4" a="1"/>
  <c r="U225" i="4"/>
  <c r="AD196" i="5"/>
  <c r="X225" i="4"/>
  <c r="AI196" i="5"/>
  <c r="Y225" i="4"/>
  <c r="AJ196" i="5"/>
  <c r="Z225" i="4"/>
  <c r="AL196" i="5"/>
  <c r="L196" i="5"/>
  <c r="N196" i="5"/>
  <c r="O196" i="5"/>
  <c r="Z196" i="5"/>
  <c r="AN196" i="5"/>
  <c r="AG197" i="5"/>
  <c r="AF197" i="5"/>
  <c r="C226" i="4"/>
  <c r="C197" i="5"/>
  <c r="D226" i="4"/>
  <c r="E197" i="5"/>
  <c r="H226" i="4"/>
  <c r="K197" i="5"/>
  <c r="I226" i="4"/>
  <c r="L197" i="5"/>
  <c r="J226" i="4"/>
  <c r="N197" i="5"/>
  <c r="O197" i="5"/>
  <c r="L226" i="4"/>
  <c r="Q197" i="5"/>
  <c r="M226" i="4"/>
  <c r="R197" i="5"/>
  <c r="T197" i="5"/>
  <c r="O226" i="4"/>
  <c r="U197" i="5"/>
  <c r="P226" i="4"/>
  <c r="W197" i="5"/>
  <c r="Q226" i="4"/>
  <c r="X197" i="5"/>
  <c r="S226" i="4"/>
  <c r="AA197" i="5"/>
  <c r="AI226" i="4"/>
  <c r="T226" i="4" a="1"/>
  <c r="T226" i="4"/>
  <c r="AC197" i="5"/>
  <c r="U226" i="4" a="1"/>
  <c r="U226" i="4"/>
  <c r="AD197" i="5"/>
  <c r="X226" i="4"/>
  <c r="AI197" i="5"/>
  <c r="Y226" i="4"/>
  <c r="AJ197" i="5"/>
  <c r="Z226" i="4"/>
  <c r="AL197" i="5"/>
  <c r="Z197" i="5"/>
  <c r="AN197" i="5"/>
  <c r="AG198" i="5"/>
  <c r="AF198" i="5"/>
  <c r="C264" i="4"/>
  <c r="C198" i="5"/>
  <c r="D264" i="4"/>
  <c r="E198" i="5"/>
  <c r="E264" i="4"/>
  <c r="F198" i="5"/>
  <c r="F264" i="4"/>
  <c r="H198" i="5"/>
  <c r="H264" i="4"/>
  <c r="K198" i="5"/>
  <c r="L264" i="4"/>
  <c r="Q198" i="5"/>
  <c r="M264" i="4"/>
  <c r="R198" i="5"/>
  <c r="T198" i="5"/>
  <c r="O264" i="4"/>
  <c r="U198" i="5"/>
  <c r="P264" i="4"/>
  <c r="W198" i="5"/>
  <c r="Q264" i="4"/>
  <c r="X198" i="5"/>
  <c r="S264" i="4"/>
  <c r="AA198" i="5"/>
  <c r="AI264" i="4"/>
  <c r="T264" i="4" a="1"/>
  <c r="T264" i="4"/>
  <c r="AC198" i="5"/>
  <c r="U264" i="4" a="1"/>
  <c r="U264" i="4"/>
  <c r="AD198" i="5"/>
  <c r="X264" i="4"/>
  <c r="AI198" i="5"/>
  <c r="Y264" i="4"/>
  <c r="AJ198" i="5"/>
  <c r="Z264" i="4"/>
  <c r="AL198" i="5"/>
  <c r="L198" i="5"/>
  <c r="N198" i="5"/>
  <c r="O198" i="5"/>
  <c r="Z198" i="5"/>
  <c r="AN198" i="5"/>
  <c r="AG199" i="5"/>
  <c r="AF199" i="5"/>
  <c r="B131" i="4"/>
  <c r="C131" i="4"/>
  <c r="C199" i="5"/>
  <c r="E199" i="5"/>
  <c r="F199" i="5"/>
  <c r="H199" i="5"/>
  <c r="I199" i="5"/>
  <c r="H131" i="4"/>
  <c r="K199" i="5"/>
  <c r="L131" i="4"/>
  <c r="Q199" i="5"/>
  <c r="M131" i="4"/>
  <c r="R199" i="5"/>
  <c r="T199" i="5"/>
  <c r="O131" i="4"/>
  <c r="U199" i="5"/>
  <c r="P131" i="4"/>
  <c r="W199" i="5"/>
  <c r="Q131" i="4"/>
  <c r="X199" i="5"/>
  <c r="S131" i="4"/>
  <c r="AA199" i="5"/>
  <c r="AI131" i="4"/>
  <c r="T131" i="4" a="1"/>
  <c r="T131" i="4"/>
  <c r="AC199" i="5"/>
  <c r="U131" i="4" a="1"/>
  <c r="U131" i="4"/>
  <c r="AD199" i="5"/>
  <c r="X131" i="4"/>
  <c r="AI199" i="5"/>
  <c r="Y131" i="4"/>
  <c r="AJ199" i="5"/>
  <c r="Z131" i="4"/>
  <c r="AL199" i="5"/>
  <c r="L199" i="5"/>
  <c r="N199" i="5"/>
  <c r="O199" i="5"/>
  <c r="Z199" i="5"/>
  <c r="AN199" i="5"/>
  <c r="AG200" i="5"/>
  <c r="AF200" i="5"/>
  <c r="B148" i="4"/>
  <c r="C148" i="4"/>
  <c r="C200" i="5"/>
  <c r="D148" i="4"/>
  <c r="E200" i="5"/>
  <c r="L148" i="4"/>
  <c r="Q200" i="5"/>
  <c r="M148" i="4"/>
  <c r="R200" i="5"/>
  <c r="T200" i="5"/>
  <c r="O148" i="4"/>
  <c r="U200" i="5"/>
  <c r="P148" i="4"/>
  <c r="W200" i="5"/>
  <c r="Q148" i="4"/>
  <c r="X200" i="5"/>
  <c r="S148" i="4"/>
  <c r="AA200" i="5"/>
  <c r="AI148" i="4"/>
  <c r="T148" i="4" a="1"/>
  <c r="T148" i="4"/>
  <c r="AC200" i="5"/>
  <c r="U148" i="4" a="1"/>
  <c r="U148" i="4"/>
  <c r="AD200" i="5"/>
  <c r="X148" i="4"/>
  <c r="AI200" i="5"/>
  <c r="Y148" i="4"/>
  <c r="AJ200" i="5"/>
  <c r="Z148" i="4"/>
  <c r="AL200" i="5"/>
  <c r="L200" i="5"/>
  <c r="N200" i="5"/>
  <c r="O200" i="5"/>
  <c r="F200" i="5"/>
  <c r="H200" i="5"/>
  <c r="I200" i="5"/>
  <c r="Z200" i="5"/>
  <c r="AN200" i="5"/>
  <c r="AG201" i="5"/>
  <c r="AF201" i="5"/>
  <c r="C149" i="4"/>
  <c r="C201" i="5"/>
  <c r="D149" i="4"/>
  <c r="E201" i="5"/>
  <c r="K201" i="5"/>
  <c r="L149" i="4"/>
  <c r="Q201" i="5"/>
  <c r="M149" i="4"/>
  <c r="R201" i="5"/>
  <c r="N149" i="4"/>
  <c r="T201" i="5"/>
  <c r="O149" i="4"/>
  <c r="U201" i="5"/>
  <c r="P149" i="4"/>
  <c r="W201" i="5"/>
  <c r="Q149" i="4"/>
  <c r="X201" i="5"/>
  <c r="S149" i="4"/>
  <c r="AA201" i="5"/>
  <c r="AI149" i="4"/>
  <c r="T149" i="4" a="1"/>
  <c r="T149" i="4"/>
  <c r="AC201" i="5"/>
  <c r="U149" i="4" a="1"/>
  <c r="U149" i="4"/>
  <c r="AD201" i="5"/>
  <c r="X149" i="4"/>
  <c r="AI201" i="5"/>
  <c r="Y149" i="4"/>
  <c r="AJ201" i="5"/>
  <c r="Z149" i="4"/>
  <c r="AL201" i="5"/>
  <c r="L201" i="5"/>
  <c r="N201" i="5"/>
  <c r="O201" i="5"/>
  <c r="F201" i="5"/>
  <c r="H201" i="5"/>
  <c r="I201" i="5"/>
  <c r="Z201" i="5"/>
  <c r="AN201" i="5"/>
  <c r="AG202" i="5"/>
  <c r="AF202" i="5"/>
  <c r="C150" i="4"/>
  <c r="C202" i="5"/>
  <c r="D150" i="4"/>
  <c r="E202" i="5"/>
  <c r="K202" i="5"/>
  <c r="I150" i="4"/>
  <c r="L202" i="5"/>
  <c r="J150" i="4"/>
  <c r="N202" i="5"/>
  <c r="O202" i="5"/>
  <c r="L150" i="4"/>
  <c r="Q202" i="5"/>
  <c r="M150" i="4"/>
  <c r="R202" i="5"/>
  <c r="N150" i="4"/>
  <c r="T202" i="5"/>
  <c r="O150" i="4"/>
  <c r="U202" i="5"/>
  <c r="P150" i="4"/>
  <c r="W202" i="5"/>
  <c r="Q150" i="4"/>
  <c r="X202" i="5"/>
  <c r="S150" i="4"/>
  <c r="AA202" i="5"/>
  <c r="AI150" i="4"/>
  <c r="T150" i="4" a="1"/>
  <c r="T150" i="4"/>
  <c r="AC202" i="5"/>
  <c r="U150" i="4" a="1"/>
  <c r="U150" i="4"/>
  <c r="AD202" i="5"/>
  <c r="X150" i="4"/>
  <c r="AI202" i="5"/>
  <c r="Y150" i="4"/>
  <c r="AJ202" i="5"/>
  <c r="Z150" i="4"/>
  <c r="AL202" i="5"/>
  <c r="F202" i="5"/>
  <c r="H202" i="5"/>
  <c r="I202" i="5"/>
  <c r="Z202" i="5"/>
  <c r="AN202" i="5"/>
  <c r="AG203" i="5"/>
  <c r="AF203" i="5"/>
  <c r="C227" i="4"/>
  <c r="C203" i="5"/>
  <c r="D227" i="4"/>
  <c r="E203" i="5"/>
  <c r="K203" i="5"/>
  <c r="L227" i="4"/>
  <c r="Q203" i="5"/>
  <c r="M227" i="4"/>
  <c r="R203" i="5"/>
  <c r="N227" i="4"/>
  <c r="T203" i="5"/>
  <c r="O227" i="4"/>
  <c r="U203" i="5"/>
  <c r="P227" i="4"/>
  <c r="W203" i="5"/>
  <c r="Q227" i="4"/>
  <c r="X203" i="5"/>
  <c r="S227" i="4"/>
  <c r="AA203" i="5"/>
  <c r="AI227" i="4"/>
  <c r="T227" i="4" a="1"/>
  <c r="T227" i="4"/>
  <c r="AC203" i="5"/>
  <c r="U227" i="4" a="1"/>
  <c r="U227" i="4"/>
  <c r="AD203" i="5"/>
  <c r="X227" i="4"/>
  <c r="AI203" i="5"/>
  <c r="Y227" i="4"/>
  <c r="AJ203" i="5"/>
  <c r="Z227" i="4"/>
  <c r="AL203" i="5"/>
  <c r="L203" i="5"/>
  <c r="N203" i="5"/>
  <c r="O203" i="5"/>
  <c r="F203" i="5"/>
  <c r="H203" i="5"/>
  <c r="I203" i="5"/>
  <c r="Z203" i="5"/>
  <c r="AN203" i="5"/>
  <c r="AG204" i="5"/>
  <c r="AF204" i="5"/>
  <c r="C151" i="4"/>
  <c r="C204" i="5"/>
  <c r="D151" i="4"/>
  <c r="E204" i="5"/>
  <c r="K204" i="5"/>
  <c r="L151" i="4"/>
  <c r="Q204" i="5"/>
  <c r="M151" i="4"/>
  <c r="R204" i="5"/>
  <c r="T204" i="5"/>
  <c r="U204" i="5"/>
  <c r="P151" i="4"/>
  <c r="W204" i="5"/>
  <c r="Q151" i="4"/>
  <c r="X204" i="5"/>
  <c r="S151" i="4"/>
  <c r="AA204" i="5"/>
  <c r="AI151" i="4"/>
  <c r="T151" i="4" a="1"/>
  <c r="T151" i="4"/>
  <c r="AC204" i="5"/>
  <c r="U151" i="4" a="1"/>
  <c r="U151" i="4"/>
  <c r="AD204" i="5"/>
  <c r="X151" i="4"/>
  <c r="AI204" i="5"/>
  <c r="Y151" i="4"/>
  <c r="AJ204" i="5"/>
  <c r="Z151" i="4"/>
  <c r="AL204" i="5"/>
  <c r="L204" i="5"/>
  <c r="N204" i="5"/>
  <c r="O204" i="5"/>
  <c r="F204" i="5"/>
  <c r="H204" i="5"/>
  <c r="I204" i="5"/>
  <c r="Z204" i="5"/>
  <c r="AN204" i="5"/>
  <c r="AG205" i="5"/>
  <c r="AF205" i="5"/>
  <c r="C152" i="4"/>
  <c r="C205" i="5"/>
  <c r="D152" i="4"/>
  <c r="E205" i="5"/>
  <c r="K205" i="5"/>
  <c r="I152" i="4"/>
  <c r="L205" i="5"/>
  <c r="J152" i="4"/>
  <c r="N205" i="5"/>
  <c r="O205" i="5"/>
  <c r="L152" i="4"/>
  <c r="Q205" i="5"/>
  <c r="M152" i="4"/>
  <c r="R205" i="5"/>
  <c r="N152" i="4"/>
  <c r="T205" i="5"/>
  <c r="O152" i="4"/>
  <c r="U205" i="5"/>
  <c r="P152" i="4"/>
  <c r="W205" i="5"/>
  <c r="Q152" i="4"/>
  <c r="X205" i="5"/>
  <c r="S152" i="4"/>
  <c r="AA205" i="5"/>
  <c r="AI152" i="4"/>
  <c r="T152" i="4" a="1"/>
  <c r="T152" i="4"/>
  <c r="AC205" i="5"/>
  <c r="U152" i="4" a="1"/>
  <c r="U152" i="4"/>
  <c r="AD205" i="5"/>
  <c r="X152" i="4"/>
  <c r="AI205" i="5"/>
  <c r="Y152" i="4"/>
  <c r="AJ205" i="5"/>
  <c r="Z152" i="4"/>
  <c r="AL205" i="5"/>
  <c r="F205" i="5"/>
  <c r="H205" i="5"/>
  <c r="I205" i="5"/>
  <c r="Z205" i="5"/>
  <c r="AN205" i="5"/>
  <c r="AG206" i="5"/>
  <c r="AF206" i="5"/>
  <c r="C153" i="4"/>
  <c r="C206" i="5"/>
  <c r="D153" i="4"/>
  <c r="E206" i="5"/>
  <c r="K206" i="5"/>
  <c r="L153" i="4"/>
  <c r="Q206" i="5"/>
  <c r="M153" i="4"/>
  <c r="R206" i="5"/>
  <c r="N153" i="4"/>
  <c r="T206" i="5"/>
  <c r="O153" i="4"/>
  <c r="U206" i="5"/>
  <c r="P153" i="4"/>
  <c r="W206" i="5"/>
  <c r="Q153" i="4"/>
  <c r="X206" i="5"/>
  <c r="S153" i="4"/>
  <c r="AA206" i="5"/>
  <c r="AI153" i="4"/>
  <c r="T153" i="4" a="1"/>
  <c r="T153" i="4"/>
  <c r="AC206" i="5"/>
  <c r="U153" i="4" a="1"/>
  <c r="U153" i="4"/>
  <c r="AD206" i="5"/>
  <c r="X153" i="4"/>
  <c r="AI206" i="5"/>
  <c r="Y153" i="4"/>
  <c r="AJ206" i="5"/>
  <c r="Z153" i="4"/>
  <c r="AL206" i="5"/>
  <c r="L206" i="5"/>
  <c r="N206" i="5"/>
  <c r="O206" i="5"/>
  <c r="F206" i="5"/>
  <c r="H206" i="5"/>
  <c r="I206" i="5"/>
  <c r="Z206" i="5"/>
  <c r="AN206" i="5"/>
  <c r="AG207" i="5"/>
  <c r="AF207" i="5"/>
  <c r="B154" i="4"/>
  <c r="C154" i="4"/>
  <c r="C207" i="5"/>
  <c r="D154" i="4"/>
  <c r="E207" i="5"/>
  <c r="H154" i="4"/>
  <c r="K207" i="5"/>
  <c r="I154" i="4"/>
  <c r="L207" i="5"/>
  <c r="J154" i="4"/>
  <c r="N207" i="5"/>
  <c r="O207" i="5"/>
  <c r="L154" i="4"/>
  <c r="Q207" i="5"/>
  <c r="M154" i="4"/>
  <c r="R207" i="5"/>
  <c r="N154" i="4"/>
  <c r="T207" i="5"/>
  <c r="O154" i="4"/>
  <c r="U207" i="5"/>
  <c r="P154" i="4"/>
  <c r="W207" i="5"/>
  <c r="Q154" i="4"/>
  <c r="X207" i="5"/>
  <c r="S154" i="4"/>
  <c r="AA207" i="5"/>
  <c r="X154" i="4"/>
  <c r="AI207" i="5"/>
  <c r="Y154" i="4"/>
  <c r="AJ207" i="5"/>
  <c r="Z154" i="4"/>
  <c r="AL207" i="5"/>
  <c r="F207" i="5"/>
  <c r="H207" i="5"/>
  <c r="I207" i="5"/>
  <c r="Z207" i="5"/>
  <c r="AN207" i="5"/>
  <c r="AG208" i="5"/>
  <c r="AF208" i="5"/>
  <c r="C74" i="4"/>
  <c r="C208" i="5"/>
  <c r="D74" i="4"/>
  <c r="E208" i="5"/>
  <c r="H74" i="4"/>
  <c r="K208" i="5"/>
  <c r="L74" i="4"/>
  <c r="Q208" i="5"/>
  <c r="M74" i="4"/>
  <c r="R208" i="5"/>
  <c r="T208" i="5"/>
  <c r="O74" i="4"/>
  <c r="U208" i="5"/>
  <c r="P74" i="4"/>
  <c r="W208" i="5"/>
  <c r="Q74" i="4"/>
  <c r="X208" i="5"/>
  <c r="S74" i="4"/>
  <c r="AA208" i="5"/>
  <c r="AI74" i="4"/>
  <c r="T74" i="4" a="1"/>
  <c r="T74" i="4"/>
  <c r="AC208" i="5"/>
  <c r="U74" i="4" a="1"/>
  <c r="U74" i="4"/>
  <c r="AD208" i="5"/>
  <c r="X74" i="4"/>
  <c r="AI208" i="5"/>
  <c r="Y74" i="4"/>
  <c r="AJ208" i="5"/>
  <c r="Z74" i="4"/>
  <c r="AL208" i="5"/>
  <c r="F208" i="5"/>
  <c r="H208" i="5"/>
  <c r="I208" i="5"/>
  <c r="L208" i="5"/>
  <c r="N208" i="5"/>
  <c r="O208" i="5"/>
  <c r="Z208" i="5"/>
  <c r="AN208" i="5"/>
  <c r="AG209" i="5"/>
  <c r="AF209" i="5"/>
  <c r="C155" i="4"/>
  <c r="C209" i="5"/>
  <c r="D155" i="4"/>
  <c r="E209" i="5"/>
  <c r="E155" i="4"/>
  <c r="F209" i="5"/>
  <c r="F155" i="4"/>
  <c r="H209" i="5"/>
  <c r="I209" i="5"/>
  <c r="H155" i="4"/>
  <c r="K209" i="5"/>
  <c r="L155" i="4"/>
  <c r="Q209" i="5"/>
  <c r="M155" i="4"/>
  <c r="R209" i="5"/>
  <c r="T209" i="5"/>
  <c r="O155" i="4"/>
  <c r="U209" i="5"/>
  <c r="P155" i="4"/>
  <c r="W209" i="5"/>
  <c r="Q155" i="4"/>
  <c r="X209" i="5"/>
  <c r="S155" i="4"/>
  <c r="AA209" i="5"/>
  <c r="AI155" i="4"/>
  <c r="T155" i="4" a="1"/>
  <c r="T155" i="4"/>
  <c r="AC209" i="5"/>
  <c r="U155" i="4" a="1"/>
  <c r="U155" i="4"/>
  <c r="AD209" i="5"/>
  <c r="X155" i="4"/>
  <c r="AI209" i="5"/>
  <c r="Y155" i="4"/>
  <c r="AJ209" i="5"/>
  <c r="Z155" i="4"/>
  <c r="AL209" i="5"/>
  <c r="L209" i="5"/>
  <c r="N209" i="5"/>
  <c r="O209" i="5"/>
  <c r="Z209" i="5"/>
  <c r="AN209" i="5"/>
  <c r="AG210" i="5"/>
  <c r="AF210" i="5"/>
  <c r="B193" i="4"/>
  <c r="C193" i="4"/>
  <c r="C210" i="5"/>
  <c r="D193" i="4"/>
  <c r="E210" i="5"/>
  <c r="E193" i="4"/>
  <c r="F210" i="5"/>
  <c r="F193" i="4"/>
  <c r="H210" i="5"/>
  <c r="I210" i="5"/>
  <c r="H193" i="4"/>
  <c r="K210" i="5"/>
  <c r="L193" i="4"/>
  <c r="Q210" i="5"/>
  <c r="M193" i="4"/>
  <c r="R210" i="5"/>
  <c r="N193" i="4"/>
  <c r="T210" i="5"/>
  <c r="O193" i="4"/>
  <c r="U210" i="5"/>
  <c r="P193" i="4"/>
  <c r="W210" i="5"/>
  <c r="Q193" i="4"/>
  <c r="X210" i="5"/>
  <c r="S193" i="4"/>
  <c r="AA210" i="5"/>
  <c r="AC210" i="5"/>
  <c r="AD210" i="5"/>
  <c r="X193" i="4"/>
  <c r="AI210" i="5"/>
  <c r="Y193" i="4"/>
  <c r="AJ210" i="5"/>
  <c r="Z193" i="4"/>
  <c r="AL210" i="5"/>
  <c r="L210" i="5"/>
  <c r="N210" i="5"/>
  <c r="O210" i="5"/>
  <c r="Z210" i="5"/>
  <c r="AN210" i="5"/>
  <c r="AG211" i="5"/>
  <c r="AF211" i="5"/>
  <c r="C156" i="4"/>
  <c r="C211" i="5"/>
  <c r="D156" i="4"/>
  <c r="E211" i="5"/>
  <c r="E156" i="4"/>
  <c r="F211" i="5"/>
  <c r="F156" i="4"/>
  <c r="H211" i="5"/>
  <c r="I211" i="5"/>
  <c r="H156" i="4"/>
  <c r="K211" i="5"/>
  <c r="L156" i="4"/>
  <c r="Q211" i="5"/>
  <c r="M156" i="4"/>
  <c r="R211" i="5"/>
  <c r="T211" i="5"/>
  <c r="O156" i="4"/>
  <c r="U211" i="5"/>
  <c r="P156" i="4"/>
  <c r="W211" i="5"/>
  <c r="Q156" i="4"/>
  <c r="X211" i="5"/>
  <c r="S156" i="4"/>
  <c r="AA211" i="5"/>
  <c r="AI156" i="4"/>
  <c r="T156" i="4" a="1"/>
  <c r="T156" i="4"/>
  <c r="AC211" i="5"/>
  <c r="U156" i="4" a="1"/>
  <c r="U156" i="4"/>
  <c r="AD211" i="5"/>
  <c r="X156" i="4"/>
  <c r="AI211" i="5"/>
  <c r="Y156" i="4"/>
  <c r="AJ211" i="5"/>
  <c r="Z156" i="4"/>
  <c r="AL211" i="5"/>
  <c r="L211" i="5"/>
  <c r="N211" i="5"/>
  <c r="O211" i="5"/>
  <c r="Z211" i="5"/>
  <c r="AN211" i="5"/>
  <c r="AG212" i="5"/>
  <c r="AF212" i="5"/>
  <c r="C157" i="4"/>
  <c r="C212" i="5"/>
  <c r="D157" i="4"/>
  <c r="E212" i="5"/>
  <c r="E157" i="4"/>
  <c r="F212" i="5"/>
  <c r="F157" i="4"/>
  <c r="H212" i="5"/>
  <c r="I212" i="5"/>
  <c r="H157" i="4"/>
  <c r="K212" i="5"/>
  <c r="L157" i="4"/>
  <c r="Q212" i="5"/>
  <c r="M157" i="4"/>
  <c r="R212" i="5"/>
  <c r="T212" i="5"/>
  <c r="U212" i="5"/>
  <c r="P157" i="4"/>
  <c r="W212" i="5"/>
  <c r="Q157" i="4"/>
  <c r="X212" i="5"/>
  <c r="S157" i="4"/>
  <c r="AA212" i="5"/>
  <c r="AI157" i="4"/>
  <c r="T157" i="4" a="1"/>
  <c r="T157" i="4"/>
  <c r="AC212" i="5"/>
  <c r="U157" i="4" a="1"/>
  <c r="U157" i="4"/>
  <c r="AD212" i="5"/>
  <c r="X157" i="4"/>
  <c r="AI212" i="5"/>
  <c r="Y157" i="4"/>
  <c r="AJ212" i="5"/>
  <c r="Z157" i="4"/>
  <c r="AL212" i="5"/>
  <c r="L212" i="5"/>
  <c r="N212" i="5"/>
  <c r="O212" i="5"/>
  <c r="Z212" i="5"/>
  <c r="AN212" i="5"/>
  <c r="AG213" i="5"/>
  <c r="AF213" i="5"/>
  <c r="C256" i="4"/>
  <c r="C213" i="5"/>
  <c r="D256" i="4"/>
  <c r="E213" i="5"/>
  <c r="E256" i="4"/>
  <c r="F213" i="5"/>
  <c r="F256" i="4"/>
  <c r="H213" i="5"/>
  <c r="I213" i="5"/>
  <c r="H256" i="4"/>
  <c r="K213" i="5"/>
  <c r="L256" i="4"/>
  <c r="Q213" i="5"/>
  <c r="M256" i="4"/>
  <c r="R213" i="5"/>
  <c r="T213" i="5"/>
  <c r="O256" i="4"/>
  <c r="U213" i="5"/>
  <c r="P256" i="4"/>
  <c r="W213" i="5"/>
  <c r="Q256" i="4"/>
  <c r="X213" i="5"/>
  <c r="S256" i="4"/>
  <c r="AA213" i="5"/>
  <c r="AI256" i="4"/>
  <c r="T256" i="4" a="1"/>
  <c r="T256" i="4"/>
  <c r="AC213" i="5"/>
  <c r="U256" i="4" a="1"/>
  <c r="U256" i="4"/>
  <c r="AD213" i="5"/>
  <c r="X256" i="4"/>
  <c r="AI213" i="5"/>
  <c r="Y256" i="4"/>
  <c r="AJ213" i="5"/>
  <c r="Z256" i="4"/>
  <c r="AL213" i="5"/>
  <c r="L213" i="5"/>
  <c r="N213" i="5"/>
  <c r="O213" i="5"/>
  <c r="Z213" i="5"/>
  <c r="AN213" i="5"/>
  <c r="AG214" i="5"/>
  <c r="AF214" i="5"/>
  <c r="B288" i="4"/>
  <c r="C288" i="4"/>
  <c r="C214" i="5"/>
  <c r="D288" i="4"/>
  <c r="E214" i="5"/>
  <c r="E288" i="4"/>
  <c r="F214" i="5"/>
  <c r="F288" i="4"/>
  <c r="H214" i="5"/>
  <c r="I214" i="5"/>
  <c r="H288" i="4"/>
  <c r="K214" i="5"/>
  <c r="L288" i="4"/>
  <c r="Q214" i="5"/>
  <c r="M288" i="4"/>
  <c r="R214" i="5"/>
  <c r="T214" i="5"/>
  <c r="O288" i="4"/>
  <c r="U214" i="5"/>
  <c r="P288" i="4"/>
  <c r="W214" i="5"/>
  <c r="Q288" i="4"/>
  <c r="X214" i="5"/>
  <c r="S288" i="4"/>
  <c r="AA214" i="5"/>
  <c r="AI288" i="4"/>
  <c r="T288" i="4" a="1"/>
  <c r="T288" i="4"/>
  <c r="AC214" i="5"/>
  <c r="U288" i="4" a="1"/>
  <c r="U288" i="4"/>
  <c r="AD214" i="5"/>
  <c r="X288" i="4"/>
  <c r="AI214" i="5"/>
  <c r="Y288" i="4"/>
  <c r="AJ214" i="5"/>
  <c r="Z288" i="4"/>
  <c r="AL214" i="5"/>
  <c r="L214" i="5"/>
  <c r="N214" i="5"/>
  <c r="O214" i="5"/>
  <c r="Z214" i="5"/>
  <c r="AN214" i="5"/>
  <c r="O215" i="5"/>
  <c r="B159" i="4"/>
  <c r="H159" i="4"/>
  <c r="K215" i="5"/>
  <c r="AG215" i="5"/>
  <c r="AF215" i="5"/>
  <c r="C159" i="4"/>
  <c r="C215" i="5"/>
  <c r="D159" i="4"/>
  <c r="E215" i="5"/>
  <c r="E159" i="4"/>
  <c r="F215" i="5"/>
  <c r="F159" i="4"/>
  <c r="H215" i="5"/>
  <c r="I215" i="5"/>
  <c r="I159" i="4"/>
  <c r="L215" i="5"/>
  <c r="J159" i="4"/>
  <c r="N215" i="5"/>
  <c r="L159" i="4"/>
  <c r="Q215" i="5"/>
  <c r="M159" i="4"/>
  <c r="R215" i="5"/>
  <c r="N159" i="4"/>
  <c r="T215" i="5"/>
  <c r="O159" i="4"/>
  <c r="U215" i="5"/>
  <c r="P159" i="4"/>
  <c r="W215" i="5"/>
  <c r="Q159" i="4"/>
  <c r="X215" i="5"/>
  <c r="S159" i="4"/>
  <c r="AA215" i="5"/>
  <c r="AI159" i="4"/>
  <c r="T159" i="4" a="1"/>
  <c r="T159" i="4"/>
  <c r="AC215" i="5"/>
  <c r="U159" i="4" a="1"/>
  <c r="U159" i="4"/>
  <c r="AD215" i="5"/>
  <c r="X159" i="4"/>
  <c r="AI215" i="5"/>
  <c r="Y159" i="4"/>
  <c r="AJ215" i="5"/>
  <c r="Z159" i="4"/>
  <c r="AL215" i="5"/>
  <c r="Z215" i="5"/>
  <c r="AN215" i="5"/>
  <c r="O216" i="5"/>
  <c r="B160" i="4"/>
  <c r="H160" i="4"/>
  <c r="K216" i="5"/>
  <c r="AG216" i="5"/>
  <c r="AF216" i="5"/>
  <c r="C160" i="4"/>
  <c r="C216" i="5"/>
  <c r="D160" i="4"/>
  <c r="E216" i="5"/>
  <c r="E160" i="4"/>
  <c r="F216" i="5"/>
  <c r="F160" i="4"/>
  <c r="H216" i="5"/>
  <c r="I216" i="5"/>
  <c r="L160" i="4"/>
  <c r="Q216" i="5"/>
  <c r="M160" i="4"/>
  <c r="R216" i="5"/>
  <c r="T216" i="5"/>
  <c r="O160" i="4"/>
  <c r="U216" i="5"/>
  <c r="P160" i="4"/>
  <c r="W216" i="5"/>
  <c r="Q160" i="4"/>
  <c r="X216" i="5"/>
  <c r="S160" i="4"/>
  <c r="AA216" i="5"/>
  <c r="AI160" i="4"/>
  <c r="T160" i="4" a="1"/>
  <c r="T160" i="4"/>
  <c r="AC216" i="5"/>
  <c r="U160" i="4" a="1"/>
  <c r="U160" i="4"/>
  <c r="AD216" i="5"/>
  <c r="X160" i="4"/>
  <c r="AI216" i="5"/>
  <c r="Y160" i="4"/>
  <c r="AJ216" i="5"/>
  <c r="Z160" i="4"/>
  <c r="AL216" i="5"/>
  <c r="Z216" i="5"/>
  <c r="AN216" i="5"/>
  <c r="O217" i="5"/>
  <c r="B161" i="4"/>
  <c r="H161" i="4"/>
  <c r="K217" i="5"/>
  <c r="AG217" i="5"/>
  <c r="AF217" i="5"/>
  <c r="C161" i="4"/>
  <c r="C217" i="5"/>
  <c r="D161" i="4"/>
  <c r="E217" i="5"/>
  <c r="E161" i="4"/>
  <c r="F217" i="5"/>
  <c r="F161" i="4"/>
  <c r="H217" i="5"/>
  <c r="I217" i="5"/>
  <c r="I161" i="4"/>
  <c r="L217" i="5"/>
  <c r="J161" i="4"/>
  <c r="N217" i="5"/>
  <c r="L161" i="4"/>
  <c r="Q217" i="5"/>
  <c r="M161" i="4"/>
  <c r="R217" i="5"/>
  <c r="T217" i="5"/>
  <c r="O161" i="4"/>
  <c r="U217" i="5"/>
  <c r="P161" i="4"/>
  <c r="W217" i="5"/>
  <c r="Q161" i="4"/>
  <c r="X217" i="5"/>
  <c r="S161" i="4"/>
  <c r="AA217" i="5"/>
  <c r="AI161" i="4"/>
  <c r="T161" i="4" a="1"/>
  <c r="T161" i="4"/>
  <c r="AC217" i="5"/>
  <c r="U161" i="4" a="1"/>
  <c r="U161" i="4"/>
  <c r="AD217" i="5"/>
  <c r="X161" i="4"/>
  <c r="AI217" i="5"/>
  <c r="Y161" i="4"/>
  <c r="AJ217" i="5"/>
  <c r="Z161" i="4"/>
  <c r="AL217" i="5"/>
  <c r="Z217" i="5"/>
  <c r="AN217" i="5"/>
  <c r="AG218" i="5"/>
  <c r="AF218" i="5"/>
  <c r="B228" i="4"/>
  <c r="C228" i="4"/>
  <c r="C218" i="5"/>
  <c r="D228" i="4"/>
  <c r="E218" i="5"/>
  <c r="H228" i="4"/>
  <c r="K218" i="5"/>
  <c r="L228" i="4"/>
  <c r="Q218" i="5"/>
  <c r="M228" i="4"/>
  <c r="R218" i="5"/>
  <c r="N228" i="4"/>
  <c r="T218" i="5"/>
  <c r="O228" i="4"/>
  <c r="U218" i="5"/>
  <c r="P228" i="4"/>
  <c r="W218" i="5"/>
  <c r="Q228" i="4"/>
  <c r="X218" i="5"/>
  <c r="S228" i="4"/>
  <c r="AA218" i="5"/>
  <c r="AI228" i="4"/>
  <c r="T228" i="4" a="1"/>
  <c r="T228" i="4"/>
  <c r="AC218" i="5"/>
  <c r="U228" i="4" a="1"/>
  <c r="U228" i="4"/>
  <c r="AD218" i="5"/>
  <c r="X228" i="4"/>
  <c r="AI218" i="5"/>
  <c r="Y228" i="4"/>
  <c r="AJ218" i="5"/>
  <c r="Z228" i="4"/>
  <c r="AL218" i="5"/>
  <c r="F218" i="5"/>
  <c r="H218" i="5"/>
  <c r="I218" i="5"/>
  <c r="L218" i="5"/>
  <c r="N218" i="5"/>
  <c r="O218" i="5"/>
  <c r="Z218" i="5"/>
  <c r="AN218" i="5"/>
  <c r="AG219" i="5"/>
  <c r="AF219" i="5"/>
  <c r="C244" i="4"/>
  <c r="C219" i="5"/>
  <c r="D244" i="4"/>
  <c r="E219" i="5"/>
  <c r="E244" i="4"/>
  <c r="F219" i="5"/>
  <c r="F244" i="4"/>
  <c r="H219" i="5"/>
  <c r="I219" i="5"/>
  <c r="H244" i="4"/>
  <c r="K219" i="5"/>
  <c r="L244" i="4"/>
  <c r="Q219" i="5"/>
  <c r="M244" i="4"/>
  <c r="R219" i="5"/>
  <c r="T219" i="5"/>
  <c r="O244" i="4"/>
  <c r="U219" i="5"/>
  <c r="P244" i="4"/>
  <c r="W219" i="5"/>
  <c r="Q244" i="4"/>
  <c r="X219" i="5"/>
  <c r="AA219" i="5"/>
  <c r="AI244" i="4"/>
  <c r="T244" i="4" a="1"/>
  <c r="T244" i="4"/>
  <c r="AC219" i="5"/>
  <c r="U244" i="4" a="1"/>
  <c r="U244" i="4"/>
  <c r="AD219" i="5"/>
  <c r="X244" i="4"/>
  <c r="AI219" i="5"/>
  <c r="L219" i="5"/>
  <c r="N219" i="5"/>
  <c r="O219" i="5"/>
  <c r="Z219" i="5"/>
  <c r="AN219" i="5"/>
  <c r="AG220" i="5"/>
  <c r="AF220" i="5"/>
  <c r="C230" i="4"/>
  <c r="C220" i="5"/>
  <c r="D230" i="4"/>
  <c r="E220" i="5"/>
  <c r="E230" i="4"/>
  <c r="F220" i="5"/>
  <c r="F230" i="4"/>
  <c r="H220" i="5"/>
  <c r="I220" i="5"/>
  <c r="H230" i="4"/>
  <c r="K220" i="5"/>
  <c r="L230" i="4"/>
  <c r="Q220" i="5"/>
  <c r="M230" i="4"/>
  <c r="R220" i="5"/>
  <c r="T220" i="5"/>
  <c r="O230" i="4"/>
  <c r="U220" i="5"/>
  <c r="P230" i="4"/>
  <c r="W220" i="5"/>
  <c r="Q230" i="4"/>
  <c r="X220" i="5"/>
  <c r="S230" i="4"/>
  <c r="AA220" i="5"/>
  <c r="AI230" i="4"/>
  <c r="T230" i="4" a="1"/>
  <c r="T230" i="4"/>
  <c r="AC220" i="5"/>
  <c r="U230" i="4" a="1"/>
  <c r="U230" i="4"/>
  <c r="AD220" i="5"/>
  <c r="X230" i="4"/>
  <c r="AI220" i="5"/>
  <c r="Y230" i="4"/>
  <c r="AJ220" i="5"/>
  <c r="Z230" i="4"/>
  <c r="AL220" i="5"/>
  <c r="L220" i="5"/>
  <c r="N220" i="5"/>
  <c r="O220" i="5"/>
  <c r="Z220" i="5"/>
  <c r="AN220" i="5"/>
  <c r="O221" i="5"/>
  <c r="B231" i="4"/>
  <c r="H231" i="4"/>
  <c r="K221" i="5"/>
  <c r="AG221" i="5"/>
  <c r="AF221" i="5"/>
  <c r="C231" i="4"/>
  <c r="C221" i="5"/>
  <c r="D231" i="4"/>
  <c r="E221" i="5"/>
  <c r="E231" i="4"/>
  <c r="F221" i="5"/>
  <c r="F231" i="4"/>
  <c r="H221" i="5"/>
  <c r="I221" i="5"/>
  <c r="I231" i="4"/>
  <c r="L221" i="5"/>
  <c r="J231" i="4"/>
  <c r="N221" i="5"/>
  <c r="L231" i="4"/>
  <c r="Q221" i="5"/>
  <c r="M231" i="4"/>
  <c r="R221" i="5"/>
  <c r="T221" i="5"/>
  <c r="O231" i="4"/>
  <c r="U221" i="5"/>
  <c r="P231" i="4"/>
  <c r="W221" i="5"/>
  <c r="Q231" i="4"/>
  <c r="X221" i="5"/>
  <c r="S231" i="4"/>
  <c r="AA221" i="5"/>
  <c r="AI231" i="4"/>
  <c r="T231" i="4" a="1"/>
  <c r="T231" i="4"/>
  <c r="AC221" i="5"/>
  <c r="U231" i="4" a="1"/>
  <c r="U231" i="4"/>
  <c r="AD221" i="5"/>
  <c r="X231" i="4"/>
  <c r="AI221" i="5"/>
  <c r="Y231" i="4"/>
  <c r="AJ221" i="5"/>
  <c r="Z231" i="4"/>
  <c r="AL221" i="5"/>
  <c r="Z221" i="5"/>
  <c r="AN221" i="5"/>
  <c r="AG222" i="5"/>
  <c r="AF222" i="5"/>
  <c r="C282" i="4"/>
  <c r="C222" i="5"/>
  <c r="T222" i="5"/>
  <c r="O282" i="4"/>
  <c r="U222" i="5"/>
  <c r="P282" i="4"/>
  <c r="W222" i="5"/>
  <c r="Q282" i="4"/>
  <c r="X222" i="5"/>
  <c r="S282" i="4"/>
  <c r="AA222" i="5"/>
  <c r="AI282" i="4"/>
  <c r="T282" i="4" a="1"/>
  <c r="T282" i="4"/>
  <c r="AC222" i="5"/>
  <c r="U282" i="4" a="1"/>
  <c r="U282" i="4"/>
  <c r="AD222" i="5"/>
  <c r="AI222" i="5"/>
  <c r="Y282" i="4"/>
  <c r="AJ222" i="5"/>
  <c r="Z282" i="4"/>
  <c r="AL222" i="5"/>
  <c r="Z222" i="5"/>
  <c r="AN222" i="5"/>
  <c r="AG223" i="5"/>
  <c r="AF223" i="5"/>
  <c r="B216" i="4"/>
  <c r="C216" i="4"/>
  <c r="C223" i="5"/>
  <c r="E223" i="5"/>
  <c r="K223" i="5"/>
  <c r="L216" i="4"/>
  <c r="Q223" i="5"/>
  <c r="M216" i="4"/>
  <c r="R223" i="5"/>
  <c r="T223" i="5"/>
  <c r="O216" i="4"/>
  <c r="U223" i="5"/>
  <c r="P216" i="4"/>
  <c r="W223" i="5"/>
  <c r="X223" i="5"/>
  <c r="AA223" i="5"/>
  <c r="AI216" i="4"/>
  <c r="T216" i="4" a="1"/>
  <c r="T216" i="4"/>
  <c r="AC223" i="5"/>
  <c r="U216" i="4" a="1"/>
  <c r="U216" i="4"/>
  <c r="AD223" i="5"/>
  <c r="X216" i="4"/>
  <c r="AI223" i="5"/>
  <c r="Y216" i="4"/>
  <c r="AJ223" i="5"/>
  <c r="Z216" i="4"/>
  <c r="AL223" i="5"/>
  <c r="F223" i="5"/>
  <c r="H223" i="5"/>
  <c r="I223" i="5"/>
  <c r="L223" i="5"/>
  <c r="N223" i="5"/>
  <c r="O223" i="5"/>
  <c r="Z223" i="5"/>
  <c r="AN223" i="5"/>
  <c r="O224" i="5"/>
  <c r="B85" i="4"/>
  <c r="H85" i="4"/>
  <c r="K224" i="5"/>
  <c r="AG224" i="5"/>
  <c r="AF224" i="5"/>
  <c r="C85" i="4"/>
  <c r="C224" i="5"/>
  <c r="D85" i="4"/>
  <c r="E224" i="5"/>
  <c r="I85" i="4"/>
  <c r="L224" i="5"/>
  <c r="J85" i="4"/>
  <c r="N224" i="5"/>
  <c r="L85" i="4"/>
  <c r="Q224" i="5"/>
  <c r="M85" i="4"/>
  <c r="R224" i="5"/>
  <c r="T224" i="5"/>
  <c r="O85" i="4"/>
  <c r="U224" i="5"/>
  <c r="P85" i="4"/>
  <c r="W224" i="5"/>
  <c r="Q85" i="4"/>
  <c r="X224" i="5"/>
  <c r="AA224" i="5"/>
  <c r="AI85" i="4"/>
  <c r="T85" i="4" a="1"/>
  <c r="T85" i="4"/>
  <c r="AC224" i="5"/>
  <c r="U85" i="4" a="1"/>
  <c r="U85" i="4"/>
  <c r="AD224" i="5"/>
  <c r="X85" i="4"/>
  <c r="AI224" i="5"/>
  <c r="Y85" i="4"/>
  <c r="AJ224" i="5"/>
  <c r="Z85" i="4"/>
  <c r="AL224" i="5"/>
  <c r="F224" i="5"/>
  <c r="H224" i="5"/>
  <c r="I224" i="5"/>
  <c r="Z224" i="5"/>
  <c r="AN224" i="5"/>
  <c r="AG225" i="5"/>
  <c r="AF225" i="5"/>
  <c r="C271" i="4"/>
  <c r="C225" i="5"/>
  <c r="T225" i="5"/>
  <c r="O271" i="4"/>
  <c r="U225" i="5"/>
  <c r="P271" i="4"/>
  <c r="W225" i="5"/>
  <c r="S271" i="4"/>
  <c r="AA225" i="5"/>
  <c r="AI271" i="4"/>
  <c r="T271" i="4" a="1"/>
  <c r="T271" i="4"/>
  <c r="AC225" i="5"/>
  <c r="U271" i="4" a="1"/>
  <c r="U271" i="4"/>
  <c r="AD225" i="5"/>
  <c r="X271" i="4"/>
  <c r="AI225" i="5"/>
  <c r="Y271" i="4"/>
  <c r="AJ225" i="5"/>
  <c r="Z271" i="4"/>
  <c r="AL225" i="5"/>
  <c r="X225" i="5"/>
  <c r="Z225" i="5"/>
  <c r="AN225" i="5"/>
  <c r="AG226" i="5"/>
  <c r="AF226" i="5"/>
  <c r="C133" i="4"/>
  <c r="C226" i="5"/>
  <c r="T226" i="5"/>
  <c r="U226" i="5"/>
  <c r="P133" i="4"/>
  <c r="W226" i="5"/>
  <c r="Q133" i="4"/>
  <c r="X226" i="5"/>
  <c r="R133" i="4"/>
  <c r="Z226" i="5"/>
  <c r="S133" i="4"/>
  <c r="AA226" i="5"/>
  <c r="AI133" i="4"/>
  <c r="T133" i="4" a="1"/>
  <c r="T133" i="4"/>
  <c r="AC226" i="5"/>
  <c r="U133" i="4" a="1"/>
  <c r="U133" i="4"/>
  <c r="AD226" i="5"/>
  <c r="X133" i="4"/>
  <c r="AI226" i="5"/>
  <c r="Y133" i="4"/>
  <c r="AJ226" i="5"/>
  <c r="Z133" i="4"/>
  <c r="AL226" i="5"/>
  <c r="AN226" i="5"/>
  <c r="AG227" i="5"/>
  <c r="AF227" i="5"/>
  <c r="B217" i="4"/>
  <c r="C217" i="4"/>
  <c r="C227" i="5"/>
  <c r="E227" i="5"/>
  <c r="H217" i="4"/>
  <c r="K227" i="5"/>
  <c r="L217" i="4"/>
  <c r="Q227" i="5"/>
  <c r="M217" i="4"/>
  <c r="R227" i="5"/>
  <c r="T227" i="5"/>
  <c r="O217" i="4"/>
  <c r="U227" i="5"/>
  <c r="P217" i="4"/>
  <c r="W227" i="5"/>
  <c r="X227" i="5"/>
  <c r="AA227" i="5"/>
  <c r="AI217" i="4"/>
  <c r="T217" i="4" a="1"/>
  <c r="T217" i="4"/>
  <c r="AC227" i="5"/>
  <c r="U217" i="4" a="1"/>
  <c r="U217" i="4"/>
  <c r="AD227" i="5"/>
  <c r="AI227" i="5"/>
  <c r="AJ227" i="5"/>
  <c r="Z217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195" i="4"/>
  <c r="C195" i="4"/>
  <c r="C228" i="5"/>
  <c r="D195" i="4"/>
  <c r="E228" i="5"/>
  <c r="E195" i="4"/>
  <c r="F228" i="5"/>
  <c r="F195" i="4"/>
  <c r="H228" i="5"/>
  <c r="I228" i="5"/>
  <c r="I195" i="4"/>
  <c r="L228" i="5"/>
  <c r="J195" i="4"/>
  <c r="N228" i="5"/>
  <c r="L195" i="4"/>
  <c r="Q228" i="5"/>
  <c r="M195" i="4"/>
  <c r="R228" i="5"/>
  <c r="T228" i="5"/>
  <c r="O195" i="4"/>
  <c r="U228" i="5"/>
  <c r="P195" i="4"/>
  <c r="W228" i="5"/>
  <c r="Q195" i="4"/>
  <c r="X228" i="5"/>
  <c r="S195" i="4"/>
  <c r="AA228" i="5"/>
  <c r="AI195" i="4"/>
  <c r="T195" i="4" a="1"/>
  <c r="T195" i="4"/>
  <c r="AC228" i="5"/>
  <c r="U195" i="4" a="1"/>
  <c r="U195" i="4"/>
  <c r="AD228" i="5"/>
  <c r="AI228" i="5"/>
  <c r="Y195" i="4"/>
  <c r="AJ228" i="5"/>
  <c r="Z195" i="4"/>
  <c r="AL228" i="5"/>
  <c r="Z228" i="5"/>
  <c r="AN228" i="5"/>
  <c r="AG229" i="5"/>
  <c r="AF229" i="5"/>
  <c r="B245" i="4"/>
  <c r="C245" i="4"/>
  <c r="C229" i="5"/>
  <c r="D245" i="4"/>
  <c r="E229" i="5"/>
  <c r="E245" i="4"/>
  <c r="F229" i="5"/>
  <c r="F245" i="4"/>
  <c r="H229" i="5"/>
  <c r="I229" i="5"/>
  <c r="H245" i="4"/>
  <c r="K229" i="5"/>
  <c r="L245" i="4"/>
  <c r="Q229" i="5"/>
  <c r="M245" i="4"/>
  <c r="R229" i="5"/>
  <c r="T229" i="5"/>
  <c r="O245" i="4"/>
  <c r="U229" i="5"/>
  <c r="P245" i="4"/>
  <c r="W229" i="5"/>
  <c r="Q245" i="4"/>
  <c r="X229" i="5"/>
  <c r="S245" i="4"/>
  <c r="AA229" i="5"/>
  <c r="AI245" i="4"/>
  <c r="T245" i="4" a="1"/>
  <c r="T245" i="4"/>
  <c r="AC229" i="5"/>
  <c r="U245" i="4" a="1"/>
  <c r="U245" i="4"/>
  <c r="AD229" i="5"/>
  <c r="X245" i="4"/>
  <c r="AI229" i="5"/>
  <c r="Y245" i="4"/>
  <c r="AJ229" i="5"/>
  <c r="Z245" i="4"/>
  <c r="AL229" i="5"/>
  <c r="L229" i="5"/>
  <c r="N229" i="5"/>
  <c r="O229" i="5"/>
  <c r="Z229" i="5"/>
  <c r="AN229" i="5"/>
  <c r="AG230" i="5"/>
  <c r="AF230" i="5"/>
  <c r="C246" i="4"/>
  <c r="C230" i="5"/>
  <c r="T230" i="5"/>
  <c r="U230" i="5"/>
  <c r="P246" i="4"/>
  <c r="W230" i="5"/>
  <c r="Q246" i="4"/>
  <c r="X230" i="5"/>
  <c r="S246" i="4"/>
  <c r="AA230" i="5"/>
  <c r="AI246" i="4"/>
  <c r="T246" i="4" a="1"/>
  <c r="T246" i="4"/>
  <c r="AC230" i="5"/>
  <c r="U246" i="4" a="1"/>
  <c r="U246" i="4"/>
  <c r="AD230" i="5"/>
  <c r="X246" i="4"/>
  <c r="AI230" i="5"/>
  <c r="Y246" i="4"/>
  <c r="AJ230" i="5"/>
  <c r="Z246" i="4"/>
  <c r="AL230" i="5"/>
  <c r="Z230" i="5"/>
  <c r="AN230" i="5"/>
  <c r="AG231" i="5"/>
  <c r="AF231" i="5"/>
  <c r="B247" i="4"/>
  <c r="C247" i="4"/>
  <c r="C231" i="5"/>
  <c r="D247" i="4"/>
  <c r="E231" i="5"/>
  <c r="H247" i="4"/>
  <c r="K231" i="5"/>
  <c r="L247" i="4"/>
  <c r="Q231" i="5"/>
  <c r="M247" i="4"/>
  <c r="R231" i="5"/>
  <c r="T231" i="5"/>
  <c r="O247" i="4"/>
  <c r="U231" i="5"/>
  <c r="P247" i="4"/>
  <c r="W231" i="5"/>
  <c r="Q247" i="4"/>
  <c r="X231" i="5"/>
  <c r="S247" i="4"/>
  <c r="AA231" i="5"/>
  <c r="AI247" i="4"/>
  <c r="T247" i="4" a="1"/>
  <c r="T247" i="4"/>
  <c r="AC231" i="5"/>
  <c r="U247" i="4" a="1"/>
  <c r="U247" i="4"/>
  <c r="AD231" i="5"/>
  <c r="X247" i="4"/>
  <c r="AI231" i="5"/>
  <c r="Y247" i="4"/>
  <c r="AJ231" i="5"/>
  <c r="Z247" i="4"/>
  <c r="AL231" i="5"/>
  <c r="L231" i="5"/>
  <c r="N231" i="5"/>
  <c r="O231" i="5"/>
  <c r="F231" i="5"/>
  <c r="H231" i="5"/>
  <c r="I231" i="5"/>
  <c r="Z231" i="5"/>
  <c r="AN231" i="5"/>
  <c r="AG232" i="5"/>
  <c r="AF232" i="5"/>
  <c r="B117" i="4"/>
  <c r="C117" i="4"/>
  <c r="C232" i="5"/>
  <c r="D117" i="4"/>
  <c r="E232" i="5"/>
  <c r="H117" i="4"/>
  <c r="K232" i="5"/>
  <c r="L117" i="4"/>
  <c r="Q232" i="5"/>
  <c r="M117" i="4"/>
  <c r="R232" i="5"/>
  <c r="T232" i="5"/>
  <c r="O117" i="4"/>
  <c r="U232" i="5"/>
  <c r="P117" i="4"/>
  <c r="W232" i="5"/>
  <c r="Q117" i="4"/>
  <c r="X232" i="5"/>
  <c r="S117" i="4"/>
  <c r="AA232" i="5"/>
  <c r="AI117" i="4"/>
  <c r="T117" i="4" a="1"/>
  <c r="T117" i="4"/>
  <c r="AC232" i="5"/>
  <c r="U117" i="4" a="1"/>
  <c r="U117" i="4"/>
  <c r="AD232" i="5"/>
  <c r="X117" i="4"/>
  <c r="AI232" i="5"/>
  <c r="Y117" i="4"/>
  <c r="AJ232" i="5"/>
  <c r="Z117" i="4"/>
  <c r="AL232" i="5"/>
  <c r="L232" i="5"/>
  <c r="N232" i="5"/>
  <c r="O232" i="5"/>
  <c r="F232" i="5"/>
  <c r="H232" i="5"/>
  <c r="I232" i="5"/>
  <c r="Z232" i="5"/>
  <c r="AN232" i="5"/>
  <c r="S48" i="4"/>
  <c r="AA233" i="5"/>
  <c r="P48" i="4"/>
  <c r="W233" i="5"/>
  <c r="AG233" i="5"/>
  <c r="AF233" i="5"/>
  <c r="C48" i="4"/>
  <c r="C233" i="5"/>
  <c r="D48" i="4"/>
  <c r="E233" i="5"/>
  <c r="K233" i="5"/>
  <c r="L48" i="4"/>
  <c r="Q233" i="5"/>
  <c r="M48" i="4"/>
  <c r="R233" i="5"/>
  <c r="T233" i="5"/>
  <c r="U233" i="5"/>
  <c r="Q48" i="4"/>
  <c r="X233" i="5"/>
  <c r="R48" i="4"/>
  <c r="Z233" i="5"/>
  <c r="AI48" i="4"/>
  <c r="T48" i="4" a="1"/>
  <c r="T48" i="4"/>
  <c r="AC233" i="5"/>
  <c r="U48" i="4" a="1"/>
  <c r="U48" i="4"/>
  <c r="AD233" i="5"/>
  <c r="X48" i="4"/>
  <c r="AI233" i="5"/>
  <c r="Y48" i="4"/>
  <c r="AJ233" i="5"/>
  <c r="Z48" i="4"/>
  <c r="AL233" i="5"/>
  <c r="L233" i="5"/>
  <c r="N233" i="5"/>
  <c r="O233" i="5"/>
  <c r="F233" i="5"/>
  <c r="H233" i="5"/>
  <c r="I233" i="5"/>
  <c r="AN233" i="5"/>
  <c r="AG234" i="5"/>
  <c r="AF234" i="5"/>
  <c r="B197" i="4"/>
  <c r="C197" i="4"/>
  <c r="C234" i="5"/>
  <c r="D197" i="4"/>
  <c r="E234" i="5"/>
  <c r="K234" i="5"/>
  <c r="L197" i="4"/>
  <c r="Q234" i="5"/>
  <c r="M197" i="4"/>
  <c r="R234" i="5"/>
  <c r="T234" i="5"/>
  <c r="U234" i="5"/>
  <c r="P197" i="4"/>
  <c r="W234" i="5"/>
  <c r="Q197" i="4"/>
  <c r="X234" i="5"/>
  <c r="S197" i="4"/>
  <c r="AA234" i="5"/>
  <c r="AI197" i="4"/>
  <c r="T197" i="4" a="1"/>
  <c r="T197" i="4"/>
  <c r="AC234" i="5"/>
  <c r="U197" i="4" a="1"/>
  <c r="U197" i="4"/>
  <c r="AD234" i="5"/>
  <c r="X197" i="4"/>
  <c r="AI234" i="5"/>
  <c r="Y197" i="4"/>
  <c r="AJ234" i="5"/>
  <c r="Z197" i="4"/>
  <c r="AL234" i="5"/>
  <c r="F234" i="5"/>
  <c r="H234" i="5"/>
  <c r="I234" i="5"/>
  <c r="L234" i="5"/>
  <c r="N234" i="5"/>
  <c r="O234" i="5"/>
  <c r="Z234" i="5"/>
  <c r="AN234" i="5"/>
  <c r="AG235" i="5"/>
  <c r="AF235" i="5"/>
  <c r="C198" i="4"/>
  <c r="C235" i="5"/>
  <c r="D198" i="4"/>
  <c r="E235" i="5"/>
  <c r="K235" i="5"/>
  <c r="L198" i="4"/>
  <c r="Q235" i="5"/>
  <c r="M198" i="4"/>
  <c r="R235" i="5"/>
  <c r="T235" i="5"/>
  <c r="U235" i="5"/>
  <c r="P198" i="4"/>
  <c r="W235" i="5"/>
  <c r="Q198" i="4"/>
  <c r="X235" i="5"/>
  <c r="S198" i="4"/>
  <c r="AA235" i="5"/>
  <c r="AI198" i="4"/>
  <c r="T198" i="4" a="1"/>
  <c r="T198" i="4"/>
  <c r="AC235" i="5"/>
  <c r="U198" i="4" a="1"/>
  <c r="U198" i="4"/>
  <c r="AD235" i="5"/>
  <c r="X198" i="4"/>
  <c r="AI235" i="5"/>
  <c r="Y198" i="4"/>
  <c r="AJ235" i="5"/>
  <c r="Z198" i="4"/>
  <c r="AL235" i="5"/>
  <c r="F235" i="5"/>
  <c r="H235" i="5"/>
  <c r="I235" i="5"/>
  <c r="L235" i="5"/>
  <c r="N235" i="5"/>
  <c r="O235" i="5"/>
  <c r="Z235" i="5"/>
  <c r="AN235" i="5"/>
  <c r="AG236" i="5"/>
  <c r="AF236" i="5"/>
  <c r="C118" i="4"/>
  <c r="C236" i="5"/>
  <c r="D118" i="4"/>
  <c r="E236" i="5"/>
  <c r="K236" i="5"/>
  <c r="L118" i="4"/>
  <c r="Q236" i="5"/>
  <c r="M118" i="4"/>
  <c r="R236" i="5"/>
  <c r="T236" i="5"/>
  <c r="U236" i="5"/>
  <c r="P118" i="4"/>
  <c r="W236" i="5"/>
  <c r="Q118" i="4"/>
  <c r="X236" i="5"/>
  <c r="S118" i="4"/>
  <c r="AA236" i="5"/>
  <c r="AI118" i="4"/>
  <c r="T118" i="4" a="1"/>
  <c r="T118" i="4"/>
  <c r="AC236" i="5"/>
  <c r="U118" i="4" a="1"/>
  <c r="U118" i="4"/>
  <c r="AD236" i="5"/>
  <c r="X118" i="4"/>
  <c r="AI236" i="5"/>
  <c r="Y118" i="4"/>
  <c r="AJ236" i="5"/>
  <c r="Z118" i="4"/>
  <c r="AL236" i="5"/>
  <c r="F236" i="5"/>
  <c r="H236" i="5"/>
  <c r="I236" i="5"/>
  <c r="L236" i="5"/>
  <c r="N236" i="5"/>
  <c r="O236" i="5"/>
  <c r="Z236" i="5"/>
  <c r="AN236" i="5"/>
  <c r="AG237" i="5"/>
  <c r="AF237" i="5"/>
  <c r="B162" i="4"/>
  <c r="C162" i="4"/>
  <c r="C237" i="5"/>
  <c r="D162" i="4"/>
  <c r="E237" i="5"/>
  <c r="K237" i="5"/>
  <c r="L162" i="4"/>
  <c r="Q237" i="5"/>
  <c r="M162" i="4"/>
  <c r="R237" i="5"/>
  <c r="T237" i="5"/>
  <c r="U237" i="5"/>
  <c r="P162" i="4"/>
  <c r="W237" i="5"/>
  <c r="Q162" i="4"/>
  <c r="X237" i="5"/>
  <c r="S162" i="4"/>
  <c r="AA237" i="5"/>
  <c r="AI162" i="4"/>
  <c r="T162" i="4" a="1"/>
  <c r="T162" i="4"/>
  <c r="AC237" i="5"/>
  <c r="U162" i="4" a="1"/>
  <c r="U162" i="4"/>
  <c r="AD237" i="5"/>
  <c r="X162" i="4"/>
  <c r="AI237" i="5"/>
  <c r="Y162" i="4"/>
  <c r="AJ237" i="5"/>
  <c r="Z162" i="4"/>
  <c r="AL237" i="5"/>
  <c r="F237" i="5"/>
  <c r="H237" i="5"/>
  <c r="I237" i="5"/>
  <c r="L237" i="5"/>
  <c r="N237" i="5"/>
  <c r="O237" i="5"/>
  <c r="Z237" i="5"/>
  <c r="AN237" i="5"/>
  <c r="AG238" i="5"/>
  <c r="AF238" i="5"/>
  <c r="C100" i="4"/>
  <c r="C238" i="5"/>
  <c r="D100" i="4"/>
  <c r="E238" i="5"/>
  <c r="K238" i="5"/>
  <c r="L100" i="4"/>
  <c r="Q238" i="5"/>
  <c r="M100" i="4"/>
  <c r="R238" i="5"/>
  <c r="T238" i="5"/>
  <c r="U238" i="5"/>
  <c r="P100" i="4"/>
  <c r="W238" i="5"/>
  <c r="Q100" i="4"/>
  <c r="X238" i="5"/>
  <c r="S100" i="4"/>
  <c r="AA238" i="5"/>
  <c r="AI100" i="4"/>
  <c r="T100" i="4" a="1"/>
  <c r="T100" i="4"/>
  <c r="AC238" i="5"/>
  <c r="U100" i="4" a="1"/>
  <c r="U100" i="4"/>
  <c r="AD238" i="5"/>
  <c r="X100" i="4"/>
  <c r="AI238" i="5"/>
  <c r="Y100" i="4"/>
  <c r="AJ238" i="5"/>
  <c r="Z100" i="4"/>
  <c r="AL238" i="5"/>
  <c r="F238" i="5"/>
  <c r="H238" i="5"/>
  <c r="I238" i="5"/>
  <c r="L238" i="5"/>
  <c r="N238" i="5"/>
  <c r="O238" i="5"/>
  <c r="Z238" i="5"/>
  <c r="AN238" i="5"/>
  <c r="AG239" i="5"/>
  <c r="AF239" i="5"/>
  <c r="C239" i="5"/>
  <c r="E239" i="5"/>
  <c r="F239" i="5"/>
  <c r="H239" i="5"/>
  <c r="I239" i="5"/>
  <c r="K239" i="5"/>
  <c r="Q239" i="5"/>
  <c r="R239" i="5"/>
  <c r="T239" i="5"/>
  <c r="U239" i="5"/>
  <c r="W239" i="5"/>
  <c r="X239" i="5"/>
  <c r="AA239" i="5"/>
  <c r="AC239" i="5"/>
  <c r="AD239" i="5"/>
  <c r="AI239" i="5"/>
  <c r="AJ239" i="5"/>
  <c r="AL239" i="5"/>
  <c r="L239" i="5"/>
  <c r="N239" i="5"/>
  <c r="O239" i="5"/>
  <c r="Z239" i="5"/>
  <c r="AN239" i="5"/>
  <c r="AG241" i="5"/>
  <c r="AF241" i="5"/>
  <c r="C119" i="4"/>
  <c r="C241" i="5"/>
  <c r="T241" i="5"/>
  <c r="O119" i="4"/>
  <c r="U241" i="5"/>
  <c r="P119" i="4"/>
  <c r="W241" i="5"/>
  <c r="S119" i="4"/>
  <c r="AA241" i="5"/>
  <c r="AI119" i="4"/>
  <c r="T119" i="4" a="1"/>
  <c r="T119" i="4"/>
  <c r="AC241" i="5"/>
  <c r="U119" i="4" a="1"/>
  <c r="U119" i="4"/>
  <c r="AD241" i="5"/>
  <c r="X119" i="4"/>
  <c r="AI241" i="5"/>
  <c r="Y119" i="4"/>
  <c r="AJ241" i="5"/>
  <c r="Z119" i="4"/>
  <c r="AL241" i="5"/>
  <c r="X241" i="5"/>
  <c r="Z241" i="5"/>
  <c r="AN241" i="5"/>
  <c r="AG242" i="5"/>
  <c r="AF242" i="5"/>
  <c r="B218" i="4"/>
  <c r="C218" i="4"/>
  <c r="C242" i="5"/>
  <c r="D218" i="4"/>
  <c r="E242" i="5"/>
  <c r="H218" i="4"/>
  <c r="K242" i="5"/>
  <c r="L218" i="4"/>
  <c r="Q242" i="5"/>
  <c r="M218" i="4"/>
  <c r="R242" i="5"/>
  <c r="T242" i="5"/>
  <c r="U242" i="5"/>
  <c r="P218" i="4"/>
  <c r="W242" i="5"/>
  <c r="Q218" i="4"/>
  <c r="X242" i="5"/>
  <c r="AA242" i="5"/>
  <c r="AI218" i="4"/>
  <c r="T218" i="4" a="1"/>
  <c r="T218" i="4"/>
  <c r="AC242" i="5"/>
  <c r="U218" i="4" a="1"/>
  <c r="U218" i="4"/>
  <c r="AD242" i="5"/>
  <c r="Y218" i="4"/>
  <c r="AJ242" i="5"/>
  <c r="Z218" i="4"/>
  <c r="AL242" i="5"/>
  <c r="F242" i="5"/>
  <c r="H242" i="5"/>
  <c r="I242" i="5"/>
  <c r="L242" i="5"/>
  <c r="N242" i="5"/>
  <c r="O242" i="5"/>
  <c r="Z242" i="5"/>
  <c r="AN242" i="5"/>
  <c r="AG243" i="5"/>
  <c r="AF243" i="5"/>
  <c r="B199" i="4"/>
  <c r="C199" i="4"/>
  <c r="C243" i="5"/>
  <c r="D199" i="4"/>
  <c r="E243" i="5"/>
  <c r="H199" i="4"/>
  <c r="K243" i="5"/>
  <c r="L199" i="4"/>
  <c r="Q243" i="5"/>
  <c r="M199" i="4"/>
  <c r="R243" i="5"/>
  <c r="T243" i="5"/>
  <c r="O199" i="4"/>
  <c r="U243" i="5"/>
  <c r="P199" i="4"/>
  <c r="W243" i="5"/>
  <c r="Q199" i="4"/>
  <c r="X243" i="5"/>
  <c r="AA243" i="5"/>
  <c r="AI199" i="4"/>
  <c r="T199" i="4" a="1"/>
  <c r="T199" i="4"/>
  <c r="AC243" i="5"/>
  <c r="U199" i="4" a="1"/>
  <c r="U199" i="4"/>
  <c r="AD243" i="5"/>
  <c r="AI243" i="5"/>
  <c r="Y199" i="4"/>
  <c r="AJ243" i="5"/>
  <c r="Z199" i="4"/>
  <c r="AL243" i="5"/>
  <c r="F243" i="5"/>
  <c r="H243" i="5"/>
  <c r="I243" i="5"/>
  <c r="L243" i="5"/>
  <c r="N243" i="5"/>
  <c r="O243" i="5"/>
  <c r="Z243" i="5"/>
  <c r="AN243" i="5"/>
  <c r="AG244" i="5"/>
  <c r="AF244" i="5"/>
  <c r="B200" i="4"/>
  <c r="C200" i="4"/>
  <c r="C244" i="5"/>
  <c r="D200" i="4"/>
  <c r="E244" i="5"/>
  <c r="H200" i="4"/>
  <c r="K244" i="5"/>
  <c r="L200" i="4"/>
  <c r="Q244" i="5"/>
  <c r="M200" i="4"/>
  <c r="R244" i="5"/>
  <c r="T244" i="5"/>
  <c r="O200" i="4"/>
  <c r="U244" i="5"/>
  <c r="P200" i="4"/>
  <c r="W244" i="5"/>
  <c r="Q200" i="4"/>
  <c r="X244" i="5"/>
  <c r="AA244" i="5"/>
  <c r="AI200" i="4"/>
  <c r="T200" i="4" a="1"/>
  <c r="T200" i="4"/>
  <c r="AC244" i="5"/>
  <c r="U200" i="4" a="1"/>
  <c r="U200" i="4"/>
  <c r="AD244" i="5"/>
  <c r="AI244" i="5"/>
  <c r="Y200" i="4"/>
  <c r="AJ244" i="5"/>
  <c r="Z200" i="4"/>
  <c r="AL244" i="5"/>
  <c r="F244" i="5"/>
  <c r="H244" i="5"/>
  <c r="I244" i="5"/>
  <c r="L244" i="5"/>
  <c r="N244" i="5"/>
  <c r="O244" i="5"/>
  <c r="Z244" i="5"/>
  <c r="AN244" i="5"/>
  <c r="AG245" i="5"/>
  <c r="AF245" i="5"/>
  <c r="B165" i="4"/>
  <c r="C165" i="4"/>
  <c r="C245" i="5"/>
  <c r="D165" i="4"/>
  <c r="E245" i="5"/>
  <c r="H165" i="4"/>
  <c r="K245" i="5"/>
  <c r="L165" i="4"/>
  <c r="Q245" i="5"/>
  <c r="M165" i="4"/>
  <c r="R245" i="5"/>
  <c r="T245" i="5"/>
  <c r="U245" i="5"/>
  <c r="P165" i="4"/>
  <c r="W245" i="5"/>
  <c r="Q165" i="4"/>
  <c r="X245" i="5"/>
  <c r="AA245" i="5"/>
  <c r="AI165" i="4"/>
  <c r="T165" i="4" a="1"/>
  <c r="T165" i="4"/>
  <c r="AC245" i="5"/>
  <c r="U165" i="4" a="1"/>
  <c r="U165" i="4"/>
  <c r="AD245" i="5"/>
  <c r="X165" i="4"/>
  <c r="AI245" i="5"/>
  <c r="Y165" i="4"/>
  <c r="AJ245" i="5"/>
  <c r="Z165" i="4"/>
  <c r="AL245" i="5"/>
  <c r="F245" i="5"/>
  <c r="H245" i="5"/>
  <c r="I245" i="5"/>
  <c r="L245" i="5"/>
  <c r="N245" i="5"/>
  <c r="O245" i="5"/>
  <c r="Z245" i="5"/>
  <c r="AN245" i="5"/>
  <c r="AG246" i="5"/>
  <c r="AF246" i="5"/>
  <c r="B166" i="4"/>
  <c r="C166" i="4"/>
  <c r="C246" i="5"/>
  <c r="D166" i="4"/>
  <c r="E246" i="5"/>
  <c r="H166" i="4"/>
  <c r="K246" i="5"/>
  <c r="L166" i="4"/>
  <c r="Q246" i="5"/>
  <c r="M166" i="4"/>
  <c r="R246" i="5"/>
  <c r="T246" i="5"/>
  <c r="U246" i="5"/>
  <c r="P166" i="4"/>
  <c r="W246" i="5"/>
  <c r="Q166" i="4"/>
  <c r="X246" i="5"/>
  <c r="AA246" i="5"/>
  <c r="AI166" i="4"/>
  <c r="T166" i="4" a="1"/>
  <c r="T166" i="4"/>
  <c r="AC246" i="5"/>
  <c r="U166" i="4" a="1"/>
  <c r="U166" i="4"/>
  <c r="AD246" i="5"/>
  <c r="X166" i="4"/>
  <c r="AI246" i="5"/>
  <c r="Y166" i="4"/>
  <c r="AJ246" i="5"/>
  <c r="Z166" i="4"/>
  <c r="AL246" i="5"/>
  <c r="F246" i="5"/>
  <c r="H246" i="5"/>
  <c r="I246" i="5"/>
  <c r="L246" i="5"/>
  <c r="N246" i="5"/>
  <c r="O246" i="5"/>
  <c r="Z246" i="5"/>
  <c r="AN246" i="5"/>
  <c r="AG247" i="5"/>
  <c r="AF247" i="5"/>
  <c r="B167" i="4"/>
  <c r="C167" i="4"/>
  <c r="C247" i="5"/>
  <c r="D167" i="4"/>
  <c r="E247" i="5"/>
  <c r="H167" i="4"/>
  <c r="K247" i="5"/>
  <c r="L167" i="4"/>
  <c r="Q247" i="5"/>
  <c r="M167" i="4"/>
  <c r="R247" i="5"/>
  <c r="T247" i="5"/>
  <c r="U247" i="5"/>
  <c r="P167" i="4"/>
  <c r="W247" i="5"/>
  <c r="Q167" i="4"/>
  <c r="X247" i="5"/>
  <c r="AA247" i="5"/>
  <c r="AI167" i="4"/>
  <c r="T167" i="4" a="1"/>
  <c r="T167" i="4"/>
  <c r="AC247" i="5"/>
  <c r="U167" i="4" a="1"/>
  <c r="U167" i="4"/>
  <c r="AD247" i="5"/>
  <c r="X167" i="4"/>
  <c r="AI247" i="5"/>
  <c r="Y167" i="4"/>
  <c r="AJ247" i="5"/>
  <c r="Z167" i="4"/>
  <c r="AL247" i="5"/>
  <c r="F247" i="5"/>
  <c r="H247" i="5"/>
  <c r="I247" i="5"/>
  <c r="L247" i="5"/>
  <c r="N247" i="5"/>
  <c r="O247" i="5"/>
  <c r="Z247" i="5"/>
  <c r="AN247" i="5"/>
  <c r="AG248" i="5"/>
  <c r="AF248" i="5"/>
  <c r="C168" i="4"/>
  <c r="C248" i="5"/>
  <c r="D168" i="4"/>
  <c r="E248" i="5"/>
  <c r="K248" i="5"/>
  <c r="L168" i="4"/>
  <c r="Q248" i="5"/>
  <c r="M168" i="4"/>
  <c r="R248" i="5"/>
  <c r="T248" i="5"/>
  <c r="U248" i="5"/>
  <c r="P168" i="4"/>
  <c r="W248" i="5"/>
  <c r="Q168" i="4"/>
  <c r="X248" i="5"/>
  <c r="AA248" i="5"/>
  <c r="AI168" i="4"/>
  <c r="T168" i="4" a="1"/>
  <c r="T168" i="4"/>
  <c r="AC248" i="5"/>
  <c r="U168" i="4" a="1"/>
  <c r="U168" i="4"/>
  <c r="AD248" i="5"/>
  <c r="X168" i="4"/>
  <c r="AI248" i="5"/>
  <c r="Y168" i="4"/>
  <c r="AJ248" i="5"/>
  <c r="Z168" i="4"/>
  <c r="AL248" i="5"/>
  <c r="F248" i="5"/>
  <c r="H248" i="5"/>
  <c r="I248" i="5"/>
  <c r="L248" i="5"/>
  <c r="N248" i="5"/>
  <c r="O248" i="5"/>
  <c r="Z248" i="5"/>
  <c r="AN248" i="5"/>
  <c r="AG249" i="5"/>
  <c r="AF249" i="5"/>
  <c r="B201" i="4"/>
  <c r="C201" i="4"/>
  <c r="C249" i="5"/>
  <c r="D201" i="4"/>
  <c r="E249" i="5"/>
  <c r="H201" i="4"/>
  <c r="K249" i="5"/>
  <c r="L201" i="4"/>
  <c r="Q249" i="5"/>
  <c r="M201" i="4"/>
  <c r="R249" i="5"/>
  <c r="T249" i="5"/>
  <c r="O201" i="4"/>
  <c r="U249" i="5"/>
  <c r="P201" i="4"/>
  <c r="W249" i="5"/>
  <c r="Q201" i="4"/>
  <c r="X249" i="5"/>
  <c r="S201" i="4"/>
  <c r="AA249" i="5"/>
  <c r="AI201" i="4"/>
  <c r="T201" i="4" a="1"/>
  <c r="T201" i="4"/>
  <c r="AC249" i="5"/>
  <c r="U201" i="4" a="1"/>
  <c r="U201" i="4"/>
  <c r="AD249" i="5"/>
  <c r="X201" i="4"/>
  <c r="AI249" i="5"/>
  <c r="Y201" i="4"/>
  <c r="AJ249" i="5"/>
  <c r="Z201" i="4"/>
  <c r="AL249" i="5"/>
  <c r="F249" i="5"/>
  <c r="H249" i="5"/>
  <c r="I249" i="5"/>
  <c r="L249" i="5"/>
  <c r="N249" i="5"/>
  <c r="O249" i="5"/>
  <c r="Z249" i="5"/>
  <c r="AN249" i="5"/>
  <c r="AG250" i="5"/>
  <c r="AF250" i="5"/>
  <c r="B75" i="4"/>
  <c r="C75" i="4"/>
  <c r="C250" i="5"/>
  <c r="D75" i="4"/>
  <c r="E250" i="5"/>
  <c r="H75" i="4"/>
  <c r="K250" i="5"/>
  <c r="L75" i="4"/>
  <c r="Q250" i="5"/>
  <c r="M75" i="4"/>
  <c r="R250" i="5"/>
  <c r="T250" i="5"/>
  <c r="O75" i="4"/>
  <c r="U250" i="5"/>
  <c r="P75" i="4"/>
  <c r="W250" i="5"/>
  <c r="Q75" i="4"/>
  <c r="X250" i="5"/>
  <c r="S75" i="4"/>
  <c r="AA250" i="5"/>
  <c r="AI75" i="4"/>
  <c r="T75" i="4" a="1"/>
  <c r="T75" i="4"/>
  <c r="AC250" i="5"/>
  <c r="U75" i="4" a="1"/>
  <c r="U75" i="4"/>
  <c r="AD250" i="5"/>
  <c r="X75" i="4"/>
  <c r="AI250" i="5"/>
  <c r="Y75" i="4"/>
  <c r="AJ250" i="5"/>
  <c r="Z75" i="4"/>
  <c r="AL250" i="5"/>
  <c r="F250" i="5"/>
  <c r="H250" i="5"/>
  <c r="I250" i="5"/>
  <c r="L250" i="5"/>
  <c r="N250" i="5"/>
  <c r="O250" i="5"/>
  <c r="Z250" i="5"/>
  <c r="AN250" i="5"/>
  <c r="AG251" i="5"/>
  <c r="AF251" i="5"/>
  <c r="B204" i="4"/>
  <c r="C204" i="4"/>
  <c r="C251" i="5"/>
  <c r="D204" i="4"/>
  <c r="E251" i="5"/>
  <c r="K251" i="5"/>
  <c r="L204" i="4"/>
  <c r="Q251" i="5"/>
  <c r="M204" i="4"/>
  <c r="R251" i="5"/>
  <c r="T251" i="5"/>
  <c r="O204" i="4"/>
  <c r="U251" i="5"/>
  <c r="P204" i="4"/>
  <c r="W251" i="5"/>
  <c r="Q204" i="4"/>
  <c r="X251" i="5"/>
  <c r="S204" i="4"/>
  <c r="AA251" i="5"/>
  <c r="AI204" i="4"/>
  <c r="T204" i="4" a="1"/>
  <c r="T204" i="4"/>
  <c r="AC251" i="5"/>
  <c r="U204" i="4" a="1"/>
  <c r="U204" i="4"/>
  <c r="AD251" i="5"/>
  <c r="X204" i="4"/>
  <c r="AI251" i="5"/>
  <c r="Y204" i="4"/>
  <c r="AJ251" i="5"/>
  <c r="Z204" i="4"/>
  <c r="AL251" i="5"/>
  <c r="F251" i="5"/>
  <c r="H251" i="5"/>
  <c r="I251" i="5"/>
  <c r="L251" i="5"/>
  <c r="N251" i="5"/>
  <c r="O251" i="5"/>
  <c r="Z251" i="5"/>
  <c r="AN251" i="5"/>
  <c r="AG252" i="5"/>
  <c r="AF252" i="5"/>
  <c r="B25" i="4"/>
  <c r="C25" i="4"/>
  <c r="C252" i="5"/>
  <c r="D25" i="4"/>
  <c r="E252" i="5"/>
  <c r="K252" i="5"/>
  <c r="L25" i="4"/>
  <c r="Q252" i="5"/>
  <c r="M25" i="4"/>
  <c r="R252" i="5"/>
  <c r="T252" i="5"/>
  <c r="U252" i="5"/>
  <c r="P25" i="4"/>
  <c r="W252" i="5"/>
  <c r="Q25" i="4"/>
  <c r="X252" i="5"/>
  <c r="AA252" i="5"/>
  <c r="AI25" i="4"/>
  <c r="T25" i="4" a="1"/>
  <c r="T25" i="4"/>
  <c r="AC252" i="5"/>
  <c r="U25" i="4" a="1"/>
  <c r="U25" i="4"/>
  <c r="AD252" i="5"/>
  <c r="X25" i="4"/>
  <c r="AI252" i="5"/>
  <c r="Y25" i="4"/>
  <c r="AJ252" i="5"/>
  <c r="Z25" i="4"/>
  <c r="AL252" i="5"/>
  <c r="F252" i="5"/>
  <c r="H252" i="5"/>
  <c r="I252" i="5"/>
  <c r="L252" i="5"/>
  <c r="N252" i="5"/>
  <c r="O252" i="5"/>
  <c r="Z252" i="5"/>
  <c r="AN252" i="5"/>
  <c r="O253" i="5"/>
  <c r="K253" i="5"/>
  <c r="AG253" i="5"/>
  <c r="AF253" i="5"/>
  <c r="B235" i="4"/>
  <c r="C235" i="4"/>
  <c r="C253" i="5"/>
  <c r="D235" i="4"/>
  <c r="E253" i="5"/>
  <c r="I235" i="4"/>
  <c r="L253" i="5"/>
  <c r="J235" i="4"/>
  <c r="N253" i="5"/>
  <c r="L235" i="4"/>
  <c r="Q253" i="5"/>
  <c r="M235" i="4"/>
  <c r="R253" i="5"/>
  <c r="T253" i="5"/>
  <c r="U253" i="5"/>
  <c r="P235" i="4"/>
  <c r="W253" i="5"/>
  <c r="Q235" i="4"/>
  <c r="X253" i="5"/>
  <c r="S235" i="4"/>
  <c r="AA253" i="5"/>
  <c r="AI235" i="4"/>
  <c r="T235" i="4" a="1"/>
  <c r="T235" i="4"/>
  <c r="AC253" i="5"/>
  <c r="U235" i="4" a="1"/>
  <c r="U235" i="4"/>
  <c r="AD253" i="5"/>
  <c r="X235" i="4"/>
  <c r="AI253" i="5"/>
  <c r="Y235" i="4"/>
  <c r="AJ253" i="5"/>
  <c r="Z235" i="4"/>
  <c r="AL253" i="5"/>
  <c r="F253" i="5"/>
  <c r="H253" i="5"/>
  <c r="I253" i="5"/>
  <c r="Z253" i="5"/>
  <c r="AN253" i="5"/>
  <c r="AG254" i="5"/>
  <c r="AF254" i="5"/>
  <c r="C10" i="4"/>
  <c r="C254" i="5"/>
  <c r="T254" i="5"/>
  <c r="U254" i="5"/>
  <c r="P10" i="4"/>
  <c r="W254" i="5"/>
  <c r="Q10" i="4"/>
  <c r="X254" i="5"/>
  <c r="AA254" i="5"/>
  <c r="AI10" i="4"/>
  <c r="T10" i="4" a="1"/>
  <c r="T10" i="4"/>
  <c r="AC254" i="5"/>
  <c r="U10" i="4" a="1"/>
  <c r="U10" i="4"/>
  <c r="AD254" i="5"/>
  <c r="X10" i="4"/>
  <c r="AI254" i="5"/>
  <c r="Y10" i="4"/>
  <c r="AJ254" i="5"/>
  <c r="Z10" i="4"/>
  <c r="AL254" i="5"/>
  <c r="Z254" i="5"/>
  <c r="AN254" i="5"/>
  <c r="O255" i="5"/>
  <c r="B11" i="4"/>
  <c r="H11" i="4"/>
  <c r="K255" i="5"/>
  <c r="AG255" i="5"/>
  <c r="AF255" i="5"/>
  <c r="C11" i="4"/>
  <c r="C255" i="5"/>
  <c r="D11" i="4"/>
  <c r="E255" i="5"/>
  <c r="I11" i="4"/>
  <c r="L255" i="5"/>
  <c r="J11" i="4"/>
  <c r="N255" i="5"/>
  <c r="L11" i="4"/>
  <c r="Q255" i="5"/>
  <c r="M11" i="4"/>
  <c r="R255" i="5"/>
  <c r="T255" i="5"/>
  <c r="O11" i="4"/>
  <c r="U255" i="5"/>
  <c r="P11" i="4"/>
  <c r="W255" i="5"/>
  <c r="Q11" i="4"/>
  <c r="X255" i="5"/>
  <c r="AA255" i="5"/>
  <c r="AI11" i="4"/>
  <c r="T11" i="4" a="1"/>
  <c r="T11" i="4"/>
  <c r="AC255" i="5"/>
  <c r="U11" i="4" a="1"/>
  <c r="U11" i="4"/>
  <c r="AD255" i="5"/>
  <c r="X11" i="4"/>
  <c r="AI255" i="5"/>
  <c r="Y11" i="4"/>
  <c r="AJ255" i="5"/>
  <c r="Z11" i="4"/>
  <c r="AL255" i="5"/>
  <c r="F255" i="5"/>
  <c r="H255" i="5"/>
  <c r="I255" i="5"/>
  <c r="Z255" i="5"/>
  <c r="AN255" i="5"/>
  <c r="AG256" i="5"/>
  <c r="AF256" i="5"/>
  <c r="B116" i="4"/>
  <c r="C116" i="4"/>
  <c r="C256" i="5"/>
  <c r="D116" i="4"/>
  <c r="E256" i="5"/>
  <c r="H116" i="4"/>
  <c r="K256" i="5"/>
  <c r="L116" i="4"/>
  <c r="Q256" i="5"/>
  <c r="M116" i="4"/>
  <c r="R256" i="5"/>
  <c r="T256" i="5"/>
  <c r="O116" i="4"/>
  <c r="U256" i="5"/>
  <c r="W256" i="5"/>
  <c r="Q116" i="4"/>
  <c r="X256" i="5"/>
  <c r="AA256" i="5"/>
  <c r="AI116" i="4"/>
  <c r="T116" i="4" a="1"/>
  <c r="T116" i="4"/>
  <c r="AC256" i="5"/>
  <c r="U116" i="4" a="1"/>
  <c r="U116" i="4"/>
  <c r="AD256" i="5"/>
  <c r="X116" i="4"/>
  <c r="AI256" i="5"/>
  <c r="Y116" i="4"/>
  <c r="AJ256" i="5"/>
  <c r="Z116" i="4"/>
  <c r="AL256" i="5"/>
  <c r="F256" i="5"/>
  <c r="H256" i="5"/>
  <c r="I256" i="5"/>
  <c r="L256" i="5"/>
  <c r="N256" i="5"/>
  <c r="O256" i="5"/>
  <c r="Z256" i="5"/>
  <c r="AN256" i="5"/>
  <c r="AG257" i="5"/>
  <c r="AF257" i="5"/>
  <c r="B57" i="4"/>
  <c r="C57" i="4"/>
  <c r="C257" i="5"/>
  <c r="D57" i="4"/>
  <c r="E257" i="5"/>
  <c r="K257" i="5"/>
  <c r="L57" i="4"/>
  <c r="Q257" i="5"/>
  <c r="M57" i="4"/>
  <c r="R257" i="5"/>
  <c r="T257" i="5"/>
  <c r="U257" i="5"/>
  <c r="W257" i="5"/>
  <c r="Q57" i="4"/>
  <c r="X257" i="5"/>
  <c r="AA257" i="5"/>
  <c r="AI57" i="4"/>
  <c r="T57" i="4" a="1"/>
  <c r="T57" i="4"/>
  <c r="AC257" i="5"/>
  <c r="U57" i="4" a="1"/>
  <c r="U57" i="4"/>
  <c r="AD257" i="5"/>
  <c r="X57" i="4"/>
  <c r="AI257" i="5"/>
  <c r="Y57" i="4"/>
  <c r="AJ257" i="5"/>
  <c r="Z57" i="4"/>
  <c r="AL257" i="5"/>
  <c r="F257" i="5"/>
  <c r="H257" i="5"/>
  <c r="I257" i="5"/>
  <c r="L257" i="5"/>
  <c r="N257" i="5"/>
  <c r="O257" i="5"/>
  <c r="Z257" i="5"/>
  <c r="AN257" i="5"/>
  <c r="AG258" i="5"/>
  <c r="AF258" i="5"/>
  <c r="B158" i="4"/>
  <c r="C158" i="4"/>
  <c r="C258" i="5"/>
  <c r="D158" i="4"/>
  <c r="E258" i="5"/>
  <c r="H158" i="4"/>
  <c r="K258" i="5"/>
  <c r="L158" i="4"/>
  <c r="Q258" i="5"/>
  <c r="M158" i="4"/>
  <c r="R258" i="5"/>
  <c r="T258" i="5"/>
  <c r="O158" i="4"/>
  <c r="U258" i="5"/>
  <c r="P158" i="4"/>
  <c r="W258" i="5"/>
  <c r="Q158" i="4"/>
  <c r="X258" i="5"/>
  <c r="S158" i="4"/>
  <c r="AA258" i="5"/>
  <c r="AI158" i="4"/>
  <c r="T158" i="4" a="1"/>
  <c r="T158" i="4"/>
  <c r="AC258" i="5"/>
  <c r="U158" i="4" a="1"/>
  <c r="U158" i="4"/>
  <c r="AD258" i="5"/>
  <c r="X158" i="4"/>
  <c r="AI258" i="5"/>
  <c r="Y158" i="4"/>
  <c r="AJ258" i="5"/>
  <c r="Z158" i="4"/>
  <c r="AL258" i="5"/>
  <c r="F258" i="5"/>
  <c r="H258" i="5"/>
  <c r="I258" i="5"/>
  <c r="L258" i="5"/>
  <c r="N258" i="5"/>
  <c r="O258" i="5"/>
  <c r="Z258" i="5"/>
  <c r="AN258" i="5"/>
  <c r="AG259" i="5"/>
  <c r="AF259" i="5"/>
  <c r="B209" i="4"/>
  <c r="C209" i="4"/>
  <c r="C259" i="5"/>
  <c r="D209" i="4"/>
  <c r="E259" i="5"/>
  <c r="K259" i="5"/>
  <c r="L209" i="4"/>
  <c r="Q259" i="5"/>
  <c r="M209" i="4"/>
  <c r="R259" i="5"/>
  <c r="T259" i="5"/>
  <c r="U259" i="5"/>
  <c r="P209" i="4"/>
  <c r="W259" i="5"/>
  <c r="Q209" i="4"/>
  <c r="X259" i="5"/>
  <c r="S209" i="4"/>
  <c r="AA259" i="5"/>
  <c r="AI209" i="4"/>
  <c r="T209" i="4" a="1"/>
  <c r="T209" i="4"/>
  <c r="AC259" i="5"/>
  <c r="U209" i="4" a="1"/>
  <c r="U209" i="4"/>
  <c r="AD259" i="5"/>
  <c r="X209" i="4"/>
  <c r="AI259" i="5"/>
  <c r="Y209" i="4"/>
  <c r="AJ259" i="5"/>
  <c r="Z209" i="4"/>
  <c r="AL259" i="5"/>
  <c r="F259" i="5"/>
  <c r="H259" i="5"/>
  <c r="I259" i="5"/>
  <c r="L259" i="5"/>
  <c r="N259" i="5"/>
  <c r="O259" i="5"/>
  <c r="Z259" i="5"/>
  <c r="AN259" i="5"/>
  <c r="AG260" i="5"/>
  <c r="AF260" i="5"/>
  <c r="C137" i="4"/>
  <c r="C260" i="5"/>
  <c r="T260" i="5"/>
  <c r="U260" i="5"/>
  <c r="P137" i="4"/>
  <c r="W260" i="5"/>
  <c r="Q137" i="4"/>
  <c r="X260" i="5"/>
  <c r="S137" i="4"/>
  <c r="AA260" i="5"/>
  <c r="AI137" i="4"/>
  <c r="T137" i="4" a="1"/>
  <c r="T137" i="4"/>
  <c r="AC260" i="5"/>
  <c r="U137" i="4" a="1"/>
  <c r="U137" i="4"/>
  <c r="AD260" i="5"/>
  <c r="X137" i="4"/>
  <c r="AI260" i="5"/>
  <c r="Y137" i="4"/>
  <c r="AJ260" i="5"/>
  <c r="Z137" i="4"/>
  <c r="AL260" i="5"/>
  <c r="F260" i="5"/>
  <c r="H260" i="5"/>
  <c r="I260" i="5"/>
  <c r="L260" i="5"/>
  <c r="N260" i="5"/>
  <c r="O260" i="5"/>
  <c r="Z260" i="5"/>
  <c r="AN260" i="5"/>
  <c r="AG261" i="5"/>
  <c r="AF261" i="5"/>
  <c r="B179" i="4"/>
  <c r="C179" i="4"/>
  <c r="C261" i="5"/>
  <c r="D179" i="4"/>
  <c r="E261" i="5"/>
  <c r="K261" i="5"/>
  <c r="L179" i="4"/>
  <c r="Q261" i="5"/>
  <c r="M179" i="4"/>
  <c r="R261" i="5"/>
  <c r="N179" i="4"/>
  <c r="T261" i="5"/>
  <c r="O179" i="4"/>
  <c r="U261" i="5"/>
  <c r="P179" i="4"/>
  <c r="W261" i="5"/>
  <c r="Q179" i="4"/>
  <c r="X261" i="5"/>
  <c r="S179" i="4"/>
  <c r="AA261" i="5"/>
  <c r="X179" i="4"/>
  <c r="AI261" i="5"/>
  <c r="Y179" i="4"/>
  <c r="AJ261" i="5"/>
  <c r="Z179" i="4"/>
  <c r="AL261" i="5"/>
  <c r="F261" i="5"/>
  <c r="H261" i="5"/>
  <c r="I261" i="5"/>
  <c r="L261" i="5"/>
  <c r="N261" i="5"/>
  <c r="O261" i="5"/>
  <c r="Z261" i="5"/>
  <c r="AN261" i="5"/>
  <c r="AG262" i="5"/>
  <c r="AF262" i="5"/>
  <c r="C61" i="4"/>
  <c r="C262" i="5"/>
  <c r="D61" i="4"/>
  <c r="E262" i="5"/>
  <c r="K262" i="5"/>
  <c r="L61" i="4"/>
  <c r="Q262" i="5"/>
  <c r="M61" i="4"/>
  <c r="R262" i="5"/>
  <c r="T262" i="5"/>
  <c r="U262" i="5"/>
  <c r="P61" i="4"/>
  <c r="W262" i="5"/>
  <c r="Q61" i="4"/>
  <c r="X262" i="5"/>
  <c r="S61" i="4"/>
  <c r="AA262" i="5"/>
  <c r="AI61" i="4"/>
  <c r="T61" i="4" a="1"/>
  <c r="T61" i="4"/>
  <c r="AC262" i="5"/>
  <c r="U61" i="4" a="1"/>
  <c r="U61" i="4"/>
  <c r="AD262" i="5"/>
  <c r="X61" i="4"/>
  <c r="AI262" i="5"/>
  <c r="Y61" i="4"/>
  <c r="AJ262" i="5"/>
  <c r="Z61" i="4"/>
  <c r="AL262" i="5"/>
  <c r="F262" i="5"/>
  <c r="H262" i="5"/>
  <c r="I262" i="5"/>
  <c r="L262" i="5"/>
  <c r="N262" i="5"/>
  <c r="O262" i="5"/>
  <c r="Z262" i="5"/>
  <c r="AN262" i="5"/>
  <c r="AG263" i="5"/>
  <c r="AF263" i="5"/>
  <c r="C12" i="4"/>
  <c r="C263" i="5"/>
  <c r="N12" i="4"/>
  <c r="T263" i="5"/>
  <c r="O12" i="4"/>
  <c r="U263" i="5"/>
  <c r="P12" i="4"/>
  <c r="W263" i="5"/>
  <c r="Q12" i="4"/>
  <c r="X263" i="5"/>
  <c r="AA263" i="5"/>
  <c r="AI12" i="4"/>
  <c r="T12" i="4" a="1"/>
  <c r="T12" i="4"/>
  <c r="AC263" i="5"/>
  <c r="U12" i="4" a="1"/>
  <c r="U12" i="4"/>
  <c r="AD263" i="5"/>
  <c r="X12" i="4"/>
  <c r="AI263" i="5"/>
  <c r="Y12" i="4"/>
  <c r="AJ263" i="5"/>
  <c r="Z12" i="4"/>
  <c r="AL263" i="5"/>
  <c r="F263" i="5"/>
  <c r="H263" i="5"/>
  <c r="I263" i="5"/>
  <c r="L263" i="5"/>
  <c r="N263" i="5"/>
  <c r="O263" i="5"/>
  <c r="Z263" i="5"/>
  <c r="AN263" i="5"/>
  <c r="O264" i="5"/>
  <c r="K264" i="5"/>
  <c r="AG264" i="5"/>
  <c r="AF264" i="5"/>
  <c r="B27" i="4"/>
  <c r="C27" i="4"/>
  <c r="C264" i="5"/>
  <c r="D27" i="4"/>
  <c r="E264" i="5"/>
  <c r="E27" i="4"/>
  <c r="F264" i="5"/>
  <c r="F27" i="4"/>
  <c r="H264" i="5"/>
  <c r="I264" i="5"/>
  <c r="I27" i="4"/>
  <c r="L264" i="5"/>
  <c r="J27" i="4"/>
  <c r="N264" i="5"/>
  <c r="L27" i="4"/>
  <c r="Q264" i="5"/>
  <c r="M27" i="4"/>
  <c r="R264" i="5"/>
  <c r="N27" i="4"/>
  <c r="T264" i="5"/>
  <c r="U264" i="5"/>
  <c r="P27" i="4"/>
  <c r="W264" i="5"/>
  <c r="Q27" i="4"/>
  <c r="X264" i="5"/>
  <c r="AA264" i="5"/>
  <c r="AI27" i="4"/>
  <c r="T27" i="4" a="1"/>
  <c r="T27" i="4"/>
  <c r="AC264" i="5"/>
  <c r="U27" i="4" a="1"/>
  <c r="U27" i="4"/>
  <c r="AD264" i="5"/>
  <c r="AI264" i="5"/>
  <c r="Y27" i="4"/>
  <c r="AJ264" i="5"/>
  <c r="Z27" i="4"/>
  <c r="AL264" i="5"/>
  <c r="Z264" i="5"/>
  <c r="AN264" i="5"/>
  <c r="AG265" i="5"/>
  <c r="AF265" i="5"/>
  <c r="B219" i="4"/>
  <c r="C219" i="4"/>
  <c r="C265" i="5"/>
  <c r="D219" i="4"/>
  <c r="E265" i="5"/>
  <c r="H219" i="4"/>
  <c r="K265" i="5"/>
  <c r="I219" i="4"/>
  <c r="L265" i="5"/>
  <c r="J219" i="4"/>
  <c r="N265" i="5"/>
  <c r="O265" i="5"/>
  <c r="L219" i="4"/>
  <c r="Q265" i="5"/>
  <c r="M219" i="4"/>
  <c r="R265" i="5"/>
  <c r="N219" i="4"/>
  <c r="T265" i="5"/>
  <c r="O219" i="4"/>
  <c r="U265" i="5"/>
  <c r="P219" i="4"/>
  <c r="W265" i="5"/>
  <c r="Q219" i="4"/>
  <c r="X265" i="5"/>
  <c r="S219" i="4"/>
  <c r="AA265" i="5"/>
  <c r="AI219" i="4"/>
  <c r="T219" i="4" a="1"/>
  <c r="T219" i="4"/>
  <c r="AC265" i="5"/>
  <c r="U219" i="4" a="1"/>
  <c r="U219" i="4"/>
  <c r="AD265" i="5"/>
  <c r="X219" i="4"/>
  <c r="AI265" i="5"/>
  <c r="Y219" i="4"/>
  <c r="AJ265" i="5"/>
  <c r="Z219" i="4"/>
  <c r="AL265" i="5"/>
  <c r="F265" i="5"/>
  <c r="H265" i="5"/>
  <c r="I265" i="5"/>
  <c r="Z265" i="5"/>
  <c r="AN265" i="5"/>
  <c r="AG266" i="5"/>
  <c r="AF266" i="5"/>
  <c r="B102" i="4"/>
  <c r="C102" i="4"/>
  <c r="C266" i="5"/>
  <c r="D102" i="4"/>
  <c r="E266" i="5"/>
  <c r="K266" i="5"/>
  <c r="I102" i="4"/>
  <c r="L266" i="5"/>
  <c r="J102" i="4"/>
  <c r="N266" i="5"/>
  <c r="O266" i="5"/>
  <c r="L102" i="4"/>
  <c r="Q266" i="5"/>
  <c r="M102" i="4"/>
  <c r="R266" i="5"/>
  <c r="N102" i="4"/>
  <c r="T266" i="5"/>
  <c r="U266" i="5"/>
  <c r="P102" i="4"/>
  <c r="W266" i="5"/>
  <c r="Q102" i="4"/>
  <c r="X266" i="5"/>
  <c r="S102" i="4"/>
  <c r="AA266" i="5"/>
  <c r="AI102" i="4"/>
  <c r="T102" i="4" a="1"/>
  <c r="T102" i="4"/>
  <c r="AC266" i="5"/>
  <c r="U102" i="4" a="1"/>
  <c r="U102" i="4"/>
  <c r="AD266" i="5"/>
  <c r="X102" i="4"/>
  <c r="AI266" i="5"/>
  <c r="Y102" i="4"/>
  <c r="AJ266" i="5"/>
  <c r="Z102" i="4"/>
  <c r="AL266" i="5"/>
  <c r="F266" i="5"/>
  <c r="H266" i="5"/>
  <c r="I266" i="5"/>
  <c r="Z266" i="5"/>
  <c r="AN266" i="5"/>
  <c r="AG267" i="5"/>
  <c r="AF267" i="5"/>
  <c r="B176" i="4"/>
  <c r="C176" i="4"/>
  <c r="C267" i="5"/>
  <c r="D176" i="4"/>
  <c r="E267" i="5"/>
  <c r="K267" i="5"/>
  <c r="L176" i="4"/>
  <c r="Q267" i="5"/>
  <c r="M176" i="4"/>
  <c r="R267" i="5"/>
  <c r="N176" i="4"/>
  <c r="T267" i="5"/>
  <c r="U267" i="5"/>
  <c r="P176" i="4"/>
  <c r="W267" i="5"/>
  <c r="Q176" i="4"/>
  <c r="X267" i="5"/>
  <c r="S176" i="4"/>
  <c r="AA267" i="5"/>
  <c r="AI176" i="4"/>
  <c r="T176" i="4" a="1"/>
  <c r="T176" i="4"/>
  <c r="AC267" i="5"/>
  <c r="U176" i="4" a="1"/>
  <c r="U176" i="4"/>
  <c r="AD267" i="5"/>
  <c r="X176" i="4"/>
  <c r="AI267" i="5"/>
  <c r="Y176" i="4"/>
  <c r="AJ267" i="5"/>
  <c r="Z176" i="4"/>
  <c r="AL267" i="5"/>
  <c r="F267" i="5"/>
  <c r="L267" i="5"/>
  <c r="N267" i="5"/>
  <c r="O267" i="5"/>
  <c r="H267" i="5"/>
  <c r="I267" i="5"/>
  <c r="Z267" i="5"/>
  <c r="AN267" i="5"/>
  <c r="AG268" i="5"/>
  <c r="AF268" i="5"/>
  <c r="B29" i="4"/>
  <c r="C29" i="4"/>
  <c r="C268" i="5"/>
  <c r="D29" i="4"/>
  <c r="E268" i="5"/>
  <c r="E29" i="4"/>
  <c r="F268" i="5"/>
  <c r="F29" i="4"/>
  <c r="H268" i="5"/>
  <c r="I268" i="5"/>
  <c r="H29" i="4"/>
  <c r="K268" i="5"/>
  <c r="L29" i="4"/>
  <c r="Q268" i="5"/>
  <c r="M29" i="4"/>
  <c r="R268" i="5"/>
  <c r="N29" i="4"/>
  <c r="T268" i="5"/>
  <c r="O29" i="4"/>
  <c r="U268" i="5"/>
  <c r="P29" i="4"/>
  <c r="W268" i="5"/>
  <c r="Q29" i="4"/>
  <c r="X268" i="5"/>
  <c r="S29" i="4"/>
  <c r="AA268" i="5"/>
  <c r="AI29" i="4"/>
  <c r="T29" i="4" a="1"/>
  <c r="T29" i="4"/>
  <c r="AC268" i="5"/>
  <c r="U29" i="4" a="1"/>
  <c r="U29" i="4"/>
  <c r="AD268" i="5"/>
  <c r="X29" i="4"/>
  <c r="AI268" i="5"/>
  <c r="Y29" i="4"/>
  <c r="AJ268" i="5"/>
  <c r="Z29" i="4"/>
  <c r="AL268" i="5"/>
  <c r="L268" i="5"/>
  <c r="N268" i="5"/>
  <c r="O268" i="5"/>
  <c r="Z268" i="5"/>
  <c r="AN268" i="5"/>
  <c r="O269" i="5"/>
  <c r="H222" i="4"/>
  <c r="K269" i="5"/>
  <c r="AG269" i="5"/>
  <c r="AF269" i="5"/>
  <c r="C222" i="4"/>
  <c r="C269" i="5"/>
  <c r="D222" i="4"/>
  <c r="E269" i="5"/>
  <c r="I222" i="4"/>
  <c r="L269" i="5"/>
  <c r="J222" i="4"/>
  <c r="N269" i="5"/>
  <c r="L222" i="4"/>
  <c r="Q269" i="5"/>
  <c r="M222" i="4"/>
  <c r="R269" i="5"/>
  <c r="T269" i="5"/>
  <c r="O222" i="4"/>
  <c r="U269" i="5"/>
  <c r="P222" i="4"/>
  <c r="W269" i="5"/>
  <c r="Q222" i="4"/>
  <c r="X269" i="5"/>
  <c r="S222" i="4"/>
  <c r="AA269" i="5"/>
  <c r="AI222" i="4"/>
  <c r="T222" i="4" a="1"/>
  <c r="T222" i="4"/>
  <c r="AC269" i="5"/>
  <c r="U222" i="4" a="1"/>
  <c r="U222" i="4"/>
  <c r="AD269" i="5"/>
  <c r="X222" i="4"/>
  <c r="AI269" i="5"/>
  <c r="Y222" i="4"/>
  <c r="AJ269" i="5"/>
  <c r="Z222" i="4"/>
  <c r="AL269" i="5"/>
  <c r="F269" i="5"/>
  <c r="H269" i="5"/>
  <c r="I269" i="5"/>
  <c r="Z269" i="5"/>
  <c r="AN269" i="5"/>
  <c r="B63" i="4"/>
  <c r="S63" i="4"/>
  <c r="AA270" i="5"/>
  <c r="P63" i="4"/>
  <c r="W270" i="5"/>
  <c r="AG270" i="5"/>
  <c r="AF270" i="5"/>
  <c r="C63" i="4"/>
  <c r="C270" i="5"/>
  <c r="D63" i="4"/>
  <c r="E270" i="5"/>
  <c r="E63" i="4"/>
  <c r="F270" i="5"/>
  <c r="F63" i="4"/>
  <c r="H270" i="5"/>
  <c r="I270" i="5"/>
  <c r="K270" i="5"/>
  <c r="L63" i="4"/>
  <c r="Q270" i="5"/>
  <c r="M63" i="4"/>
  <c r="R270" i="5"/>
  <c r="T270" i="5"/>
  <c r="U270" i="5"/>
  <c r="Q63" i="4"/>
  <c r="X270" i="5"/>
  <c r="R63" i="4"/>
  <c r="Z270" i="5"/>
  <c r="AI63" i="4"/>
  <c r="T63" i="4" a="1"/>
  <c r="T63" i="4"/>
  <c r="AC270" i="5"/>
  <c r="U63" i="4" a="1"/>
  <c r="U63" i="4"/>
  <c r="AD270" i="5"/>
  <c r="X63" i="4"/>
  <c r="AI270" i="5"/>
  <c r="Y63" i="4"/>
  <c r="AJ270" i="5"/>
  <c r="Z63" i="4"/>
  <c r="AL270" i="5"/>
  <c r="L270" i="5"/>
  <c r="N270" i="5"/>
  <c r="O270" i="5"/>
  <c r="AN270" i="5"/>
  <c r="B183" i="4"/>
  <c r="S183" i="4"/>
  <c r="AA271" i="5"/>
  <c r="P183" i="4"/>
  <c r="W271" i="5"/>
  <c r="AG271" i="5"/>
  <c r="AF271" i="5"/>
  <c r="C183" i="4"/>
  <c r="C271" i="5"/>
  <c r="D183" i="4"/>
  <c r="E271" i="5"/>
  <c r="E183" i="4"/>
  <c r="F271" i="5"/>
  <c r="F183" i="4"/>
  <c r="H271" i="5"/>
  <c r="I271" i="5"/>
  <c r="K271" i="5"/>
  <c r="L183" i="4"/>
  <c r="Q271" i="5"/>
  <c r="O183" i="4"/>
  <c r="U271" i="5"/>
  <c r="Q183" i="4"/>
  <c r="X271" i="5"/>
  <c r="R183" i="4"/>
  <c r="Z271" i="5"/>
  <c r="AI183" i="4"/>
  <c r="T183" i="4" a="1"/>
  <c r="T183" i="4"/>
  <c r="AC271" i="5"/>
  <c r="U183" i="4" a="1"/>
  <c r="U183" i="4"/>
  <c r="AD271" i="5"/>
  <c r="X183" i="4"/>
  <c r="AI271" i="5"/>
  <c r="Y183" i="4"/>
  <c r="AJ271" i="5"/>
  <c r="Z183" i="4"/>
  <c r="AL271" i="5"/>
  <c r="L271" i="5"/>
  <c r="N271" i="5"/>
  <c r="O271" i="5"/>
  <c r="R271" i="5"/>
  <c r="AN271" i="5"/>
  <c r="O272" i="5"/>
  <c r="H297" i="4"/>
  <c r="K272" i="5"/>
  <c r="AG272" i="5"/>
  <c r="AF272" i="5"/>
  <c r="C297" i="4"/>
  <c r="C272" i="5"/>
  <c r="D297" i="4"/>
  <c r="E272" i="5"/>
  <c r="E297" i="4"/>
  <c r="F272" i="5"/>
  <c r="F297" i="4"/>
  <c r="H272" i="5"/>
  <c r="I272" i="5"/>
  <c r="I297" i="4"/>
  <c r="L272" i="5"/>
  <c r="J297" i="4"/>
  <c r="N272" i="5"/>
  <c r="L297" i="4"/>
  <c r="Q272" i="5"/>
  <c r="M297" i="4"/>
  <c r="R272" i="5"/>
  <c r="N297" i="4"/>
  <c r="T272" i="5"/>
  <c r="O297" i="4"/>
  <c r="U272" i="5"/>
  <c r="P297" i="4"/>
  <c r="W272" i="5"/>
  <c r="Q297" i="4"/>
  <c r="X272" i="5"/>
  <c r="S297" i="4"/>
  <c r="AA272" i="5"/>
  <c r="AI297" i="4"/>
  <c r="T297" i="4" a="1"/>
  <c r="T297" i="4"/>
  <c r="AC272" i="5"/>
  <c r="U297" i="4" a="1"/>
  <c r="U297" i="4"/>
  <c r="AD272" i="5"/>
  <c r="X297" i="4"/>
  <c r="AI272" i="5"/>
  <c r="Y297" i="4"/>
  <c r="AJ272" i="5"/>
  <c r="Z297" i="4"/>
  <c r="AL272" i="5"/>
  <c r="Z272" i="5"/>
  <c r="AN272" i="5"/>
  <c r="O273" i="5"/>
  <c r="B95" i="4"/>
  <c r="H95" i="4"/>
  <c r="K273" i="5"/>
  <c r="AG273" i="5"/>
  <c r="AF273" i="5"/>
  <c r="C95" i="4"/>
  <c r="C273" i="5"/>
  <c r="D95" i="4"/>
  <c r="E273" i="5"/>
  <c r="E95" i="4"/>
  <c r="F273" i="5"/>
  <c r="F95" i="4"/>
  <c r="H273" i="5"/>
  <c r="I273" i="5"/>
  <c r="I95" i="4"/>
  <c r="L273" i="5"/>
  <c r="J95" i="4"/>
  <c r="N273" i="5"/>
  <c r="L95" i="4"/>
  <c r="Q273" i="5"/>
  <c r="M95" i="4"/>
  <c r="R273" i="5"/>
  <c r="T273" i="5"/>
  <c r="O95" i="4"/>
  <c r="U273" i="5"/>
  <c r="W273" i="5"/>
  <c r="Q95" i="4"/>
  <c r="X273" i="5"/>
  <c r="AA273" i="5"/>
  <c r="AI95" i="4"/>
  <c r="T95" i="4" a="1"/>
  <c r="T95" i="4"/>
  <c r="AC273" i="5"/>
  <c r="U95" i="4" a="1"/>
  <c r="U95" i="4"/>
  <c r="AD273" i="5"/>
  <c r="X95" i="4"/>
  <c r="AI273" i="5"/>
  <c r="Y95" i="4"/>
  <c r="AJ273" i="5"/>
  <c r="Z95" i="4"/>
  <c r="AL273" i="5"/>
  <c r="Z273" i="5"/>
  <c r="AN273" i="5"/>
  <c r="AG274" i="5"/>
  <c r="AF274" i="5"/>
  <c r="B112" i="4"/>
  <c r="C112" i="4"/>
  <c r="C274" i="5"/>
  <c r="D112" i="4"/>
  <c r="E274" i="5"/>
  <c r="H112" i="4"/>
  <c r="K274" i="5"/>
  <c r="L112" i="4"/>
  <c r="Q274" i="5"/>
  <c r="M112" i="4"/>
  <c r="R274" i="5"/>
  <c r="T274" i="5"/>
  <c r="O112" i="4"/>
  <c r="U274" i="5"/>
  <c r="P112" i="4"/>
  <c r="W274" i="5"/>
  <c r="Q112" i="4"/>
  <c r="X274" i="5"/>
  <c r="S112" i="4"/>
  <c r="AA274" i="5"/>
  <c r="AI112" i="4"/>
  <c r="T112" i="4" a="1"/>
  <c r="T112" i="4"/>
  <c r="AC274" i="5"/>
  <c r="U112" i="4" a="1"/>
  <c r="U112" i="4"/>
  <c r="AD274" i="5"/>
  <c r="X112" i="4"/>
  <c r="AI274" i="5"/>
  <c r="Y112" i="4"/>
  <c r="AJ274" i="5"/>
  <c r="Z112" i="4"/>
  <c r="AL274" i="5"/>
  <c r="F274" i="5"/>
  <c r="L274" i="5"/>
  <c r="N274" i="5"/>
  <c r="O274" i="5"/>
  <c r="H274" i="5"/>
  <c r="I274" i="5"/>
  <c r="Z274" i="5"/>
  <c r="AN274" i="5"/>
  <c r="O275" i="5"/>
  <c r="K275" i="5"/>
  <c r="AG275" i="5"/>
  <c r="AF275" i="5"/>
  <c r="C30" i="4"/>
  <c r="C275" i="5"/>
  <c r="D30" i="4"/>
  <c r="E275" i="5"/>
  <c r="L275" i="5"/>
  <c r="N275" i="5"/>
  <c r="L30" i="4"/>
  <c r="Q275" i="5"/>
  <c r="M30" i="4"/>
  <c r="R275" i="5"/>
  <c r="N30" i="4"/>
  <c r="T275" i="5"/>
  <c r="U275" i="5"/>
  <c r="P30" i="4"/>
  <c r="W275" i="5"/>
  <c r="X275" i="5"/>
  <c r="AA275" i="5"/>
  <c r="AI30" i="4"/>
  <c r="T30" i="4" a="1"/>
  <c r="T30" i="4"/>
  <c r="AC275" i="5"/>
  <c r="U30" i="4" a="1"/>
  <c r="U30" i="4"/>
  <c r="AD275" i="5"/>
  <c r="X30" i="4"/>
  <c r="AI275" i="5"/>
  <c r="Y30" i="4"/>
  <c r="AJ275" i="5"/>
  <c r="Z30" i="4"/>
  <c r="AL275" i="5"/>
  <c r="F275" i="5"/>
  <c r="H275" i="5"/>
  <c r="I275" i="5"/>
  <c r="Z275" i="5"/>
  <c r="AN275" i="5"/>
  <c r="AG276" i="5"/>
  <c r="AF276" i="5"/>
  <c r="C124" i="4"/>
  <c r="C276" i="5"/>
  <c r="D124" i="4"/>
  <c r="E276" i="5"/>
  <c r="H124" i="4"/>
  <c r="K276" i="5"/>
  <c r="L124" i="4"/>
  <c r="Q276" i="5"/>
  <c r="M124" i="4"/>
  <c r="R276" i="5"/>
  <c r="N124" i="4"/>
  <c r="T276" i="5"/>
  <c r="U276" i="5"/>
  <c r="P124" i="4"/>
  <c r="W276" i="5"/>
  <c r="Q124" i="4"/>
  <c r="X276" i="5"/>
  <c r="AA276" i="5"/>
  <c r="AI124" i="4"/>
  <c r="T124" i="4" a="1"/>
  <c r="T124" i="4"/>
  <c r="AC276" i="5"/>
  <c r="U124" i="4" a="1"/>
  <c r="U124" i="4"/>
  <c r="AD276" i="5"/>
  <c r="Y124" i="4"/>
  <c r="AJ276" i="5"/>
  <c r="Z124" i="4"/>
  <c r="AL276" i="5"/>
  <c r="F276" i="5"/>
  <c r="L276" i="5"/>
  <c r="N276" i="5"/>
  <c r="O276" i="5"/>
  <c r="H276" i="5"/>
  <c r="I276" i="5"/>
  <c r="Z276" i="5"/>
  <c r="AN276" i="5"/>
  <c r="O277" i="5"/>
  <c r="B66" i="4"/>
  <c r="H66" i="4"/>
  <c r="K277" i="5"/>
  <c r="AG277" i="5"/>
  <c r="AF277" i="5"/>
  <c r="C66" i="4"/>
  <c r="C277" i="5"/>
  <c r="D66" i="4"/>
  <c r="E277" i="5"/>
  <c r="E66" i="4"/>
  <c r="F277" i="5"/>
  <c r="F66" i="4"/>
  <c r="H277" i="5"/>
  <c r="I277" i="5"/>
  <c r="I66" i="4"/>
  <c r="L277" i="5"/>
  <c r="J66" i="4"/>
  <c r="N277" i="5"/>
  <c r="L66" i="4"/>
  <c r="Q277" i="5"/>
  <c r="M66" i="4"/>
  <c r="R277" i="5"/>
  <c r="N66" i="4"/>
  <c r="T277" i="5"/>
  <c r="O66" i="4"/>
  <c r="U277" i="5"/>
  <c r="P66" i="4"/>
  <c r="W277" i="5"/>
  <c r="Q66" i="4"/>
  <c r="X277" i="5"/>
  <c r="AA277" i="5"/>
  <c r="AI66" i="4"/>
  <c r="T66" i="4" a="1"/>
  <c r="T66" i="4"/>
  <c r="AC277" i="5"/>
  <c r="U66" i="4" a="1"/>
  <c r="U66" i="4"/>
  <c r="AD277" i="5"/>
  <c r="X66" i="4"/>
  <c r="AI277" i="5"/>
  <c r="Y66" i="4"/>
  <c r="AJ277" i="5"/>
  <c r="Z66" i="4"/>
  <c r="AL277" i="5"/>
  <c r="Z277" i="5"/>
  <c r="AN277" i="5"/>
  <c r="AG278" i="5"/>
  <c r="AF278" i="5"/>
  <c r="C125" i="4"/>
  <c r="C278" i="5"/>
  <c r="D125" i="4"/>
  <c r="E278" i="5"/>
  <c r="H125" i="4"/>
  <c r="K278" i="5"/>
  <c r="L125" i="4"/>
  <c r="Q278" i="5"/>
  <c r="M125" i="4"/>
  <c r="R278" i="5"/>
  <c r="N125" i="4"/>
  <c r="T278" i="5"/>
  <c r="U278" i="5"/>
  <c r="P125" i="4"/>
  <c r="W278" i="5"/>
  <c r="Q125" i="4"/>
  <c r="X278" i="5"/>
  <c r="AA278" i="5"/>
  <c r="AI125" i="4"/>
  <c r="T125" i="4" a="1"/>
  <c r="T125" i="4"/>
  <c r="AC278" i="5"/>
  <c r="U125" i="4" a="1"/>
  <c r="U125" i="4"/>
  <c r="AD278" i="5"/>
  <c r="X125" i="4"/>
  <c r="AI278" i="5"/>
  <c r="Y125" i="4"/>
  <c r="AJ278" i="5"/>
  <c r="Z125" i="4"/>
  <c r="AL278" i="5"/>
  <c r="L278" i="5"/>
  <c r="N278" i="5"/>
  <c r="O278" i="5"/>
  <c r="F278" i="5"/>
  <c r="H278" i="5"/>
  <c r="I278" i="5"/>
  <c r="Z278" i="5"/>
  <c r="AN278" i="5"/>
  <c r="O279" i="5"/>
  <c r="K279" i="5"/>
  <c r="AG279" i="5"/>
  <c r="AF279" i="5"/>
  <c r="C41" i="4"/>
  <c r="C279" i="5"/>
  <c r="D41" i="4"/>
  <c r="E279" i="5"/>
  <c r="I41" i="4"/>
  <c r="L279" i="5"/>
  <c r="J41" i="4"/>
  <c r="N279" i="5"/>
  <c r="L41" i="4"/>
  <c r="Q279" i="5"/>
  <c r="M41" i="4"/>
  <c r="R279" i="5"/>
  <c r="N41" i="4"/>
  <c r="T279" i="5"/>
  <c r="O41" i="4"/>
  <c r="U279" i="5"/>
  <c r="P41" i="4"/>
  <c r="W279" i="5"/>
  <c r="Q41" i="4"/>
  <c r="X279" i="5"/>
  <c r="S41" i="4"/>
  <c r="AA279" i="5"/>
  <c r="AI41" i="4"/>
  <c r="T41" i="4" a="1"/>
  <c r="T41" i="4"/>
  <c r="AC279" i="5"/>
  <c r="U41" i="4" a="1"/>
  <c r="U41" i="4"/>
  <c r="AD279" i="5"/>
  <c r="AI279" i="5"/>
  <c r="Y41" i="4"/>
  <c r="AJ279" i="5"/>
  <c r="Z41" i="4"/>
  <c r="AL279" i="5"/>
  <c r="F279" i="5"/>
  <c r="H279" i="5"/>
  <c r="I279" i="5"/>
  <c r="Z279" i="5"/>
  <c r="AN279" i="5"/>
  <c r="AG280" i="5"/>
  <c r="AF280" i="5"/>
  <c r="B251" i="4"/>
  <c r="C251" i="4"/>
  <c r="C280" i="5"/>
  <c r="D251" i="4"/>
  <c r="E280" i="5"/>
  <c r="H251" i="4"/>
  <c r="K280" i="5"/>
  <c r="L251" i="4"/>
  <c r="Q280" i="5"/>
  <c r="M251" i="4"/>
  <c r="R280" i="5"/>
  <c r="T280" i="5"/>
  <c r="O251" i="4"/>
  <c r="U280" i="5"/>
  <c r="P251" i="4"/>
  <c r="W280" i="5"/>
  <c r="Q251" i="4"/>
  <c r="X280" i="5"/>
  <c r="S251" i="4"/>
  <c r="AA280" i="5"/>
  <c r="AI251" i="4"/>
  <c r="T251" i="4" a="1"/>
  <c r="T251" i="4"/>
  <c r="AC280" i="5"/>
  <c r="U251" i="4" a="1"/>
  <c r="U251" i="4"/>
  <c r="AD280" i="5"/>
  <c r="X251" i="4"/>
  <c r="AI280" i="5"/>
  <c r="Y251" i="4"/>
  <c r="AJ280" i="5"/>
  <c r="Z251" i="4"/>
  <c r="AL280" i="5"/>
  <c r="F280" i="5"/>
  <c r="H280" i="5"/>
  <c r="I280" i="5"/>
  <c r="L280" i="5"/>
  <c r="N280" i="5"/>
  <c r="O280" i="5"/>
  <c r="Z280" i="5"/>
  <c r="AN280" i="5"/>
  <c r="AG281" i="5"/>
  <c r="AF281" i="5"/>
  <c r="C190" i="4"/>
  <c r="C281" i="5"/>
  <c r="T281" i="5"/>
  <c r="O190" i="4"/>
  <c r="U281" i="5"/>
  <c r="P190" i="4"/>
  <c r="W281" i="5"/>
  <c r="Q190" i="4"/>
  <c r="X281" i="5"/>
  <c r="AA281" i="5"/>
  <c r="AI190" i="4"/>
  <c r="T190" i="4" a="1"/>
  <c r="T190" i="4"/>
  <c r="AC281" i="5"/>
  <c r="U190" i="4" a="1"/>
  <c r="U190" i="4"/>
  <c r="AD281" i="5"/>
  <c r="X190" i="4"/>
  <c r="AI281" i="5"/>
  <c r="Y190" i="4"/>
  <c r="AJ281" i="5"/>
  <c r="Z190" i="4"/>
  <c r="AL281" i="5"/>
  <c r="F281" i="5"/>
  <c r="H281" i="5"/>
  <c r="I281" i="5"/>
  <c r="L281" i="5"/>
  <c r="N281" i="5"/>
  <c r="O281" i="5"/>
  <c r="Z281" i="5"/>
  <c r="AN281" i="5"/>
  <c r="AG282" i="5"/>
  <c r="AF282" i="5"/>
  <c r="C191" i="4"/>
  <c r="C282" i="5"/>
  <c r="D191" i="4"/>
  <c r="E282" i="5"/>
  <c r="H191" i="4"/>
  <c r="K282" i="5"/>
  <c r="L191" i="4"/>
  <c r="Q282" i="5"/>
  <c r="M191" i="4"/>
  <c r="R282" i="5"/>
  <c r="T282" i="5"/>
  <c r="O191" i="4"/>
  <c r="U282" i="5"/>
  <c r="P191" i="4"/>
  <c r="W282" i="5"/>
  <c r="Q191" i="4"/>
  <c r="X282" i="5"/>
  <c r="S191" i="4"/>
  <c r="AA282" i="5"/>
  <c r="AI191" i="4"/>
  <c r="T191" i="4" a="1"/>
  <c r="T191" i="4"/>
  <c r="AC282" i="5"/>
  <c r="U191" i="4" a="1"/>
  <c r="U191" i="4"/>
  <c r="AD282" i="5"/>
  <c r="X191" i="4"/>
  <c r="AI282" i="5"/>
  <c r="Y191" i="4"/>
  <c r="AJ282" i="5"/>
  <c r="Z191" i="4"/>
  <c r="AL282" i="5"/>
  <c r="F282" i="5"/>
  <c r="H282" i="5"/>
  <c r="I282" i="5"/>
  <c r="L282" i="5"/>
  <c r="N282" i="5"/>
  <c r="O282" i="5"/>
  <c r="Z282" i="5"/>
  <c r="AN282" i="5"/>
  <c r="AG283" i="5"/>
  <c r="AF283" i="5"/>
  <c r="C129" i="4"/>
  <c r="C283" i="5"/>
  <c r="D129" i="4"/>
  <c r="E283" i="5"/>
  <c r="H129" i="4"/>
  <c r="K283" i="5"/>
  <c r="L129" i="4"/>
  <c r="Q283" i="5"/>
  <c r="M129" i="4"/>
  <c r="R283" i="5"/>
  <c r="T283" i="5"/>
  <c r="O129" i="4"/>
  <c r="U283" i="5"/>
  <c r="P129" i="4"/>
  <c r="W283" i="5"/>
  <c r="Q129" i="4"/>
  <c r="X283" i="5"/>
  <c r="S129" i="4"/>
  <c r="AA283" i="5"/>
  <c r="AI129" i="4"/>
  <c r="T129" i="4" a="1"/>
  <c r="T129" i="4"/>
  <c r="AC283" i="5"/>
  <c r="U129" i="4" a="1"/>
  <c r="U129" i="4"/>
  <c r="AD283" i="5"/>
  <c r="X129" i="4"/>
  <c r="AI283" i="5"/>
  <c r="Y129" i="4"/>
  <c r="AJ283" i="5"/>
  <c r="Z129" i="4"/>
  <c r="AL283" i="5"/>
  <c r="F283" i="5"/>
  <c r="H283" i="5"/>
  <c r="I283" i="5"/>
  <c r="L283" i="5"/>
  <c r="N283" i="5"/>
  <c r="O283" i="5"/>
  <c r="Z283" i="5"/>
  <c r="AN283" i="5"/>
  <c r="AG284" i="5"/>
  <c r="AF284" i="5"/>
  <c r="C146" i="4"/>
  <c r="C284" i="5"/>
  <c r="D146" i="4"/>
  <c r="E284" i="5"/>
  <c r="K284" i="5"/>
  <c r="L146" i="4"/>
  <c r="Q284" i="5"/>
  <c r="M146" i="4"/>
  <c r="R284" i="5"/>
  <c r="N146" i="4"/>
  <c r="T284" i="5"/>
  <c r="U284" i="5"/>
  <c r="P146" i="4"/>
  <c r="W284" i="5"/>
  <c r="Q146" i="4"/>
  <c r="X284" i="5"/>
  <c r="S146" i="4"/>
  <c r="AA284" i="5"/>
  <c r="AI146" i="4"/>
  <c r="T146" i="4" a="1"/>
  <c r="T146" i="4"/>
  <c r="AC284" i="5"/>
  <c r="U146" i="4" a="1"/>
  <c r="U146" i="4"/>
  <c r="AD284" i="5"/>
  <c r="X146" i="4"/>
  <c r="AI284" i="5"/>
  <c r="Y146" i="4"/>
  <c r="AJ284" i="5"/>
  <c r="Z146" i="4"/>
  <c r="AL284" i="5"/>
  <c r="F284" i="5"/>
  <c r="H284" i="5"/>
  <c r="I284" i="5"/>
  <c r="L284" i="5"/>
  <c r="N284" i="5"/>
  <c r="O284" i="5"/>
  <c r="Z284" i="5"/>
  <c r="AN284" i="5"/>
  <c r="AG285" i="5"/>
  <c r="AF285" i="5"/>
  <c r="C192" i="4"/>
  <c r="C285" i="5"/>
  <c r="D192" i="4"/>
  <c r="E285" i="5"/>
  <c r="K285" i="5"/>
  <c r="L192" i="4"/>
  <c r="Q285" i="5"/>
  <c r="M192" i="4"/>
  <c r="R285" i="5"/>
  <c r="N192" i="4"/>
  <c r="T285" i="5"/>
  <c r="U285" i="5"/>
  <c r="P192" i="4"/>
  <c r="W285" i="5"/>
  <c r="Q192" i="4"/>
  <c r="X285" i="5"/>
  <c r="S192" i="4"/>
  <c r="AA285" i="5"/>
  <c r="AI192" i="4"/>
  <c r="T192" i="4" a="1"/>
  <c r="T192" i="4"/>
  <c r="AC285" i="5"/>
  <c r="U192" i="4" a="1"/>
  <c r="U192" i="4"/>
  <c r="AD285" i="5"/>
  <c r="X192" i="4"/>
  <c r="AI285" i="5"/>
  <c r="Y192" i="4"/>
  <c r="AJ285" i="5"/>
  <c r="Z192" i="4"/>
  <c r="AL285" i="5"/>
  <c r="F285" i="5"/>
  <c r="H285" i="5"/>
  <c r="I285" i="5"/>
  <c r="L285" i="5"/>
  <c r="N285" i="5"/>
  <c r="O285" i="5"/>
  <c r="Z285" i="5"/>
  <c r="AN285" i="5"/>
  <c r="AG286" i="5"/>
  <c r="AF286" i="5"/>
  <c r="B279" i="4"/>
  <c r="C279" i="4"/>
  <c r="C286" i="5"/>
  <c r="D279" i="4"/>
  <c r="E286" i="5"/>
  <c r="H279" i="4"/>
  <c r="K286" i="5"/>
  <c r="L279" i="4"/>
  <c r="Q286" i="5"/>
  <c r="M279" i="4"/>
  <c r="R286" i="5"/>
  <c r="T286" i="5"/>
  <c r="O279" i="4"/>
  <c r="U286" i="5"/>
  <c r="P279" i="4"/>
  <c r="W286" i="5"/>
  <c r="Q279" i="4"/>
  <c r="X286" i="5"/>
  <c r="S279" i="4"/>
  <c r="AA286" i="5"/>
  <c r="AI279" i="4"/>
  <c r="T279" i="4" a="1"/>
  <c r="T279" i="4"/>
  <c r="AC286" i="5"/>
  <c r="U279" i="4" a="1"/>
  <c r="U279" i="4"/>
  <c r="AD286" i="5"/>
  <c r="X279" i="4"/>
  <c r="AI286" i="5"/>
  <c r="Y279" i="4"/>
  <c r="AJ286" i="5"/>
  <c r="Z279" i="4"/>
  <c r="AL286" i="5"/>
  <c r="F286" i="5"/>
  <c r="H286" i="5"/>
  <c r="I286" i="5"/>
  <c r="L286" i="5"/>
  <c r="N286" i="5"/>
  <c r="O286" i="5"/>
  <c r="Z286" i="5"/>
  <c r="AN286" i="5"/>
  <c r="AG287" i="5"/>
  <c r="AF287" i="5"/>
  <c r="B287" i="4"/>
  <c r="C287" i="4"/>
  <c r="C287" i="5"/>
  <c r="D287" i="4"/>
  <c r="E287" i="5"/>
  <c r="H287" i="4"/>
  <c r="K287" i="5"/>
  <c r="L287" i="4"/>
  <c r="Q287" i="5"/>
  <c r="M287" i="4"/>
  <c r="R287" i="5"/>
  <c r="T287" i="5"/>
  <c r="O287" i="4"/>
  <c r="U287" i="5"/>
  <c r="P287" i="4"/>
  <c r="W287" i="5"/>
  <c r="Q287" i="4"/>
  <c r="X287" i="5"/>
  <c r="S287" i="4"/>
  <c r="AA287" i="5"/>
  <c r="AI287" i="4"/>
  <c r="T287" i="4" a="1"/>
  <c r="T287" i="4"/>
  <c r="AC287" i="5"/>
  <c r="U287" i="4" a="1"/>
  <c r="U287" i="4"/>
  <c r="AD287" i="5"/>
  <c r="X287" i="4"/>
  <c r="AI287" i="5"/>
  <c r="Y287" i="4"/>
  <c r="AJ287" i="5"/>
  <c r="Z287" i="4"/>
  <c r="AL287" i="5"/>
  <c r="F287" i="5"/>
  <c r="H287" i="5"/>
  <c r="I287" i="5"/>
  <c r="L287" i="5"/>
  <c r="N287" i="5"/>
  <c r="O287" i="5"/>
  <c r="Z287" i="5"/>
  <c r="AN287" i="5"/>
  <c r="AG288" i="5"/>
  <c r="AF288" i="5"/>
  <c r="C274" i="4"/>
  <c r="C288" i="5"/>
  <c r="T288" i="5"/>
  <c r="O274" i="4"/>
  <c r="U288" i="5"/>
  <c r="P274" i="4"/>
  <c r="W288" i="5"/>
  <c r="Q274" i="4"/>
  <c r="X288" i="5"/>
  <c r="S274" i="4"/>
  <c r="AA288" i="5"/>
  <c r="AI274" i="4"/>
  <c r="T274" i="4" a="1"/>
  <c r="T274" i="4"/>
  <c r="AC288" i="5"/>
  <c r="U274" i="4" a="1"/>
  <c r="U274" i="4"/>
  <c r="AD288" i="5"/>
  <c r="X274" i="4"/>
  <c r="AI288" i="5"/>
  <c r="Y274" i="4"/>
  <c r="AJ288" i="5"/>
  <c r="Z274" i="4"/>
  <c r="AL288" i="5"/>
  <c r="Z288" i="5"/>
  <c r="AN288" i="5"/>
  <c r="AG289" i="5"/>
  <c r="AF289" i="5"/>
  <c r="C263" i="4"/>
  <c r="C289" i="5"/>
  <c r="D263" i="4"/>
  <c r="E289" i="5"/>
  <c r="H263" i="4"/>
  <c r="K289" i="5"/>
  <c r="L263" i="4"/>
  <c r="Q289" i="5"/>
  <c r="M263" i="4"/>
  <c r="R289" i="5"/>
  <c r="T289" i="5"/>
  <c r="O263" i="4"/>
  <c r="U289" i="5"/>
  <c r="P263" i="4"/>
  <c r="W289" i="5"/>
  <c r="Q263" i="4"/>
  <c r="X289" i="5"/>
  <c r="S263" i="4"/>
  <c r="AA289" i="5"/>
  <c r="AI263" i="4"/>
  <c r="T263" i="4" a="1"/>
  <c r="T263" i="4"/>
  <c r="AC289" i="5"/>
  <c r="U263" i="4" a="1"/>
  <c r="U263" i="4"/>
  <c r="AD289" i="5"/>
  <c r="X263" i="4"/>
  <c r="AI289" i="5"/>
  <c r="Y263" i="4"/>
  <c r="AJ289" i="5"/>
  <c r="Z263" i="4"/>
  <c r="AL289" i="5"/>
  <c r="F289" i="5"/>
  <c r="H289" i="5"/>
  <c r="I289" i="5"/>
  <c r="L289" i="5"/>
  <c r="N289" i="5"/>
  <c r="O289" i="5"/>
  <c r="Z289" i="5"/>
  <c r="AN289" i="5"/>
  <c r="AG290" i="5"/>
  <c r="AF290" i="5"/>
  <c r="C280" i="4"/>
  <c r="C290" i="5"/>
  <c r="D280" i="4"/>
  <c r="E290" i="5"/>
  <c r="H280" i="4"/>
  <c r="K290" i="5"/>
  <c r="L280" i="4"/>
  <c r="Q290" i="5"/>
  <c r="M280" i="4"/>
  <c r="R290" i="5"/>
  <c r="T290" i="5"/>
  <c r="O280" i="4"/>
  <c r="U290" i="5"/>
  <c r="P280" i="4"/>
  <c r="W290" i="5"/>
  <c r="Q280" i="4"/>
  <c r="X290" i="5"/>
  <c r="S280" i="4"/>
  <c r="AA290" i="5"/>
  <c r="AI280" i="4"/>
  <c r="T280" i="4" a="1"/>
  <c r="T280" i="4"/>
  <c r="AC290" i="5"/>
  <c r="U280" i="4" a="1"/>
  <c r="U280" i="4"/>
  <c r="AD290" i="5"/>
  <c r="X280" i="4"/>
  <c r="AI290" i="5"/>
  <c r="Y280" i="4"/>
  <c r="AJ290" i="5"/>
  <c r="Z280" i="4"/>
  <c r="AL290" i="5"/>
  <c r="F290" i="5"/>
  <c r="H290" i="5"/>
  <c r="I290" i="5"/>
  <c r="L290" i="5"/>
  <c r="N290" i="5"/>
  <c r="O290" i="5"/>
  <c r="Z290" i="5"/>
  <c r="AN290" i="5"/>
  <c r="AG291" i="5"/>
  <c r="AF291" i="5"/>
  <c r="C270" i="4"/>
  <c r="C291" i="5"/>
  <c r="D270" i="4"/>
  <c r="E291" i="5"/>
  <c r="H270" i="4"/>
  <c r="K291" i="5"/>
  <c r="L270" i="4"/>
  <c r="Q291" i="5"/>
  <c r="M270" i="4"/>
  <c r="R291" i="5"/>
  <c r="T291" i="5"/>
  <c r="O270" i="4"/>
  <c r="U291" i="5"/>
  <c r="P270" i="4"/>
  <c r="W291" i="5"/>
  <c r="Q270" i="4"/>
  <c r="X291" i="5"/>
  <c r="S270" i="4"/>
  <c r="AA291" i="5"/>
  <c r="AI270" i="4"/>
  <c r="T270" i="4" a="1"/>
  <c r="T270" i="4"/>
  <c r="AC291" i="5"/>
  <c r="U270" i="4" a="1"/>
  <c r="U270" i="4"/>
  <c r="AD291" i="5"/>
  <c r="X270" i="4"/>
  <c r="AI291" i="5"/>
  <c r="Y270" i="4"/>
  <c r="AJ291" i="5"/>
  <c r="Z270" i="4"/>
  <c r="AL291" i="5"/>
  <c r="F291" i="5"/>
  <c r="H291" i="5"/>
  <c r="I291" i="5"/>
  <c r="L291" i="5"/>
  <c r="N291" i="5"/>
  <c r="O291" i="5"/>
  <c r="Z291" i="5"/>
  <c r="AN291" i="5"/>
  <c r="B281" i="4"/>
  <c r="S281" i="4"/>
  <c r="AA292" i="5"/>
  <c r="P281" i="4"/>
  <c r="W292" i="5"/>
  <c r="AG292" i="5"/>
  <c r="AF292" i="5"/>
  <c r="C281" i="4"/>
  <c r="C292" i="5"/>
  <c r="D281" i="4"/>
  <c r="E292" i="5"/>
  <c r="H281" i="4"/>
  <c r="K292" i="5"/>
  <c r="L281" i="4"/>
  <c r="Q292" i="5"/>
  <c r="M281" i="4"/>
  <c r="R292" i="5"/>
  <c r="N281" i="4"/>
  <c r="T292" i="5"/>
  <c r="O281" i="4"/>
  <c r="U292" i="5"/>
  <c r="Q281" i="4"/>
  <c r="X292" i="5"/>
  <c r="R281" i="4"/>
  <c r="Z292" i="5"/>
  <c r="AI281" i="4"/>
  <c r="T281" i="4" a="1"/>
  <c r="T281" i="4"/>
  <c r="AC292" i="5"/>
  <c r="U281" i="4" a="1"/>
  <c r="U281" i="4"/>
  <c r="AD292" i="5"/>
  <c r="X281" i="4"/>
  <c r="AI292" i="5"/>
  <c r="Y281" i="4"/>
  <c r="AJ292" i="5"/>
  <c r="Z281" i="4"/>
  <c r="AL292" i="5"/>
  <c r="F292" i="5"/>
  <c r="H292" i="5"/>
  <c r="I292" i="5"/>
  <c r="L292" i="5"/>
  <c r="N292" i="5"/>
  <c r="O292" i="5"/>
  <c r="AN292" i="5"/>
  <c r="AG293" i="5"/>
  <c r="AF293" i="5"/>
  <c r="B147" i="4"/>
  <c r="C147" i="4"/>
  <c r="C293" i="5"/>
  <c r="D147" i="4"/>
  <c r="E293" i="5"/>
  <c r="H147" i="4"/>
  <c r="K293" i="5"/>
  <c r="L147" i="4"/>
  <c r="Q293" i="5"/>
  <c r="M147" i="4"/>
  <c r="R293" i="5"/>
  <c r="N147" i="4"/>
  <c r="T293" i="5"/>
  <c r="O147" i="4"/>
  <c r="U293" i="5"/>
  <c r="P147" i="4"/>
  <c r="W293" i="5"/>
  <c r="Q147" i="4"/>
  <c r="X293" i="5"/>
  <c r="S147" i="4"/>
  <c r="AA293" i="5"/>
  <c r="AI147" i="4"/>
  <c r="T147" i="4" a="1"/>
  <c r="T147" i="4"/>
  <c r="AC293" i="5"/>
  <c r="U147" i="4" a="1"/>
  <c r="U147" i="4"/>
  <c r="AD293" i="5"/>
  <c r="X147" i="4"/>
  <c r="AI293" i="5"/>
  <c r="Y147" i="4"/>
  <c r="AJ293" i="5"/>
  <c r="Z147" i="4"/>
  <c r="AL293" i="5"/>
  <c r="F293" i="5"/>
  <c r="H293" i="5"/>
  <c r="I293" i="5"/>
  <c r="L293" i="5"/>
  <c r="N293" i="5"/>
  <c r="O293" i="5"/>
  <c r="Z293" i="5"/>
  <c r="AN293" i="5"/>
  <c r="AG294" i="5"/>
  <c r="AF294" i="5"/>
  <c r="B132" i="4"/>
  <c r="C132" i="4"/>
  <c r="C294" i="5"/>
  <c r="D132" i="4"/>
  <c r="E294" i="5"/>
  <c r="K294" i="5"/>
  <c r="L132" i="4"/>
  <c r="Q294" i="5"/>
  <c r="M132" i="4"/>
  <c r="R294" i="5"/>
  <c r="T294" i="5"/>
  <c r="U294" i="5"/>
  <c r="P132" i="4"/>
  <c r="W294" i="5"/>
  <c r="Q132" i="4"/>
  <c r="X294" i="5"/>
  <c r="S132" i="4"/>
  <c r="AA294" i="5"/>
  <c r="AI132" i="4"/>
  <c r="T132" i="4" a="1"/>
  <c r="T132" i="4"/>
  <c r="AC294" i="5"/>
  <c r="U132" i="4" a="1"/>
  <c r="U132" i="4"/>
  <c r="AD294" i="5"/>
  <c r="X132" i="4"/>
  <c r="AI294" i="5"/>
  <c r="Y132" i="4"/>
  <c r="AJ294" i="5"/>
  <c r="Z132" i="4"/>
  <c r="AL294" i="5"/>
  <c r="F294" i="5"/>
  <c r="H294" i="5"/>
  <c r="I294" i="5"/>
  <c r="L294" i="5"/>
  <c r="N294" i="5"/>
  <c r="O294" i="5"/>
  <c r="Z294" i="5"/>
  <c r="AN294" i="5"/>
  <c r="AG295" i="5"/>
  <c r="AF295" i="5"/>
  <c r="B257" i="4"/>
  <c r="C257" i="4"/>
  <c r="C295" i="5"/>
  <c r="D257" i="4"/>
  <c r="E295" i="5"/>
  <c r="H257" i="4"/>
  <c r="K295" i="5"/>
  <c r="L257" i="4"/>
  <c r="Q295" i="5"/>
  <c r="M257" i="4"/>
  <c r="R295" i="5"/>
  <c r="T295" i="5"/>
  <c r="O257" i="4"/>
  <c r="U295" i="5"/>
  <c r="P257" i="4"/>
  <c r="W295" i="5"/>
  <c r="Q257" i="4"/>
  <c r="X295" i="5"/>
  <c r="S257" i="4"/>
  <c r="AA295" i="5"/>
  <c r="AI257" i="4"/>
  <c r="T257" i="4" a="1"/>
  <c r="T257" i="4"/>
  <c r="AC295" i="5"/>
  <c r="U257" i="4" a="1"/>
  <c r="U257" i="4"/>
  <c r="AD295" i="5"/>
  <c r="X257" i="4"/>
  <c r="AI295" i="5"/>
  <c r="F295" i="5"/>
  <c r="H295" i="5"/>
  <c r="I295" i="5"/>
  <c r="L295" i="5"/>
  <c r="N295" i="5"/>
  <c r="O295" i="5"/>
  <c r="Z295" i="5"/>
  <c r="AN295" i="5"/>
  <c r="AG296" i="5"/>
  <c r="AF296" i="5"/>
  <c r="B258" i="4"/>
  <c r="C258" i="4"/>
  <c r="C296" i="5"/>
  <c r="D258" i="4"/>
  <c r="E296" i="5"/>
  <c r="H258" i="4"/>
  <c r="K296" i="5"/>
  <c r="L258" i="4"/>
  <c r="Q296" i="5"/>
  <c r="M258" i="4"/>
  <c r="R296" i="5"/>
  <c r="T296" i="5"/>
  <c r="O258" i="4"/>
  <c r="U296" i="5"/>
  <c r="P258" i="4"/>
  <c r="W296" i="5"/>
  <c r="Q258" i="4"/>
  <c r="X296" i="5"/>
  <c r="S258" i="4"/>
  <c r="AA296" i="5"/>
  <c r="AI258" i="4"/>
  <c r="T258" i="4" a="1"/>
  <c r="T258" i="4"/>
  <c r="AC296" i="5"/>
  <c r="U258" i="4" a="1"/>
  <c r="U258" i="4"/>
  <c r="AD296" i="5"/>
  <c r="X258" i="4"/>
  <c r="AI296" i="5"/>
  <c r="F296" i="5"/>
  <c r="H296" i="5"/>
  <c r="I296" i="5"/>
  <c r="L296" i="5"/>
  <c r="N296" i="5"/>
  <c r="O296" i="5"/>
  <c r="Z296" i="5"/>
  <c r="AN296" i="5"/>
  <c r="AG297" i="5"/>
  <c r="AF297" i="5"/>
  <c r="B259" i="4"/>
  <c r="C259" i="4"/>
  <c r="C297" i="5"/>
  <c r="D259" i="4"/>
  <c r="E297" i="5"/>
  <c r="H259" i="4"/>
  <c r="K297" i="5"/>
  <c r="L259" i="4"/>
  <c r="Q297" i="5"/>
  <c r="M259" i="4"/>
  <c r="R297" i="5"/>
  <c r="T297" i="5"/>
  <c r="O259" i="4"/>
  <c r="U297" i="5"/>
  <c r="P259" i="4"/>
  <c r="W297" i="5"/>
  <c r="Q259" i="4"/>
  <c r="X297" i="5"/>
  <c r="S259" i="4"/>
  <c r="AA297" i="5"/>
  <c r="AI259" i="4"/>
  <c r="T259" i="4" a="1"/>
  <c r="T259" i="4"/>
  <c r="AC297" i="5"/>
  <c r="U259" i="4" a="1"/>
  <c r="U259" i="4"/>
  <c r="AD297" i="5"/>
  <c r="X259" i="4"/>
  <c r="AI297" i="5"/>
  <c r="Y259" i="4"/>
  <c r="AJ297" i="5"/>
  <c r="Z259" i="4"/>
  <c r="AL297" i="5"/>
  <c r="F297" i="5"/>
  <c r="H297" i="5"/>
  <c r="I297" i="5"/>
  <c r="L297" i="5"/>
  <c r="N297" i="5"/>
  <c r="O297" i="5"/>
  <c r="Z297" i="5"/>
  <c r="AN297" i="5"/>
  <c r="O298" i="5"/>
  <c r="K298" i="5"/>
  <c r="AG298" i="5"/>
  <c r="AF298" i="5"/>
  <c r="C298" i="5"/>
  <c r="E298" i="5"/>
  <c r="L298" i="5"/>
  <c r="N298" i="5"/>
  <c r="Q298" i="5"/>
  <c r="R298" i="5"/>
  <c r="T298" i="5"/>
  <c r="U298" i="5"/>
  <c r="W298" i="5"/>
  <c r="X298" i="5"/>
  <c r="AA298" i="5"/>
  <c r="AC298" i="5"/>
  <c r="AD298" i="5"/>
  <c r="AI298" i="5"/>
  <c r="AJ298" i="5"/>
  <c r="AL298" i="5"/>
  <c r="F298" i="5"/>
  <c r="H298" i="5"/>
  <c r="I298" i="5"/>
  <c r="Z298" i="5"/>
  <c r="AN298" i="5"/>
  <c r="O303" i="5"/>
  <c r="K303" i="5"/>
  <c r="AG303" i="5"/>
  <c r="V303" i="4"/>
  <c r="AF303" i="5"/>
  <c r="C303" i="4"/>
  <c r="C303" i="5"/>
  <c r="D303" i="4"/>
  <c r="E303" i="5"/>
  <c r="I303" i="4"/>
  <c r="L303" i="5"/>
  <c r="J303" i="4"/>
  <c r="N303" i="5"/>
  <c r="L303" i="4"/>
  <c r="Q303" i="5"/>
  <c r="M303" i="4"/>
  <c r="R303" i="5"/>
  <c r="N303" i="4"/>
  <c r="T303" i="5"/>
  <c r="O303" i="4"/>
  <c r="U303" i="5"/>
  <c r="P303" i="4"/>
  <c r="W303" i="5"/>
  <c r="Q303" i="4"/>
  <c r="X303" i="5"/>
  <c r="AA303" i="5"/>
  <c r="AC303" i="5"/>
  <c r="AD303" i="5"/>
  <c r="X303" i="4"/>
  <c r="AI303" i="5"/>
  <c r="Y303" i="4"/>
  <c r="AJ303" i="5"/>
  <c r="Z303" i="4"/>
  <c r="AL303" i="5"/>
  <c r="F303" i="5"/>
  <c r="H303" i="5"/>
  <c r="I303" i="5"/>
  <c r="Z303" i="5"/>
  <c r="AN303" i="5"/>
  <c r="AG304" i="5"/>
  <c r="V304" i="4"/>
  <c r="AF304" i="5"/>
  <c r="C304" i="4"/>
  <c r="C304" i="5"/>
  <c r="N304" i="4"/>
  <c r="T304" i="5"/>
  <c r="O304" i="4"/>
  <c r="U304" i="5"/>
  <c r="P304" i="4"/>
  <c r="W304" i="5"/>
  <c r="Q304" i="4"/>
  <c r="X304" i="5"/>
  <c r="AA304" i="5"/>
  <c r="T304" i="4"/>
  <c r="AC304" i="5"/>
  <c r="U304" i="4"/>
  <c r="AD304" i="5"/>
  <c r="X304" i="4"/>
  <c r="AI304" i="5"/>
  <c r="Y304" i="4"/>
  <c r="AJ304" i="5"/>
  <c r="Z304" i="4"/>
  <c r="AL304" i="5"/>
  <c r="F304" i="5"/>
  <c r="H304" i="5"/>
  <c r="I304" i="5"/>
  <c r="Z304" i="5"/>
  <c r="AN304" i="5"/>
  <c r="O305" i="5"/>
  <c r="K305" i="5"/>
  <c r="AG305" i="5"/>
  <c r="V317" i="4"/>
  <c r="AF305" i="5"/>
  <c r="C317" i="4"/>
  <c r="C305" i="5"/>
  <c r="D317" i="4"/>
  <c r="E305" i="5"/>
  <c r="I317" i="4"/>
  <c r="L305" i="5"/>
  <c r="J317" i="4"/>
  <c r="N305" i="5"/>
  <c r="L317" i="4"/>
  <c r="Q305" i="5"/>
  <c r="M317" i="4"/>
  <c r="R305" i="5"/>
  <c r="N317" i="4"/>
  <c r="T305" i="5"/>
  <c r="O317" i="4"/>
  <c r="U305" i="5"/>
  <c r="P317" i="4"/>
  <c r="W305" i="5"/>
  <c r="Q317" i="4"/>
  <c r="X305" i="5"/>
  <c r="AA305" i="5"/>
  <c r="T317" i="4"/>
  <c r="AC305" i="5"/>
  <c r="U317" i="4"/>
  <c r="AD305" i="5"/>
  <c r="X317" i="4"/>
  <c r="AI305" i="5"/>
  <c r="Y317" i="4"/>
  <c r="AJ305" i="5"/>
  <c r="Z317" i="4"/>
  <c r="AL305" i="5"/>
  <c r="F305" i="5"/>
  <c r="H305" i="5"/>
  <c r="I305" i="5"/>
  <c r="Z305" i="5"/>
  <c r="AN305" i="5"/>
  <c r="AG306" i="5"/>
  <c r="V318" i="4"/>
  <c r="AF306" i="5"/>
  <c r="N318" i="4"/>
  <c r="T306" i="5"/>
  <c r="O318" i="4"/>
  <c r="U306" i="5"/>
  <c r="P318" i="4"/>
  <c r="W306" i="5"/>
  <c r="Q318" i="4"/>
  <c r="X306" i="5"/>
  <c r="AA306" i="5"/>
  <c r="X318" i="4"/>
  <c r="AI306" i="5"/>
  <c r="Y318" i="4"/>
  <c r="AJ306" i="5"/>
  <c r="Z318" i="4"/>
  <c r="AL306" i="5"/>
  <c r="F306" i="5"/>
  <c r="H306" i="5"/>
  <c r="I306" i="5"/>
  <c r="Z306" i="5"/>
  <c r="AN306" i="5"/>
  <c r="O307" i="5"/>
  <c r="K307" i="5"/>
  <c r="AG307" i="5"/>
  <c r="V308" i="4"/>
  <c r="AF307" i="5"/>
  <c r="C308" i="4"/>
  <c r="C307" i="5"/>
  <c r="D308" i="4"/>
  <c r="E307" i="5"/>
  <c r="I308" i="4"/>
  <c r="L307" i="5"/>
  <c r="J308" i="4"/>
  <c r="N307" i="5"/>
  <c r="L308" i="4"/>
  <c r="Q307" i="5"/>
  <c r="M308" i="4"/>
  <c r="R307" i="5"/>
  <c r="N308" i="4"/>
  <c r="T307" i="5"/>
  <c r="O308" i="4"/>
  <c r="U307" i="5"/>
  <c r="P308" i="4"/>
  <c r="W307" i="5"/>
  <c r="Q308" i="4"/>
  <c r="X307" i="5"/>
  <c r="AA307" i="5"/>
  <c r="X308" i="4"/>
  <c r="AI307" i="5"/>
  <c r="Y308" i="4"/>
  <c r="AJ307" i="5"/>
  <c r="Z308" i="4"/>
  <c r="AL307" i="5"/>
  <c r="F307" i="5"/>
  <c r="H307" i="5"/>
  <c r="I307" i="5"/>
  <c r="Z307" i="5"/>
  <c r="AN307" i="5"/>
  <c r="O308" i="5"/>
  <c r="K308" i="5"/>
  <c r="AG308" i="5"/>
  <c r="V309" i="4"/>
  <c r="AF308" i="5"/>
  <c r="C309" i="4"/>
  <c r="C308" i="5"/>
  <c r="D309" i="4"/>
  <c r="E308" i="5"/>
  <c r="I309" i="4"/>
  <c r="L308" i="5"/>
  <c r="J309" i="4"/>
  <c r="N308" i="5"/>
  <c r="L309" i="4"/>
  <c r="Q308" i="5"/>
  <c r="M309" i="4"/>
  <c r="R308" i="5"/>
  <c r="N309" i="4"/>
  <c r="T308" i="5"/>
  <c r="O309" i="4"/>
  <c r="U308" i="5"/>
  <c r="P309" i="4"/>
  <c r="W308" i="5"/>
  <c r="Q309" i="4"/>
  <c r="X308" i="5"/>
  <c r="AA308" i="5"/>
  <c r="AC308" i="5"/>
  <c r="AD308" i="5"/>
  <c r="X309" i="4"/>
  <c r="AI308" i="5"/>
  <c r="Y309" i="4"/>
  <c r="AJ308" i="5"/>
  <c r="Z309" i="4"/>
  <c r="AL308" i="5"/>
  <c r="F308" i="5"/>
  <c r="H308" i="5"/>
  <c r="I308" i="5"/>
  <c r="Z308" i="5"/>
  <c r="AN308" i="5"/>
  <c r="O309" i="5"/>
  <c r="K309" i="5"/>
  <c r="AG309" i="5"/>
  <c r="V310" i="4"/>
  <c r="AF309" i="5"/>
  <c r="C310" i="4"/>
  <c r="C309" i="5"/>
  <c r="D310" i="4"/>
  <c r="E309" i="5"/>
  <c r="I310" i="4"/>
  <c r="L309" i="5"/>
  <c r="J310" i="4"/>
  <c r="N309" i="5"/>
  <c r="L310" i="4"/>
  <c r="Q309" i="5"/>
  <c r="M310" i="4"/>
  <c r="R309" i="5"/>
  <c r="N310" i="4"/>
  <c r="T309" i="5"/>
  <c r="O310" i="4"/>
  <c r="U309" i="5"/>
  <c r="P310" i="4"/>
  <c r="W309" i="5"/>
  <c r="Q310" i="4"/>
  <c r="X309" i="5"/>
  <c r="AA309" i="5"/>
  <c r="T310" i="4"/>
  <c r="AC309" i="5"/>
  <c r="AD309" i="5"/>
  <c r="X310" i="4"/>
  <c r="AI309" i="5"/>
  <c r="Y310" i="4"/>
  <c r="AJ309" i="5"/>
  <c r="Z310" i="4"/>
  <c r="AL309" i="5"/>
  <c r="F309" i="5"/>
  <c r="H309" i="5"/>
  <c r="I309" i="5"/>
  <c r="Z309" i="5"/>
  <c r="AN309" i="5"/>
  <c r="O310" i="5"/>
  <c r="K310" i="5"/>
  <c r="AG310" i="5"/>
  <c r="V311" i="4"/>
  <c r="AF310" i="5"/>
  <c r="C311" i="4"/>
  <c r="C310" i="5"/>
  <c r="D311" i="4"/>
  <c r="E310" i="5"/>
  <c r="I311" i="4"/>
  <c r="L310" i="5"/>
  <c r="J311" i="4"/>
  <c r="N310" i="5"/>
  <c r="L311" i="4"/>
  <c r="Q310" i="5"/>
  <c r="M311" i="4"/>
  <c r="R310" i="5"/>
  <c r="N311" i="4"/>
  <c r="T310" i="5"/>
  <c r="O311" i="4"/>
  <c r="U310" i="5"/>
  <c r="P311" i="4"/>
  <c r="W310" i="5"/>
  <c r="Q311" i="4"/>
  <c r="X310" i="5"/>
  <c r="AA310" i="5"/>
  <c r="X311" i="4"/>
  <c r="AI310" i="5"/>
  <c r="Y311" i="4"/>
  <c r="AJ310" i="5"/>
  <c r="Z311" i="4"/>
  <c r="AL310" i="5"/>
  <c r="F310" i="5"/>
  <c r="H310" i="5"/>
  <c r="I310" i="5"/>
  <c r="Z310" i="5"/>
  <c r="AN310" i="5"/>
  <c r="O311" i="5"/>
  <c r="K311" i="5"/>
  <c r="AG311" i="5"/>
  <c r="V312" i="4"/>
  <c r="AF311" i="5"/>
  <c r="C312" i="4"/>
  <c r="C311" i="5"/>
  <c r="D312" i="4"/>
  <c r="E311" i="5"/>
  <c r="I312" i="4"/>
  <c r="L311" i="5"/>
  <c r="J312" i="4"/>
  <c r="N311" i="5"/>
  <c r="L312" i="4"/>
  <c r="Q311" i="5"/>
  <c r="M312" i="4"/>
  <c r="R311" i="5"/>
  <c r="N312" i="4"/>
  <c r="T311" i="5"/>
  <c r="O312" i="4"/>
  <c r="U311" i="5"/>
  <c r="P312" i="4"/>
  <c r="W311" i="5"/>
  <c r="Q312" i="4"/>
  <c r="X311" i="5"/>
  <c r="AA311" i="5"/>
  <c r="T312" i="4"/>
  <c r="AC311" i="5"/>
  <c r="AD311" i="5"/>
  <c r="X312" i="4"/>
  <c r="AI311" i="5"/>
  <c r="Y312" i="4"/>
  <c r="AJ311" i="5"/>
  <c r="Z312" i="4"/>
  <c r="AL311" i="5"/>
  <c r="F311" i="5"/>
  <c r="H311" i="5"/>
  <c r="I311" i="5"/>
  <c r="Z311" i="5"/>
  <c r="AN311" i="5"/>
  <c r="O312" i="5"/>
  <c r="K312" i="5"/>
  <c r="AG312" i="5"/>
  <c r="V313" i="4"/>
  <c r="AF312" i="5"/>
  <c r="C313" i="4"/>
  <c r="C312" i="5"/>
  <c r="D313" i="4"/>
  <c r="E312" i="5"/>
  <c r="I313" i="4"/>
  <c r="L312" i="5"/>
  <c r="J313" i="4"/>
  <c r="N312" i="5"/>
  <c r="L313" i="4"/>
  <c r="Q312" i="5"/>
  <c r="M313" i="4"/>
  <c r="R312" i="5"/>
  <c r="N313" i="4"/>
  <c r="T312" i="5"/>
  <c r="O313" i="4"/>
  <c r="U312" i="5"/>
  <c r="P313" i="4"/>
  <c r="W312" i="5"/>
  <c r="Q313" i="4"/>
  <c r="X312" i="5"/>
  <c r="AA312" i="5"/>
  <c r="X313" i="4"/>
  <c r="AI312" i="5"/>
  <c r="Y313" i="4"/>
  <c r="AJ312" i="5"/>
  <c r="Z313" i="4"/>
  <c r="AL312" i="5"/>
  <c r="F312" i="5"/>
  <c r="H312" i="5"/>
  <c r="I312" i="5"/>
  <c r="Z312" i="5"/>
  <c r="AN312" i="5"/>
  <c r="AG313" i="5"/>
  <c r="V314" i="4"/>
  <c r="AF313" i="5"/>
  <c r="C314" i="4"/>
  <c r="C313" i="5"/>
  <c r="N314" i="4"/>
  <c r="T313" i="5"/>
  <c r="O314" i="4"/>
  <c r="U313" i="5"/>
  <c r="P314" i="4"/>
  <c r="W313" i="5"/>
  <c r="Q314" i="4"/>
  <c r="X313" i="5"/>
  <c r="AA313" i="5"/>
  <c r="AC313" i="5"/>
  <c r="AD313" i="5"/>
  <c r="X314" i="4"/>
  <c r="AI313" i="5"/>
  <c r="Y314" i="4"/>
  <c r="AJ313" i="5"/>
  <c r="Z314" i="4"/>
  <c r="AL313" i="5"/>
  <c r="F313" i="5"/>
  <c r="H313" i="5"/>
  <c r="I313" i="5"/>
  <c r="Z313" i="5"/>
  <c r="AN313" i="5"/>
  <c r="AG314" i="5"/>
  <c r="V305" i="4"/>
  <c r="AF314" i="5"/>
  <c r="C305" i="4"/>
  <c r="C314" i="5"/>
  <c r="N305" i="4"/>
  <c r="T314" i="5"/>
  <c r="O305" i="4"/>
  <c r="U314" i="5"/>
  <c r="P305" i="4"/>
  <c r="W314" i="5"/>
  <c r="Q305" i="4"/>
  <c r="X314" i="5"/>
  <c r="AA314" i="5"/>
  <c r="AC314" i="5"/>
  <c r="AD314" i="5"/>
  <c r="X305" i="4"/>
  <c r="AI314" i="5"/>
  <c r="Y305" i="4"/>
  <c r="AJ314" i="5"/>
  <c r="Z305" i="4"/>
  <c r="AL314" i="5"/>
  <c r="F314" i="5"/>
  <c r="H314" i="5"/>
  <c r="I314" i="5"/>
  <c r="Z314" i="5"/>
  <c r="AN314" i="5"/>
  <c r="O315" i="5"/>
  <c r="K315" i="5"/>
  <c r="AG315" i="5"/>
  <c r="V306" i="4"/>
  <c r="AF315" i="5"/>
  <c r="C306" i="4"/>
  <c r="C315" i="5"/>
  <c r="D306" i="4"/>
  <c r="E315" i="5"/>
  <c r="I306" i="4"/>
  <c r="L315" i="5"/>
  <c r="J306" i="4"/>
  <c r="N315" i="5"/>
  <c r="L306" i="4"/>
  <c r="Q315" i="5"/>
  <c r="M306" i="4"/>
  <c r="R315" i="5"/>
  <c r="N306" i="4"/>
  <c r="T315" i="5"/>
  <c r="O306" i="4"/>
  <c r="U315" i="5"/>
  <c r="P306" i="4"/>
  <c r="W315" i="5"/>
  <c r="Q306" i="4"/>
  <c r="X315" i="5"/>
  <c r="AA315" i="5"/>
  <c r="AC315" i="5"/>
  <c r="AD315" i="5"/>
  <c r="X306" i="4"/>
  <c r="AI315" i="5"/>
  <c r="Y306" i="4"/>
  <c r="AJ315" i="5"/>
  <c r="Z306" i="4"/>
  <c r="AL315" i="5"/>
  <c r="F315" i="5"/>
  <c r="H315" i="5"/>
  <c r="I315" i="5"/>
  <c r="Z315" i="5"/>
  <c r="AN315" i="5"/>
  <c r="O316" i="5"/>
  <c r="K316" i="5"/>
  <c r="AG316" i="5"/>
  <c r="V315" i="4"/>
  <c r="AF316" i="5"/>
  <c r="C315" i="4"/>
  <c r="C316" i="5"/>
  <c r="D315" i="4"/>
  <c r="E316" i="5"/>
  <c r="I315" i="4"/>
  <c r="L316" i="5"/>
  <c r="J315" i="4"/>
  <c r="N316" i="5"/>
  <c r="L315" i="4"/>
  <c r="Q316" i="5"/>
  <c r="M315" i="4"/>
  <c r="R316" i="5"/>
  <c r="N315" i="4"/>
  <c r="T316" i="5"/>
  <c r="O315" i="4"/>
  <c r="U316" i="5"/>
  <c r="P315" i="4"/>
  <c r="W316" i="5"/>
  <c r="Q315" i="4"/>
  <c r="X316" i="5"/>
  <c r="AA316" i="5"/>
  <c r="AC316" i="5"/>
  <c r="AD316" i="5"/>
  <c r="X315" i="4"/>
  <c r="AI316" i="5"/>
  <c r="Y315" i="4"/>
  <c r="AJ316" i="5"/>
  <c r="Z315" i="4"/>
  <c r="AL316" i="5"/>
  <c r="F316" i="5"/>
  <c r="H316" i="5"/>
  <c r="I316" i="5"/>
  <c r="Z316" i="5"/>
  <c r="AN316" i="5"/>
  <c r="O317" i="5"/>
  <c r="K317" i="5"/>
  <c r="AG317" i="5"/>
  <c r="V307" i="4"/>
  <c r="AF317" i="5"/>
  <c r="C307" i="4"/>
  <c r="C317" i="5"/>
  <c r="D307" i="4"/>
  <c r="E317" i="5"/>
  <c r="I307" i="4"/>
  <c r="L317" i="5"/>
  <c r="J307" i="4"/>
  <c r="N317" i="5"/>
  <c r="L307" i="4"/>
  <c r="Q317" i="5"/>
  <c r="M307" i="4"/>
  <c r="R317" i="5"/>
  <c r="N307" i="4"/>
  <c r="T317" i="5"/>
  <c r="O307" i="4"/>
  <c r="U317" i="5"/>
  <c r="P307" i="4"/>
  <c r="W317" i="5"/>
  <c r="Q307" i="4"/>
  <c r="X317" i="5"/>
  <c r="AA317" i="5"/>
  <c r="AC317" i="5"/>
  <c r="AD317" i="5"/>
  <c r="X307" i="4"/>
  <c r="AI317" i="5"/>
  <c r="Y307" i="4"/>
  <c r="AJ317" i="5"/>
  <c r="Z307" i="4"/>
  <c r="AL317" i="5"/>
  <c r="F317" i="5"/>
  <c r="H317" i="5"/>
  <c r="I317" i="5"/>
  <c r="Z317" i="5"/>
  <c r="AN317" i="5"/>
  <c r="O318" i="5"/>
  <c r="K318" i="5"/>
  <c r="AG318" i="5"/>
  <c r="V316" i="4"/>
  <c r="AF318" i="5"/>
  <c r="C316" i="4"/>
  <c r="C318" i="5"/>
  <c r="D316" i="4"/>
  <c r="E318" i="5"/>
  <c r="I316" i="4"/>
  <c r="L318" i="5"/>
  <c r="J316" i="4"/>
  <c r="N318" i="5"/>
  <c r="L316" i="4"/>
  <c r="Q318" i="5"/>
  <c r="M316" i="4"/>
  <c r="R318" i="5"/>
  <c r="N316" i="4"/>
  <c r="T318" i="5"/>
  <c r="O316" i="4"/>
  <c r="U318" i="5"/>
  <c r="P316" i="4"/>
  <c r="W318" i="5"/>
  <c r="Q316" i="4"/>
  <c r="X318" i="5"/>
  <c r="AA318" i="5"/>
  <c r="AC318" i="5"/>
  <c r="AD318" i="5"/>
  <c r="X316" i="4"/>
  <c r="AI318" i="5"/>
  <c r="Y316" i="4"/>
  <c r="AJ318" i="5"/>
  <c r="Z316" i="4"/>
  <c r="AL318" i="5"/>
  <c r="F318" i="5"/>
  <c r="H318" i="5"/>
  <c r="I318" i="5"/>
  <c r="Z318" i="5"/>
  <c r="AN318" i="5"/>
  <c r="O319" i="5"/>
  <c r="K319" i="5"/>
  <c r="AG319" i="5"/>
  <c r="B339" i="4"/>
  <c r="V339" i="4"/>
  <c r="AF319" i="5"/>
  <c r="C319" i="5"/>
  <c r="D339" i="4"/>
  <c r="E319" i="5"/>
  <c r="I319" i="5"/>
  <c r="I339" i="4"/>
  <c r="L319" i="5"/>
  <c r="J339" i="4"/>
  <c r="N319" i="5"/>
  <c r="L339" i="4"/>
  <c r="Q319" i="5"/>
  <c r="M339" i="4"/>
  <c r="R319" i="5"/>
  <c r="N339" i="4"/>
  <c r="T319" i="5"/>
  <c r="O339" i="4"/>
  <c r="U319" i="5"/>
  <c r="P339" i="4"/>
  <c r="W319" i="5"/>
  <c r="Q339" i="4"/>
  <c r="X319" i="5"/>
  <c r="AA319" i="5"/>
  <c r="AC319" i="5"/>
  <c r="AD319" i="5"/>
  <c r="X339" i="4"/>
  <c r="AI319" i="5"/>
  <c r="Y339" i="4"/>
  <c r="AJ319" i="5"/>
  <c r="AL319" i="5"/>
  <c r="Z319" i="5"/>
  <c r="AN319" i="5"/>
  <c r="O320" i="5"/>
  <c r="K320" i="5"/>
  <c r="AG320" i="5"/>
  <c r="B320" i="4"/>
  <c r="V320" i="4"/>
  <c r="AF320" i="5"/>
  <c r="C320" i="5"/>
  <c r="D320" i="4"/>
  <c r="E320" i="5"/>
  <c r="I320" i="5"/>
  <c r="I320" i="4"/>
  <c r="L320" i="5"/>
  <c r="J320" i="4"/>
  <c r="N320" i="5"/>
  <c r="L320" i="4"/>
  <c r="Q320" i="5"/>
  <c r="M320" i="4"/>
  <c r="R320" i="5"/>
  <c r="N320" i="4"/>
  <c r="T320" i="5"/>
  <c r="O320" i="4"/>
  <c r="U320" i="5"/>
  <c r="P320" i="4"/>
  <c r="W320" i="5"/>
  <c r="Q320" i="4"/>
  <c r="X320" i="5"/>
  <c r="AA320" i="5"/>
  <c r="AC320" i="5"/>
  <c r="AD320" i="5"/>
  <c r="X320" i="4"/>
  <c r="AI320" i="5"/>
  <c r="Y320" i="4"/>
  <c r="AJ320" i="5"/>
  <c r="AL320" i="5"/>
  <c r="Z320" i="5"/>
  <c r="AN320" i="5"/>
  <c r="O321" i="5"/>
  <c r="K321" i="5"/>
  <c r="AG321" i="5"/>
  <c r="B337" i="4"/>
  <c r="V337" i="4"/>
  <c r="AF321" i="5"/>
  <c r="C321" i="5"/>
  <c r="D337" i="4"/>
  <c r="E321" i="5"/>
  <c r="I321" i="5"/>
  <c r="I337" i="4"/>
  <c r="L321" i="5"/>
  <c r="J337" i="4"/>
  <c r="N321" i="5"/>
  <c r="L337" i="4"/>
  <c r="Q321" i="5"/>
  <c r="M337" i="4"/>
  <c r="R321" i="5"/>
  <c r="N337" i="4"/>
  <c r="T321" i="5"/>
  <c r="O337" i="4"/>
  <c r="U321" i="5"/>
  <c r="P337" i="4"/>
  <c r="W321" i="5"/>
  <c r="Q337" i="4"/>
  <c r="X321" i="5"/>
  <c r="AA321" i="5"/>
  <c r="AC321" i="5"/>
  <c r="AD321" i="5"/>
  <c r="X337" i="4"/>
  <c r="AI321" i="5"/>
  <c r="Y337" i="4"/>
  <c r="AJ321" i="5"/>
  <c r="AL321" i="5"/>
  <c r="Z321" i="5"/>
  <c r="AN321" i="5"/>
  <c r="O322" i="5"/>
  <c r="K322" i="5"/>
  <c r="AG322" i="5"/>
  <c r="B334" i="4"/>
  <c r="V334" i="4"/>
  <c r="AF322" i="5"/>
  <c r="C322" i="5"/>
  <c r="D334" i="4"/>
  <c r="E322" i="5"/>
  <c r="I322" i="5"/>
  <c r="I334" i="4"/>
  <c r="L322" i="5"/>
  <c r="J334" i="4"/>
  <c r="N322" i="5"/>
  <c r="L334" i="4"/>
  <c r="Q322" i="5"/>
  <c r="M334" i="4"/>
  <c r="R322" i="5"/>
  <c r="N334" i="4"/>
  <c r="T322" i="5"/>
  <c r="O334" i="4"/>
  <c r="U322" i="5"/>
  <c r="P334" i="4"/>
  <c r="W322" i="5"/>
  <c r="Q334" i="4"/>
  <c r="X322" i="5"/>
  <c r="AA322" i="5"/>
  <c r="AC322" i="5"/>
  <c r="AD322" i="5"/>
  <c r="X334" i="4"/>
  <c r="AI322" i="5"/>
  <c r="Y334" i="4"/>
  <c r="AJ322" i="5"/>
  <c r="AL322" i="5"/>
  <c r="Z322" i="5"/>
  <c r="AN322" i="5"/>
  <c r="O323" i="5"/>
  <c r="K323" i="5"/>
  <c r="AG323" i="5"/>
  <c r="B335" i="4"/>
  <c r="V335" i="4"/>
  <c r="AF323" i="5"/>
  <c r="C323" i="5"/>
  <c r="D335" i="4"/>
  <c r="E323" i="5"/>
  <c r="I323" i="5"/>
  <c r="I335" i="4"/>
  <c r="L323" i="5"/>
  <c r="J335" i="4"/>
  <c r="N323" i="5"/>
  <c r="L335" i="4"/>
  <c r="Q323" i="5"/>
  <c r="M335" i="4"/>
  <c r="R323" i="5"/>
  <c r="N335" i="4"/>
  <c r="T323" i="5"/>
  <c r="O335" i="4"/>
  <c r="U323" i="5"/>
  <c r="P335" i="4"/>
  <c r="W323" i="5"/>
  <c r="Q335" i="4"/>
  <c r="X323" i="5"/>
  <c r="AA323" i="5"/>
  <c r="AC323" i="5"/>
  <c r="AD323" i="5"/>
  <c r="X335" i="4"/>
  <c r="AI323" i="5"/>
  <c r="Y335" i="4"/>
  <c r="AJ323" i="5"/>
  <c r="AL323" i="5"/>
  <c r="Z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H324" i="5"/>
  <c r="I324" i="5"/>
  <c r="Z324" i="5"/>
  <c r="AN324" i="5"/>
  <c r="O325" i="5"/>
  <c r="K325" i="5"/>
  <c r="AG325" i="5"/>
  <c r="AF325" i="5"/>
  <c r="C325" i="5"/>
  <c r="B322" i="4"/>
  <c r="D322" i="4"/>
  <c r="E325" i="5"/>
  <c r="I325" i="5"/>
  <c r="I322" i="4"/>
  <c r="L325" i="5"/>
  <c r="J322" i="4"/>
  <c r="N325" i="5"/>
  <c r="L322" i="4"/>
  <c r="Q325" i="5"/>
  <c r="M322" i="4"/>
  <c r="R325" i="5"/>
  <c r="N322" i="4"/>
  <c r="T325" i="5"/>
  <c r="O322" i="4"/>
  <c r="U325" i="5"/>
  <c r="P322" i="4"/>
  <c r="W325" i="5"/>
  <c r="Q322" i="4"/>
  <c r="X325" i="5"/>
  <c r="AA325" i="5"/>
  <c r="AC325" i="5"/>
  <c r="AD325" i="5"/>
  <c r="X322" i="4"/>
  <c r="AI325" i="5"/>
  <c r="Y322" i="4"/>
  <c r="AJ325" i="5"/>
  <c r="AL325" i="5"/>
  <c r="Z325" i="5"/>
  <c r="AN325" i="5"/>
  <c r="O326" i="5"/>
  <c r="K326" i="5"/>
  <c r="AG326" i="5"/>
  <c r="B323" i="4"/>
  <c r="V323" i="4"/>
  <c r="AF326" i="5"/>
  <c r="C326" i="5"/>
  <c r="D323" i="4"/>
  <c r="E326" i="5"/>
  <c r="I326" i="5"/>
  <c r="I323" i="4"/>
  <c r="L326" i="5"/>
  <c r="J323" i="4"/>
  <c r="N326" i="5"/>
  <c r="L323" i="4"/>
  <c r="Q326" i="5"/>
  <c r="M323" i="4"/>
  <c r="R326" i="5"/>
  <c r="N323" i="4"/>
  <c r="T326" i="5"/>
  <c r="O323" i="4"/>
  <c r="U326" i="5"/>
  <c r="P323" i="4"/>
  <c r="W326" i="5"/>
  <c r="Q323" i="4"/>
  <c r="X326" i="5"/>
  <c r="AA326" i="5"/>
  <c r="AC326" i="5"/>
  <c r="AD326" i="5"/>
  <c r="X323" i="4"/>
  <c r="AI326" i="5"/>
  <c r="Y323" i="4"/>
  <c r="AJ326" i="5"/>
  <c r="AL326" i="5"/>
  <c r="Z326" i="5"/>
  <c r="AN326" i="5"/>
  <c r="O327" i="5"/>
  <c r="K327" i="5"/>
  <c r="AG327" i="5"/>
  <c r="B324" i="4"/>
  <c r="V324" i="4"/>
  <c r="AF327" i="5"/>
  <c r="C327" i="5"/>
  <c r="D324" i="4"/>
  <c r="E327" i="5"/>
  <c r="I324" i="4"/>
  <c r="L327" i="5"/>
  <c r="J324" i="4"/>
  <c r="N327" i="5"/>
  <c r="L324" i="4"/>
  <c r="Q327" i="5"/>
  <c r="M324" i="4"/>
  <c r="R327" i="5"/>
  <c r="N324" i="4"/>
  <c r="T327" i="5"/>
  <c r="O324" i="4"/>
  <c r="U327" i="5"/>
  <c r="P324" i="4"/>
  <c r="W327" i="5"/>
  <c r="Q324" i="4"/>
  <c r="X327" i="5"/>
  <c r="AA327" i="5"/>
  <c r="AC327" i="5"/>
  <c r="AD327" i="5"/>
  <c r="X324" i="4"/>
  <c r="AI327" i="5"/>
  <c r="Y324" i="4"/>
  <c r="AJ327" i="5"/>
  <c r="AL327" i="5"/>
  <c r="F327" i="5"/>
  <c r="H327" i="5"/>
  <c r="I327" i="5"/>
  <c r="Z327" i="5"/>
  <c r="AN327" i="5"/>
  <c r="O328" i="5"/>
  <c r="K328" i="5"/>
  <c r="AG328" i="5"/>
  <c r="B325" i="4"/>
  <c r="V325" i="4"/>
  <c r="AF328" i="5"/>
  <c r="C328" i="5"/>
  <c r="D325" i="4"/>
  <c r="E328" i="5"/>
  <c r="I325" i="4"/>
  <c r="L328" i="5"/>
  <c r="J325" i="4"/>
  <c r="N328" i="5"/>
  <c r="L325" i="4"/>
  <c r="Q328" i="5"/>
  <c r="M325" i="4"/>
  <c r="R328" i="5"/>
  <c r="N325" i="4"/>
  <c r="T328" i="5"/>
  <c r="O325" i="4"/>
  <c r="U328" i="5"/>
  <c r="P325" i="4"/>
  <c r="W328" i="5"/>
  <c r="Q325" i="4"/>
  <c r="X328" i="5"/>
  <c r="AA328" i="5"/>
  <c r="AC328" i="5"/>
  <c r="AD328" i="5"/>
  <c r="X325" i="4"/>
  <c r="AI328" i="5"/>
  <c r="Y325" i="4"/>
  <c r="AJ328" i="5"/>
  <c r="AL328" i="5"/>
  <c r="F328" i="5"/>
  <c r="H328" i="5"/>
  <c r="I328" i="5"/>
  <c r="Z328" i="5"/>
  <c r="AN328" i="5"/>
  <c r="O329" i="5"/>
  <c r="K329" i="5"/>
  <c r="AG329" i="5"/>
  <c r="B319" i="4"/>
  <c r="V319" i="4"/>
  <c r="AF329" i="5"/>
  <c r="C329" i="5"/>
  <c r="D319" i="4"/>
  <c r="E329" i="5"/>
  <c r="I319" i="4"/>
  <c r="L329" i="5"/>
  <c r="J319" i="4"/>
  <c r="N329" i="5"/>
  <c r="L319" i="4"/>
  <c r="Q329" i="5"/>
  <c r="M319" i="4"/>
  <c r="R329" i="5"/>
  <c r="N319" i="4"/>
  <c r="T329" i="5"/>
  <c r="O319" i="4"/>
  <c r="U329" i="5"/>
  <c r="P319" i="4"/>
  <c r="W329" i="5"/>
  <c r="Q319" i="4"/>
  <c r="X329" i="5"/>
  <c r="AA329" i="5"/>
  <c r="AC329" i="5"/>
  <c r="AD329" i="5"/>
  <c r="X319" i="4"/>
  <c r="AI329" i="5"/>
  <c r="Y319" i="4"/>
  <c r="AJ329" i="5"/>
  <c r="AL329" i="5"/>
  <c r="F329" i="5"/>
  <c r="H329" i="5"/>
  <c r="I329" i="5"/>
  <c r="Z329" i="5"/>
  <c r="AN329" i="5"/>
  <c r="O330" i="5"/>
  <c r="K330" i="5"/>
  <c r="AG330" i="5"/>
  <c r="B343" i="4"/>
  <c r="V343" i="4"/>
  <c r="AF330" i="5"/>
  <c r="C330" i="5"/>
  <c r="D343" i="4"/>
  <c r="E330" i="5"/>
  <c r="I330" i="5"/>
  <c r="I343" i="4"/>
  <c r="L330" i="5"/>
  <c r="J343" i="4"/>
  <c r="N330" i="5"/>
  <c r="L343" i="4"/>
  <c r="Q330" i="5"/>
  <c r="M343" i="4"/>
  <c r="R330" i="5"/>
  <c r="N343" i="4"/>
  <c r="T330" i="5"/>
  <c r="O343" i="4"/>
  <c r="U330" i="5"/>
  <c r="P343" i="4"/>
  <c r="W330" i="5"/>
  <c r="Q343" i="4"/>
  <c r="X330" i="5"/>
  <c r="AA330" i="5"/>
  <c r="AC330" i="5"/>
  <c r="AD330" i="5"/>
  <c r="X343" i="4"/>
  <c r="AI330" i="5"/>
  <c r="Y343" i="4"/>
  <c r="AJ330" i="5"/>
  <c r="AL330" i="5"/>
  <c r="Z330" i="5"/>
  <c r="AN330" i="5"/>
  <c r="O331" i="5"/>
  <c r="K331" i="5"/>
  <c r="AG331" i="5"/>
  <c r="B340" i="4"/>
  <c r="AF331" i="5"/>
  <c r="C331" i="5"/>
  <c r="D340" i="4"/>
  <c r="E331" i="5"/>
  <c r="I331" i="5"/>
  <c r="I340" i="4"/>
  <c r="L331" i="5"/>
  <c r="J340" i="4"/>
  <c r="N331" i="5"/>
  <c r="L340" i="4"/>
  <c r="Q331" i="5"/>
  <c r="M340" i="4"/>
  <c r="R331" i="5"/>
  <c r="N340" i="4"/>
  <c r="T331" i="5"/>
  <c r="O340" i="4"/>
  <c r="U331" i="5"/>
  <c r="P340" i="4"/>
  <c r="W331" i="5"/>
  <c r="Q340" i="4"/>
  <c r="X331" i="5"/>
  <c r="AA331" i="5"/>
  <c r="AC331" i="5"/>
  <c r="AD331" i="5"/>
  <c r="X340" i="4"/>
  <c r="AI331" i="5"/>
  <c r="Z331" i="5"/>
  <c r="AN331" i="5"/>
  <c r="O332" i="5"/>
  <c r="K332" i="5"/>
  <c r="AG332" i="5"/>
  <c r="B338" i="4"/>
  <c r="V338" i="4"/>
  <c r="AF332" i="5"/>
  <c r="C332" i="5"/>
  <c r="D338" i="4"/>
  <c r="E332" i="5"/>
  <c r="I332" i="5"/>
  <c r="I338" i="4"/>
  <c r="L332" i="5"/>
  <c r="J338" i="4"/>
  <c r="N332" i="5"/>
  <c r="L338" i="4"/>
  <c r="Q332" i="5"/>
  <c r="M338" i="4"/>
  <c r="R332" i="5"/>
  <c r="N338" i="4"/>
  <c r="T332" i="5"/>
  <c r="O338" i="4"/>
  <c r="U332" i="5"/>
  <c r="P338" i="4"/>
  <c r="W332" i="5"/>
  <c r="Q338" i="4"/>
  <c r="X332" i="5"/>
  <c r="AA332" i="5"/>
  <c r="AC332" i="5"/>
  <c r="AD332" i="5"/>
  <c r="X338" i="4"/>
  <c r="AI332" i="5"/>
  <c r="Y338" i="4"/>
  <c r="AJ332" i="5"/>
  <c r="AL332" i="5"/>
  <c r="Z332" i="5"/>
  <c r="AN332" i="5"/>
  <c r="O333" i="5"/>
  <c r="K333" i="5"/>
  <c r="AG333" i="5"/>
  <c r="B341" i="4"/>
  <c r="V341" i="4"/>
  <c r="AF333" i="5"/>
  <c r="C333" i="5"/>
  <c r="D341" i="4"/>
  <c r="E333" i="5"/>
  <c r="I333" i="5"/>
  <c r="I341" i="4"/>
  <c r="L333" i="5"/>
  <c r="J341" i="4"/>
  <c r="N333" i="5"/>
  <c r="L341" i="4"/>
  <c r="Q333" i="5"/>
  <c r="M341" i="4"/>
  <c r="R333" i="5"/>
  <c r="N341" i="4"/>
  <c r="T333" i="5"/>
  <c r="O341" i="4"/>
  <c r="U333" i="5"/>
  <c r="P341" i="4"/>
  <c r="W333" i="5"/>
  <c r="Q341" i="4"/>
  <c r="X333" i="5"/>
  <c r="AA333" i="5"/>
  <c r="AC333" i="5"/>
  <c r="AD333" i="5"/>
  <c r="X341" i="4"/>
  <c r="AI333" i="5"/>
  <c r="Y341" i="4"/>
  <c r="AJ333" i="5"/>
  <c r="AL333" i="5"/>
  <c r="Z333" i="5"/>
  <c r="AN333" i="5"/>
  <c r="O334" i="5"/>
  <c r="K334" i="5"/>
  <c r="AG334" i="5"/>
  <c r="B342" i="4"/>
  <c r="V342" i="4"/>
  <c r="AF334" i="5"/>
  <c r="C334" i="5"/>
  <c r="D342" i="4"/>
  <c r="E334" i="5"/>
  <c r="I342" i="4"/>
  <c r="L334" i="5"/>
  <c r="J342" i="4"/>
  <c r="N334" i="5"/>
  <c r="L342" i="4"/>
  <c r="Q334" i="5"/>
  <c r="M342" i="4"/>
  <c r="R334" i="5"/>
  <c r="N342" i="4"/>
  <c r="T334" i="5"/>
  <c r="O342" i="4"/>
  <c r="U334" i="5"/>
  <c r="P342" i="4"/>
  <c r="W334" i="5"/>
  <c r="Q342" i="4"/>
  <c r="X334" i="5"/>
  <c r="AA334" i="5"/>
  <c r="AC334" i="5"/>
  <c r="AD334" i="5"/>
  <c r="X342" i="4"/>
  <c r="AI334" i="5"/>
  <c r="Y342" i="4"/>
  <c r="AJ334" i="5"/>
  <c r="AL334" i="5"/>
  <c r="F334" i="5"/>
  <c r="H334" i="5"/>
  <c r="I334" i="5"/>
  <c r="Z334" i="5"/>
  <c r="AN334" i="5"/>
  <c r="O335" i="5"/>
  <c r="K335" i="5"/>
  <c r="AG335" i="5"/>
  <c r="B349" i="4"/>
  <c r="V349" i="4"/>
  <c r="AF335" i="5"/>
  <c r="C335" i="5"/>
  <c r="D349" i="4"/>
  <c r="E335" i="5"/>
  <c r="I349" i="4"/>
  <c r="L335" i="5"/>
  <c r="J349" i="4"/>
  <c r="N335" i="5"/>
  <c r="L349" i="4"/>
  <c r="Q335" i="5"/>
  <c r="M349" i="4"/>
  <c r="R335" i="5"/>
  <c r="N349" i="4"/>
  <c r="T335" i="5"/>
  <c r="O349" i="4"/>
  <c r="U335" i="5"/>
  <c r="P349" i="4"/>
  <c r="W335" i="5"/>
  <c r="Q349" i="4"/>
  <c r="X335" i="5"/>
  <c r="AA335" i="5"/>
  <c r="AC335" i="5"/>
  <c r="AD335" i="5"/>
  <c r="X349" i="4"/>
  <c r="AI335" i="5"/>
  <c r="Y349" i="4"/>
  <c r="AJ335" i="5"/>
  <c r="AL335" i="5"/>
  <c r="F335" i="5"/>
  <c r="H335" i="5"/>
  <c r="I335" i="5"/>
  <c r="Z335" i="5"/>
  <c r="AN335" i="5"/>
  <c r="O336" i="5"/>
  <c r="K336" i="5"/>
  <c r="AG336" i="5"/>
  <c r="B347" i="4"/>
  <c r="V347" i="4"/>
  <c r="AF336" i="5"/>
  <c r="C336" i="5"/>
  <c r="D347" i="4"/>
  <c r="E336" i="5"/>
  <c r="I336" i="5"/>
  <c r="I347" i="4"/>
  <c r="L336" i="5"/>
  <c r="J347" i="4"/>
  <c r="N336" i="5"/>
  <c r="L347" i="4"/>
  <c r="Q336" i="5"/>
  <c r="M347" i="4"/>
  <c r="R336" i="5"/>
  <c r="N347" i="4"/>
  <c r="T336" i="5"/>
  <c r="O347" i="4"/>
  <c r="U336" i="5"/>
  <c r="P347" i="4"/>
  <c r="W336" i="5"/>
  <c r="Q347" i="4"/>
  <c r="X336" i="5"/>
  <c r="AA336" i="5"/>
  <c r="AC336" i="5"/>
  <c r="AD336" i="5"/>
  <c r="X347" i="4"/>
  <c r="AI336" i="5"/>
  <c r="Y347" i="4"/>
  <c r="AJ336" i="5"/>
  <c r="AL336" i="5"/>
  <c r="Z336" i="5"/>
  <c r="AN336" i="5"/>
  <c r="O337" i="5"/>
  <c r="K337" i="5"/>
  <c r="AG337" i="5"/>
  <c r="AF337" i="5"/>
  <c r="C337" i="5"/>
  <c r="B345" i="4"/>
  <c r="D345" i="4"/>
  <c r="E337" i="5"/>
  <c r="I337" i="5"/>
  <c r="I345" i="4"/>
  <c r="L337" i="5"/>
  <c r="J345" i="4"/>
  <c r="N337" i="5"/>
  <c r="L345" i="4"/>
  <c r="Q337" i="5"/>
  <c r="M345" i="4"/>
  <c r="R337" i="5"/>
  <c r="N345" i="4"/>
  <c r="T337" i="5"/>
  <c r="O345" i="4"/>
  <c r="U337" i="5"/>
  <c r="P345" i="4"/>
  <c r="W337" i="5"/>
  <c r="Q345" i="4"/>
  <c r="X337" i="5"/>
  <c r="AA337" i="5"/>
  <c r="AC337" i="5"/>
  <c r="AD337" i="5"/>
  <c r="X345" i="4"/>
  <c r="AI337" i="5"/>
  <c r="Y345" i="4"/>
  <c r="AJ337" i="5"/>
  <c r="AL337" i="5"/>
  <c r="Z337" i="5"/>
  <c r="AN337" i="5"/>
  <c r="O338" i="5"/>
  <c r="K338" i="5"/>
  <c r="AG338" i="5"/>
  <c r="B344" i="4"/>
  <c r="V344" i="4"/>
  <c r="AF338" i="5"/>
  <c r="C338" i="5"/>
  <c r="D344" i="4"/>
  <c r="E338" i="5"/>
  <c r="I338" i="5"/>
  <c r="I344" i="4"/>
  <c r="L338" i="5"/>
  <c r="J344" i="4"/>
  <c r="N338" i="5"/>
  <c r="L344" i="4"/>
  <c r="Q338" i="5"/>
  <c r="M344" i="4"/>
  <c r="R338" i="5"/>
  <c r="N344" i="4"/>
  <c r="T338" i="5"/>
  <c r="O344" i="4"/>
  <c r="U338" i="5"/>
  <c r="P344" i="4"/>
  <c r="W338" i="5"/>
  <c r="Q344" i="4"/>
  <c r="X338" i="5"/>
  <c r="AA338" i="5"/>
  <c r="AC338" i="5"/>
  <c r="AD338" i="5"/>
  <c r="X344" i="4"/>
  <c r="AI338" i="5"/>
  <c r="Y344" i="4"/>
  <c r="AJ338" i="5"/>
  <c r="AL338" i="5"/>
  <c r="Z338" i="5"/>
  <c r="AN338" i="5"/>
  <c r="O339" i="5"/>
  <c r="K339" i="5"/>
  <c r="AG339" i="5"/>
  <c r="B350" i="4"/>
  <c r="V350" i="4"/>
  <c r="AF339" i="5"/>
  <c r="C339" i="5"/>
  <c r="D350" i="4"/>
  <c r="E339" i="5"/>
  <c r="I339" i="5"/>
  <c r="I350" i="4"/>
  <c r="L339" i="5"/>
  <c r="J350" i="4"/>
  <c r="N339" i="5"/>
  <c r="L350" i="4"/>
  <c r="Q339" i="5"/>
  <c r="M350" i="4"/>
  <c r="R339" i="5"/>
  <c r="N350" i="4"/>
  <c r="T339" i="5"/>
  <c r="O350" i="4"/>
  <c r="U339" i="5"/>
  <c r="P350" i="4"/>
  <c r="W339" i="5"/>
  <c r="Q350" i="4"/>
  <c r="X339" i="5"/>
  <c r="AA339" i="5"/>
  <c r="AC339" i="5"/>
  <c r="AD339" i="5"/>
  <c r="X350" i="4"/>
  <c r="AI339" i="5"/>
  <c r="Y350" i="4"/>
  <c r="AJ339" i="5"/>
  <c r="AL339" i="5"/>
  <c r="Z339" i="5"/>
  <c r="AN339" i="5"/>
  <c r="O340" i="5"/>
  <c r="K340" i="5"/>
  <c r="AG340" i="5"/>
  <c r="B346" i="4"/>
  <c r="V346" i="4"/>
  <c r="AF340" i="5"/>
  <c r="C340" i="5"/>
  <c r="D346" i="4"/>
  <c r="E340" i="5"/>
  <c r="I346" i="4"/>
  <c r="L340" i="5"/>
  <c r="J346" i="4"/>
  <c r="N340" i="5"/>
  <c r="L346" i="4"/>
  <c r="Q340" i="5"/>
  <c r="M346" i="4"/>
  <c r="R340" i="5"/>
  <c r="N346" i="4"/>
  <c r="T340" i="5"/>
  <c r="O346" i="4"/>
  <c r="U340" i="5"/>
  <c r="P346" i="4"/>
  <c r="W340" i="5"/>
  <c r="Q346" i="4"/>
  <c r="X340" i="5"/>
  <c r="AA340" i="5"/>
  <c r="AC340" i="5"/>
  <c r="AD340" i="5"/>
  <c r="X346" i="4"/>
  <c r="AI340" i="5"/>
  <c r="Y346" i="4"/>
  <c r="AJ340" i="5"/>
  <c r="AL340" i="5"/>
  <c r="F340" i="5"/>
  <c r="H340" i="5"/>
  <c r="I340" i="5"/>
  <c r="Z340" i="5"/>
  <c r="AN340" i="5"/>
  <c r="O341" i="5"/>
  <c r="K341" i="5"/>
  <c r="AG341" i="5"/>
  <c r="B351" i="4"/>
  <c r="V351" i="4"/>
  <c r="AF341" i="5"/>
  <c r="C341" i="5"/>
  <c r="D351" i="4"/>
  <c r="E341" i="5"/>
  <c r="I341" i="5"/>
  <c r="I351" i="4"/>
  <c r="L341" i="5"/>
  <c r="J351" i="4"/>
  <c r="N341" i="5"/>
  <c r="L351" i="4"/>
  <c r="Q341" i="5"/>
  <c r="M351" i="4"/>
  <c r="R341" i="5"/>
  <c r="N351" i="4"/>
  <c r="T341" i="5"/>
  <c r="O351" i="4"/>
  <c r="U341" i="5"/>
  <c r="P351" i="4"/>
  <c r="W341" i="5"/>
  <c r="Q351" i="4"/>
  <c r="X341" i="5"/>
  <c r="AA341" i="5"/>
  <c r="AC341" i="5"/>
  <c r="AD341" i="5"/>
  <c r="X351" i="4"/>
  <c r="AI341" i="5"/>
  <c r="Y351" i="4"/>
  <c r="AJ341" i="5"/>
  <c r="AL341" i="5"/>
  <c r="Z341" i="5"/>
  <c r="AN341" i="5"/>
  <c r="O342" i="5"/>
  <c r="K342" i="5"/>
  <c r="AG342" i="5"/>
  <c r="B326" i="4"/>
  <c r="V326" i="4"/>
  <c r="AF342" i="5"/>
  <c r="C342" i="5"/>
  <c r="D326" i="4"/>
  <c r="E342" i="5"/>
  <c r="I326" i="4"/>
  <c r="L342" i="5"/>
  <c r="J326" i="4"/>
  <c r="N342" i="5"/>
  <c r="L326" i="4"/>
  <c r="Q342" i="5"/>
  <c r="M326" i="4"/>
  <c r="R342" i="5"/>
  <c r="N326" i="4"/>
  <c r="T342" i="5"/>
  <c r="O326" i="4"/>
  <c r="U342" i="5"/>
  <c r="P326" i="4"/>
  <c r="W342" i="5"/>
  <c r="Q326" i="4"/>
  <c r="X342" i="5"/>
  <c r="AA342" i="5"/>
  <c r="AC342" i="5"/>
  <c r="AD342" i="5"/>
  <c r="X326" i="4"/>
  <c r="AI342" i="5"/>
  <c r="Y326" i="4"/>
  <c r="AJ342" i="5"/>
  <c r="AL342" i="5"/>
  <c r="F342" i="5"/>
  <c r="H342" i="5"/>
  <c r="I342" i="5"/>
  <c r="Z342" i="5"/>
  <c r="AN342" i="5"/>
  <c r="O343" i="5"/>
  <c r="K343" i="5"/>
  <c r="AG343" i="5"/>
  <c r="B327" i="4"/>
  <c r="V327" i="4"/>
  <c r="AF343" i="5"/>
  <c r="C343" i="5"/>
  <c r="D327" i="4"/>
  <c r="E343" i="5"/>
  <c r="I343" i="5"/>
  <c r="I327" i="4"/>
  <c r="L343" i="5"/>
  <c r="J327" i="4"/>
  <c r="N343" i="5"/>
  <c r="L327" i="4"/>
  <c r="Q343" i="5"/>
  <c r="M327" i="4"/>
  <c r="R343" i="5"/>
  <c r="N327" i="4"/>
  <c r="T343" i="5"/>
  <c r="O327" i="4"/>
  <c r="U343" i="5"/>
  <c r="P327" i="4"/>
  <c r="W343" i="5"/>
  <c r="Q327" i="4"/>
  <c r="X343" i="5"/>
  <c r="AA343" i="5"/>
  <c r="AC343" i="5"/>
  <c r="AD343" i="5"/>
  <c r="X327" i="4"/>
  <c r="AI343" i="5"/>
  <c r="Y327" i="4"/>
  <c r="AJ343" i="5"/>
  <c r="AL343" i="5"/>
  <c r="Z343" i="5"/>
  <c r="AN343" i="5"/>
  <c r="O344" i="5"/>
  <c r="K344" i="5"/>
  <c r="AG344" i="5"/>
  <c r="B328" i="4"/>
  <c r="V328" i="4"/>
  <c r="AF344" i="5"/>
  <c r="C344" i="5"/>
  <c r="D328" i="4"/>
  <c r="E344" i="5"/>
  <c r="I328" i="4"/>
  <c r="L344" i="5"/>
  <c r="J328" i="4"/>
  <c r="N344" i="5"/>
  <c r="L328" i="4"/>
  <c r="Q344" i="5"/>
  <c r="M328" i="4"/>
  <c r="R344" i="5"/>
  <c r="N328" i="4"/>
  <c r="T344" i="5"/>
  <c r="O328" i="4"/>
  <c r="U344" i="5"/>
  <c r="P328" i="4"/>
  <c r="W344" i="5"/>
  <c r="Q328" i="4"/>
  <c r="X344" i="5"/>
  <c r="AA344" i="5"/>
  <c r="AC344" i="5"/>
  <c r="AD344" i="5"/>
  <c r="X328" i="4"/>
  <c r="AI344" i="5"/>
  <c r="Y328" i="4"/>
  <c r="AJ344" i="5"/>
  <c r="AL344" i="5"/>
  <c r="F344" i="5"/>
  <c r="H344" i="5"/>
  <c r="I344" i="5"/>
  <c r="Z344" i="5"/>
  <c r="AN344" i="5"/>
  <c r="O345" i="5"/>
  <c r="K345" i="5"/>
  <c r="AG345" i="5"/>
  <c r="B329" i="4"/>
  <c r="V329" i="4"/>
  <c r="AF345" i="5"/>
  <c r="C345" i="5"/>
  <c r="D329" i="4"/>
  <c r="E345" i="5"/>
  <c r="I345" i="5"/>
  <c r="I329" i="4"/>
  <c r="L345" i="5"/>
  <c r="J329" i="4"/>
  <c r="N345" i="5"/>
  <c r="L329" i="4"/>
  <c r="Q345" i="5"/>
  <c r="M329" i="4"/>
  <c r="R345" i="5"/>
  <c r="N329" i="4"/>
  <c r="T345" i="5"/>
  <c r="O329" i="4"/>
  <c r="U345" i="5"/>
  <c r="P329" i="4"/>
  <c r="W345" i="5"/>
  <c r="Q329" i="4"/>
  <c r="X345" i="5"/>
  <c r="AA345" i="5"/>
  <c r="AC345" i="5"/>
  <c r="AD345" i="5"/>
  <c r="X329" i="4"/>
  <c r="AI345" i="5"/>
  <c r="Y329" i="4"/>
  <c r="AJ345" i="5"/>
  <c r="AL345" i="5"/>
  <c r="Z345" i="5"/>
  <c r="AN345" i="5"/>
  <c r="O346" i="5"/>
  <c r="K346" i="5"/>
  <c r="AG346" i="5"/>
  <c r="B336" i="4"/>
  <c r="V336" i="4"/>
  <c r="AF346" i="5"/>
  <c r="C346" i="5"/>
  <c r="D336" i="4"/>
  <c r="E346" i="5"/>
  <c r="I346" i="5"/>
  <c r="I336" i="4"/>
  <c r="L346" i="5"/>
  <c r="J336" i="4"/>
  <c r="N346" i="5"/>
  <c r="L336" i="4"/>
  <c r="Q346" i="5"/>
  <c r="M336" i="4"/>
  <c r="R346" i="5"/>
  <c r="N336" i="4"/>
  <c r="T346" i="5"/>
  <c r="O336" i="4"/>
  <c r="U346" i="5"/>
  <c r="P336" i="4"/>
  <c r="W346" i="5"/>
  <c r="Q336" i="4"/>
  <c r="X346" i="5"/>
  <c r="AA346" i="5"/>
  <c r="AC346" i="5"/>
  <c r="AD346" i="5"/>
  <c r="X336" i="4"/>
  <c r="AI346" i="5"/>
  <c r="Y336" i="4"/>
  <c r="AJ346" i="5"/>
  <c r="AL346" i="5"/>
  <c r="Z346" i="5"/>
  <c r="AN346" i="5"/>
  <c r="O347" i="5"/>
  <c r="K347" i="5"/>
  <c r="AG347" i="5"/>
  <c r="B330" i="4"/>
  <c r="V330" i="4"/>
  <c r="AF347" i="5"/>
  <c r="C347" i="5"/>
  <c r="D330" i="4"/>
  <c r="E347" i="5"/>
  <c r="I347" i="5"/>
  <c r="I330" i="4"/>
  <c r="L347" i="5"/>
  <c r="J330" i="4"/>
  <c r="N347" i="5"/>
  <c r="L330" i="4"/>
  <c r="Q347" i="5"/>
  <c r="M330" i="4"/>
  <c r="R347" i="5"/>
  <c r="N330" i="4"/>
  <c r="T347" i="5"/>
  <c r="O330" i="4"/>
  <c r="U347" i="5"/>
  <c r="P330" i="4"/>
  <c r="W347" i="5"/>
  <c r="Q330" i="4"/>
  <c r="X347" i="5"/>
  <c r="AA347" i="5"/>
  <c r="AC347" i="5"/>
  <c r="AD347" i="5"/>
  <c r="X330" i="4"/>
  <c r="AI347" i="5"/>
  <c r="Y330" i="4"/>
  <c r="AJ347" i="5"/>
  <c r="AL347" i="5"/>
  <c r="Z347" i="5"/>
  <c r="AN347" i="5"/>
  <c r="O348" i="5"/>
  <c r="K348" i="5"/>
  <c r="AG348" i="5"/>
  <c r="B331" i="4"/>
  <c r="V331" i="4"/>
  <c r="AF348" i="5"/>
  <c r="C348" i="5"/>
  <c r="D331" i="4"/>
  <c r="E348" i="5"/>
  <c r="I331" i="4"/>
  <c r="L348" i="5"/>
  <c r="J331" i="4"/>
  <c r="N348" i="5"/>
  <c r="L331" i="4"/>
  <c r="Q348" i="5"/>
  <c r="M331" i="4"/>
  <c r="R348" i="5"/>
  <c r="N331" i="4"/>
  <c r="T348" i="5"/>
  <c r="O331" i="4"/>
  <c r="U348" i="5"/>
  <c r="P331" i="4"/>
  <c r="W348" i="5"/>
  <c r="Q331" i="4"/>
  <c r="X348" i="5"/>
  <c r="AA348" i="5"/>
  <c r="AC348" i="5"/>
  <c r="AD348" i="5"/>
  <c r="X331" i="4"/>
  <c r="AI348" i="5"/>
  <c r="Y331" i="4"/>
  <c r="AJ348" i="5"/>
  <c r="AL348" i="5"/>
  <c r="F348" i="5"/>
  <c r="H348" i="5"/>
  <c r="I348" i="5"/>
  <c r="Z348" i="5"/>
  <c r="AN348" i="5"/>
  <c r="O349" i="5"/>
  <c r="K349" i="5"/>
  <c r="AG349" i="5"/>
  <c r="B332" i="4"/>
  <c r="V332" i="4"/>
  <c r="AF349" i="5"/>
  <c r="C349" i="5"/>
  <c r="D332" i="4"/>
  <c r="E349" i="5"/>
  <c r="I332" i="4"/>
  <c r="L349" i="5"/>
  <c r="J332" i="4"/>
  <c r="N349" i="5"/>
  <c r="L332" i="4"/>
  <c r="Q349" i="5"/>
  <c r="M332" i="4"/>
  <c r="R349" i="5"/>
  <c r="N332" i="4"/>
  <c r="T349" i="5"/>
  <c r="O332" i="4"/>
  <c r="U349" i="5"/>
  <c r="P332" i="4"/>
  <c r="W349" i="5"/>
  <c r="Q332" i="4"/>
  <c r="X349" i="5"/>
  <c r="AA349" i="5"/>
  <c r="AC349" i="5"/>
  <c r="AD349" i="5"/>
  <c r="X332" i="4"/>
  <c r="AI349" i="5"/>
  <c r="Y332" i="4"/>
  <c r="AJ349" i="5"/>
  <c r="AL349" i="5"/>
  <c r="F349" i="5"/>
  <c r="H349" i="5"/>
  <c r="I349" i="5"/>
  <c r="Z349" i="5"/>
  <c r="AN349" i="5"/>
  <c r="O350" i="5"/>
  <c r="K350" i="5"/>
  <c r="AG350" i="5"/>
  <c r="B333" i="4"/>
  <c r="V333" i="4"/>
  <c r="AF350" i="5"/>
  <c r="C350" i="5"/>
  <c r="D333" i="4"/>
  <c r="E350" i="5"/>
  <c r="I333" i="4"/>
  <c r="L350" i="5"/>
  <c r="J333" i="4"/>
  <c r="N350" i="5"/>
  <c r="L333" i="4"/>
  <c r="Q350" i="5"/>
  <c r="M333" i="4"/>
  <c r="R350" i="5"/>
  <c r="N333" i="4"/>
  <c r="T350" i="5"/>
  <c r="O333" i="4"/>
  <c r="U350" i="5"/>
  <c r="P333" i="4"/>
  <c r="W350" i="5"/>
  <c r="Q333" i="4"/>
  <c r="X350" i="5"/>
  <c r="AA350" i="5"/>
  <c r="AC350" i="5"/>
  <c r="AD350" i="5"/>
  <c r="X333" i="4"/>
  <c r="AI350" i="5"/>
  <c r="Y333" i="4"/>
  <c r="AJ350" i="5"/>
  <c r="AL350" i="5"/>
  <c r="F350" i="5"/>
  <c r="H350" i="5"/>
  <c r="I350" i="5"/>
  <c r="Z350" i="5"/>
  <c r="AN350" i="5"/>
  <c r="O351" i="5"/>
  <c r="K351" i="5"/>
  <c r="AG351" i="5"/>
  <c r="B348" i="4"/>
  <c r="V348" i="4"/>
  <c r="AF351" i="5"/>
  <c r="C351" i="5"/>
  <c r="D348" i="4"/>
  <c r="E351" i="5"/>
  <c r="I351" i="5"/>
  <c r="I348" i="4"/>
  <c r="L351" i="5"/>
  <c r="J348" i="4"/>
  <c r="N351" i="5"/>
  <c r="L348" i="4"/>
  <c r="Q351" i="5"/>
  <c r="M348" i="4"/>
  <c r="R351" i="5"/>
  <c r="N348" i="4"/>
  <c r="T351" i="5"/>
  <c r="O348" i="4"/>
  <c r="U351" i="5"/>
  <c r="P348" i="4"/>
  <c r="W351" i="5"/>
  <c r="Q348" i="4"/>
  <c r="X351" i="5"/>
  <c r="AA351" i="5"/>
  <c r="AC351" i="5"/>
  <c r="AD351" i="5"/>
  <c r="X348" i="4"/>
  <c r="AI351" i="5"/>
  <c r="Y348" i="4"/>
  <c r="AJ351" i="5"/>
  <c r="AL351" i="5"/>
  <c r="Z351" i="5"/>
  <c r="AN351" i="5"/>
  <c r="B358" i="4"/>
  <c r="K358" i="4"/>
  <c r="O352" i="5"/>
  <c r="H358" i="4"/>
  <c r="K352" i="5"/>
  <c r="W358" i="4"/>
  <c r="AG352" i="5"/>
  <c r="V358" i="4"/>
  <c r="AF352" i="5"/>
  <c r="C358" i="4"/>
  <c r="C352" i="5"/>
  <c r="D358" i="4"/>
  <c r="E352" i="5"/>
  <c r="I358" i="4"/>
  <c r="L352" i="5"/>
  <c r="J358" i="4"/>
  <c r="N352" i="5"/>
  <c r="L358" i="4"/>
  <c r="Q352" i="5"/>
  <c r="M358" i="4"/>
  <c r="R352" i="5"/>
  <c r="N358" i="4"/>
  <c r="T352" i="5"/>
  <c r="O358" i="4"/>
  <c r="U352" i="5"/>
  <c r="P358" i="4"/>
  <c r="W352" i="5"/>
  <c r="Q358" i="4"/>
  <c r="X352" i="5"/>
  <c r="S358" i="4"/>
  <c r="AA352" i="5"/>
  <c r="T358" i="4"/>
  <c r="AC352" i="5"/>
  <c r="U358" i="4"/>
  <c r="AD352" i="5"/>
  <c r="X358" i="4"/>
  <c r="AI352" i="5"/>
  <c r="Y358" i="4"/>
  <c r="AJ352" i="5"/>
  <c r="Z358" i="4"/>
  <c r="AL352" i="5"/>
  <c r="F352" i="5"/>
  <c r="H352" i="5"/>
  <c r="I352" i="5"/>
  <c r="Z352" i="5"/>
  <c r="AN352" i="5"/>
  <c r="B369" i="4"/>
  <c r="K369" i="4"/>
  <c r="O353" i="5"/>
  <c r="H369" i="4"/>
  <c r="K353" i="5"/>
  <c r="W369" i="4"/>
  <c r="AG353" i="5"/>
  <c r="V369" i="4"/>
  <c r="AF353" i="5"/>
  <c r="C369" i="4"/>
  <c r="C353" i="5"/>
  <c r="D369" i="4"/>
  <c r="E353" i="5"/>
  <c r="I369" i="4"/>
  <c r="L353" i="5"/>
  <c r="J369" i="4"/>
  <c r="N353" i="5"/>
  <c r="L369" i="4"/>
  <c r="Q353" i="5"/>
  <c r="M369" i="4"/>
  <c r="R353" i="5"/>
  <c r="N369" i="4"/>
  <c r="T353" i="5"/>
  <c r="O369" i="4"/>
  <c r="U353" i="5"/>
  <c r="P369" i="4"/>
  <c r="W353" i="5"/>
  <c r="Q369" i="4"/>
  <c r="X353" i="5"/>
  <c r="S369" i="4"/>
  <c r="AA353" i="5"/>
  <c r="T369" i="4"/>
  <c r="AC353" i="5"/>
  <c r="U369" i="4"/>
  <c r="AD353" i="5"/>
  <c r="X369" i="4"/>
  <c r="AI353" i="5"/>
  <c r="Y369" i="4"/>
  <c r="AJ353" i="5"/>
  <c r="Z369" i="4"/>
  <c r="AL353" i="5"/>
  <c r="F353" i="5"/>
  <c r="H353" i="5"/>
  <c r="I353" i="5"/>
  <c r="Z353" i="5"/>
  <c r="AN353" i="5"/>
  <c r="B370" i="4"/>
  <c r="K370" i="4"/>
  <c r="O354" i="5"/>
  <c r="H370" i="4"/>
  <c r="K354" i="5"/>
  <c r="W370" i="4"/>
  <c r="AG354" i="5"/>
  <c r="V370" i="4"/>
  <c r="AF354" i="5"/>
  <c r="C370" i="4"/>
  <c r="C354" i="5"/>
  <c r="D370" i="4"/>
  <c r="E354" i="5"/>
  <c r="I370" i="4"/>
  <c r="L354" i="5"/>
  <c r="J370" i="4"/>
  <c r="N354" i="5"/>
  <c r="L370" i="4"/>
  <c r="Q354" i="5"/>
  <c r="M370" i="4"/>
  <c r="R354" i="5"/>
  <c r="N370" i="4"/>
  <c r="T354" i="5"/>
  <c r="O370" i="4"/>
  <c r="U354" i="5"/>
  <c r="P370" i="4"/>
  <c r="W354" i="5"/>
  <c r="Q370" i="4"/>
  <c r="X354" i="5"/>
  <c r="S370" i="4"/>
  <c r="AA354" i="5"/>
  <c r="T370" i="4"/>
  <c r="AC354" i="5"/>
  <c r="U370" i="4"/>
  <c r="AD354" i="5"/>
  <c r="X370" i="4"/>
  <c r="AI354" i="5"/>
  <c r="Y370" i="4"/>
  <c r="AJ354" i="5"/>
  <c r="Z370" i="4"/>
  <c r="AL354" i="5"/>
  <c r="F354" i="5"/>
  <c r="H354" i="5"/>
  <c r="I354" i="5"/>
  <c r="Z354" i="5"/>
  <c r="AN354" i="5"/>
  <c r="B371" i="4"/>
  <c r="S371" i="4"/>
  <c r="AA355" i="5"/>
  <c r="P371" i="4"/>
  <c r="W355" i="5"/>
  <c r="K371" i="4"/>
  <c r="O355" i="5"/>
  <c r="H371" i="4"/>
  <c r="K355" i="5"/>
  <c r="W371" i="4"/>
  <c r="AG355" i="5"/>
  <c r="V371" i="4"/>
  <c r="AF355" i="5"/>
  <c r="C371" i="4"/>
  <c r="C355" i="5"/>
  <c r="D371" i="4"/>
  <c r="E355" i="5"/>
  <c r="I371" i="4"/>
  <c r="L355" i="5"/>
  <c r="J371" i="4"/>
  <c r="N355" i="5"/>
  <c r="L371" i="4"/>
  <c r="Q355" i="5"/>
  <c r="M371" i="4"/>
  <c r="R355" i="5"/>
  <c r="N371" i="4"/>
  <c r="T355" i="5"/>
  <c r="O371" i="4"/>
  <c r="U355" i="5"/>
  <c r="Q371" i="4"/>
  <c r="X355" i="5"/>
  <c r="R371" i="4"/>
  <c r="Z355" i="5"/>
  <c r="T371" i="4"/>
  <c r="AC355" i="5"/>
  <c r="U371" i="4"/>
  <c r="AD355" i="5"/>
  <c r="X371" i="4"/>
  <c r="AI355" i="5"/>
  <c r="Y371" i="4"/>
  <c r="AJ355" i="5"/>
  <c r="Z371" i="4"/>
  <c r="AL355" i="5"/>
  <c r="F355" i="5"/>
  <c r="H355" i="5"/>
  <c r="I355" i="5"/>
  <c r="AN355" i="5"/>
  <c r="K372" i="4"/>
  <c r="O356" i="5"/>
  <c r="H372" i="4"/>
  <c r="K356" i="5"/>
  <c r="W372" i="4"/>
  <c r="AG356" i="5"/>
  <c r="V372" i="4"/>
  <c r="AF356" i="5"/>
  <c r="C372" i="4"/>
  <c r="C356" i="5"/>
  <c r="D372" i="4"/>
  <c r="E356" i="5"/>
  <c r="I372" i="4"/>
  <c r="L356" i="5"/>
  <c r="J372" i="4"/>
  <c r="N356" i="5"/>
  <c r="L372" i="4"/>
  <c r="Q356" i="5"/>
  <c r="M372" i="4"/>
  <c r="R356" i="5"/>
  <c r="N372" i="4"/>
  <c r="T356" i="5"/>
  <c r="O372" i="4"/>
  <c r="U356" i="5"/>
  <c r="P372" i="4"/>
  <c r="W356" i="5"/>
  <c r="Q372" i="4"/>
  <c r="X356" i="5"/>
  <c r="T372" i="4"/>
  <c r="AC356" i="5"/>
  <c r="U372" i="4"/>
  <c r="AD356" i="5"/>
  <c r="X372" i="4"/>
  <c r="AI356" i="5"/>
  <c r="Y372" i="4"/>
  <c r="AJ356" i="5"/>
  <c r="Z372" i="4"/>
  <c r="AL356" i="5"/>
  <c r="Z356" i="5"/>
  <c r="F356" i="5"/>
  <c r="H356" i="5"/>
  <c r="I356" i="5"/>
  <c r="AN356" i="5"/>
  <c r="B373" i="4"/>
  <c r="K373" i="4"/>
  <c r="O357" i="5"/>
  <c r="H373" i="4"/>
  <c r="K357" i="5"/>
  <c r="W373" i="4"/>
  <c r="AG357" i="5"/>
  <c r="V373" i="4"/>
  <c r="AF357" i="5"/>
  <c r="C373" i="4"/>
  <c r="C357" i="5"/>
  <c r="D373" i="4"/>
  <c r="E357" i="5"/>
  <c r="I373" i="4"/>
  <c r="L357" i="5"/>
  <c r="J373" i="4"/>
  <c r="N357" i="5"/>
  <c r="L373" i="4"/>
  <c r="Q357" i="5"/>
  <c r="M373" i="4"/>
  <c r="R357" i="5"/>
  <c r="N373" i="4"/>
  <c r="T357" i="5"/>
  <c r="O373" i="4"/>
  <c r="U357" i="5"/>
  <c r="P373" i="4"/>
  <c r="W357" i="5"/>
  <c r="Q373" i="4"/>
  <c r="X357" i="5"/>
  <c r="S373" i="4"/>
  <c r="T373" i="4"/>
  <c r="AC357" i="5"/>
  <c r="U373" i="4"/>
  <c r="AD357" i="5"/>
  <c r="X373" i="4"/>
  <c r="AI357" i="5"/>
  <c r="Y373" i="4"/>
  <c r="AJ357" i="5"/>
  <c r="Z373" i="4"/>
  <c r="AL357" i="5"/>
  <c r="Z357" i="5"/>
  <c r="F357" i="5"/>
  <c r="H357" i="5"/>
  <c r="I357" i="5"/>
  <c r="AN357" i="5"/>
  <c r="B352" i="4"/>
  <c r="K352" i="4"/>
  <c r="O358" i="5"/>
  <c r="H352" i="4"/>
  <c r="K358" i="5"/>
  <c r="W352" i="4"/>
  <c r="AG358" i="5"/>
  <c r="V352" i="4"/>
  <c r="AF358" i="5"/>
  <c r="C352" i="4"/>
  <c r="C358" i="5"/>
  <c r="D352" i="4"/>
  <c r="E358" i="5"/>
  <c r="I352" i="4"/>
  <c r="L358" i="5"/>
  <c r="J352" i="4"/>
  <c r="N358" i="5"/>
  <c r="L352" i="4"/>
  <c r="Q358" i="5"/>
  <c r="M352" i="4"/>
  <c r="R358" i="5"/>
  <c r="N352" i="4"/>
  <c r="T358" i="5"/>
  <c r="O352" i="4"/>
  <c r="U358" i="5"/>
  <c r="P352" i="4"/>
  <c r="W358" i="5"/>
  <c r="Q352" i="4"/>
  <c r="X358" i="5"/>
  <c r="S352" i="4"/>
  <c r="AA358" i="5"/>
  <c r="T352" i="4"/>
  <c r="AC358" i="5"/>
  <c r="U352" i="4"/>
  <c r="AD358" i="5"/>
  <c r="X352" i="4"/>
  <c r="AI358" i="5"/>
  <c r="Y352" i="4"/>
  <c r="AJ358" i="5"/>
  <c r="Z352" i="4"/>
  <c r="AL358" i="5"/>
  <c r="Z358" i="5"/>
  <c r="F358" i="5"/>
  <c r="H358" i="5"/>
  <c r="I358" i="5"/>
  <c r="AN358" i="5"/>
  <c r="B364" i="4"/>
  <c r="K364" i="4"/>
  <c r="O359" i="5"/>
  <c r="H364" i="4"/>
  <c r="K359" i="5"/>
  <c r="W364" i="4"/>
  <c r="AG359" i="5"/>
  <c r="V364" i="4"/>
  <c r="AF359" i="5"/>
  <c r="C364" i="4"/>
  <c r="C359" i="5"/>
  <c r="D364" i="4"/>
  <c r="E359" i="5"/>
  <c r="I364" i="4"/>
  <c r="L359" i="5"/>
  <c r="J364" i="4"/>
  <c r="N359" i="5"/>
  <c r="L364" i="4"/>
  <c r="Q359" i="5"/>
  <c r="M364" i="4"/>
  <c r="R359" i="5"/>
  <c r="N364" i="4"/>
  <c r="T359" i="5"/>
  <c r="O364" i="4"/>
  <c r="U359" i="5"/>
  <c r="P364" i="4"/>
  <c r="W359" i="5"/>
  <c r="Q364" i="4"/>
  <c r="X359" i="5"/>
  <c r="S364" i="4"/>
  <c r="AA359" i="5"/>
  <c r="T364" i="4"/>
  <c r="AC359" i="5"/>
  <c r="U364" i="4"/>
  <c r="AD359" i="5"/>
  <c r="X364" i="4"/>
  <c r="AI359" i="5"/>
  <c r="Y364" i="4"/>
  <c r="AJ359" i="5"/>
  <c r="Z359" i="5"/>
  <c r="F359" i="5"/>
  <c r="H359" i="5"/>
  <c r="I359" i="5"/>
  <c r="AN359" i="5"/>
  <c r="S353" i="4"/>
  <c r="P353" i="4"/>
  <c r="W360" i="5"/>
  <c r="K353" i="4"/>
  <c r="O360" i="5"/>
  <c r="H353" i="4"/>
  <c r="K360" i="5"/>
  <c r="W353" i="4"/>
  <c r="AG360" i="5"/>
  <c r="V353" i="4"/>
  <c r="AF360" i="5"/>
  <c r="C353" i="4"/>
  <c r="C360" i="5"/>
  <c r="D353" i="4"/>
  <c r="E360" i="5"/>
  <c r="I353" i="4"/>
  <c r="L360" i="5"/>
  <c r="J353" i="4"/>
  <c r="N360" i="5"/>
  <c r="L353" i="4"/>
  <c r="Q360" i="5"/>
  <c r="M353" i="4"/>
  <c r="R360" i="5"/>
  <c r="N353" i="4"/>
  <c r="T360" i="5"/>
  <c r="O353" i="4"/>
  <c r="U360" i="5"/>
  <c r="Q353" i="4"/>
  <c r="X360" i="5"/>
  <c r="R353" i="4"/>
  <c r="Z360" i="5"/>
  <c r="T353" i="4"/>
  <c r="AC360" i="5"/>
  <c r="U353" i="4"/>
  <c r="AD360" i="5"/>
  <c r="X353" i="4"/>
  <c r="AI360" i="5"/>
  <c r="F360" i="5"/>
  <c r="H360" i="5"/>
  <c r="I360" i="5"/>
  <c r="AN360" i="5"/>
  <c r="B357" i="4"/>
  <c r="K357" i="4"/>
  <c r="O361" i="5"/>
  <c r="H357" i="4"/>
  <c r="K361" i="5"/>
  <c r="W357" i="4"/>
  <c r="AG361" i="5"/>
  <c r="V357" i="4"/>
  <c r="AF361" i="5"/>
  <c r="C357" i="4"/>
  <c r="C361" i="5"/>
  <c r="D357" i="4"/>
  <c r="E361" i="5"/>
  <c r="I357" i="4"/>
  <c r="L361" i="5"/>
  <c r="J357" i="4"/>
  <c r="N361" i="5"/>
  <c r="L357" i="4"/>
  <c r="Q361" i="5"/>
  <c r="M357" i="4"/>
  <c r="R361" i="5"/>
  <c r="N357" i="4"/>
  <c r="T361" i="5"/>
  <c r="O357" i="4"/>
  <c r="U361" i="5"/>
  <c r="P357" i="4"/>
  <c r="W361" i="5"/>
  <c r="Q357" i="4"/>
  <c r="X361" i="5"/>
  <c r="S357" i="4"/>
  <c r="AA361" i="5"/>
  <c r="T357" i="4"/>
  <c r="AC361" i="5"/>
  <c r="U357" i="4"/>
  <c r="AD361" i="5"/>
  <c r="X357" i="4"/>
  <c r="AI361" i="5"/>
  <c r="Y357" i="4"/>
  <c r="AJ361" i="5"/>
  <c r="Z357" i="4"/>
  <c r="AL361" i="5"/>
  <c r="F361" i="5"/>
  <c r="H361" i="5"/>
  <c r="I361" i="5"/>
  <c r="Z361" i="5"/>
  <c r="AN361" i="5"/>
  <c r="B355" i="4"/>
  <c r="K355" i="4"/>
  <c r="O362" i="5"/>
  <c r="H355" i="4"/>
  <c r="K362" i="5"/>
  <c r="W355" i="4"/>
  <c r="AG362" i="5"/>
  <c r="V355" i="4"/>
  <c r="AF362" i="5"/>
  <c r="C355" i="4"/>
  <c r="C362" i="5"/>
  <c r="D355" i="4"/>
  <c r="E362" i="5"/>
  <c r="I355" i="4"/>
  <c r="L362" i="5"/>
  <c r="J355" i="4"/>
  <c r="N362" i="5"/>
  <c r="L355" i="4"/>
  <c r="Q362" i="5"/>
  <c r="M355" i="4"/>
  <c r="R362" i="5"/>
  <c r="N355" i="4"/>
  <c r="T362" i="5"/>
  <c r="O355" i="4"/>
  <c r="U362" i="5"/>
  <c r="P355" i="4"/>
  <c r="W362" i="5"/>
  <c r="Q355" i="4"/>
  <c r="X362" i="5"/>
  <c r="S355" i="4"/>
  <c r="AA362" i="5"/>
  <c r="T355" i="4"/>
  <c r="AC362" i="5"/>
  <c r="U355" i="4"/>
  <c r="AD362" i="5"/>
  <c r="X355" i="4"/>
  <c r="AI362" i="5"/>
  <c r="Y355" i="4"/>
  <c r="AJ362" i="5"/>
  <c r="Z355" i="4"/>
  <c r="AL362" i="5"/>
  <c r="F362" i="5"/>
  <c r="H362" i="5"/>
  <c r="I362" i="5"/>
  <c r="Z362" i="5"/>
  <c r="AN362" i="5"/>
  <c r="B359" i="4"/>
  <c r="K359" i="4"/>
  <c r="O363" i="5"/>
  <c r="H359" i="4"/>
  <c r="K363" i="5"/>
  <c r="W359" i="4"/>
  <c r="AG363" i="5"/>
  <c r="V359" i="4"/>
  <c r="AF363" i="5"/>
  <c r="C359" i="4"/>
  <c r="C363" i="5"/>
  <c r="D359" i="4"/>
  <c r="E363" i="5"/>
  <c r="I359" i="4"/>
  <c r="L363" i="5"/>
  <c r="J359" i="4"/>
  <c r="N363" i="5"/>
  <c r="L359" i="4"/>
  <c r="Q363" i="5"/>
  <c r="M359" i="4"/>
  <c r="R363" i="5"/>
  <c r="N359" i="4"/>
  <c r="T363" i="5"/>
  <c r="O359" i="4"/>
  <c r="U363" i="5"/>
  <c r="P359" i="4"/>
  <c r="W363" i="5"/>
  <c r="Q359" i="4"/>
  <c r="X363" i="5"/>
  <c r="S359" i="4"/>
  <c r="AA363" i="5"/>
  <c r="T359" i="4"/>
  <c r="AC363" i="5"/>
  <c r="U359" i="4"/>
  <c r="AD363" i="5"/>
  <c r="X359" i="4"/>
  <c r="AI363" i="5"/>
  <c r="Y359" i="4"/>
  <c r="AJ363" i="5"/>
  <c r="Z359" i="4"/>
  <c r="AL363" i="5"/>
  <c r="F363" i="5"/>
  <c r="H363" i="5"/>
  <c r="I363" i="5"/>
  <c r="Z363" i="5"/>
  <c r="AN363" i="5"/>
  <c r="B360" i="4"/>
  <c r="K360" i="4"/>
  <c r="O364" i="5"/>
  <c r="H360" i="4"/>
  <c r="K364" i="5"/>
  <c r="W360" i="4"/>
  <c r="AG364" i="5"/>
  <c r="V360" i="4"/>
  <c r="AF364" i="5"/>
  <c r="C360" i="4"/>
  <c r="C364" i="5"/>
  <c r="D360" i="4"/>
  <c r="E364" i="5"/>
  <c r="I360" i="4"/>
  <c r="L364" i="5"/>
  <c r="J360" i="4"/>
  <c r="N364" i="5"/>
  <c r="L360" i="4"/>
  <c r="Q364" i="5"/>
  <c r="M360" i="4"/>
  <c r="R364" i="5"/>
  <c r="N360" i="4"/>
  <c r="T364" i="5"/>
  <c r="O360" i="4"/>
  <c r="U364" i="5"/>
  <c r="P360" i="4"/>
  <c r="W364" i="5"/>
  <c r="Q360" i="4"/>
  <c r="X364" i="5"/>
  <c r="S360" i="4"/>
  <c r="AA364" i="5"/>
  <c r="T360" i="4"/>
  <c r="AC364" i="5"/>
  <c r="U360" i="4"/>
  <c r="AD364" i="5"/>
  <c r="X360" i="4"/>
  <c r="AI364" i="5"/>
  <c r="Y360" i="4"/>
  <c r="AJ364" i="5"/>
  <c r="Z360" i="4"/>
  <c r="AL364" i="5"/>
  <c r="F364" i="5"/>
  <c r="H364" i="5"/>
  <c r="I364" i="5"/>
  <c r="Z364" i="5"/>
  <c r="AN364" i="5"/>
  <c r="B365" i="4"/>
  <c r="K365" i="4"/>
  <c r="O365" i="5"/>
  <c r="H365" i="4"/>
  <c r="K365" i="5"/>
  <c r="W365" i="4"/>
  <c r="AG365" i="5"/>
  <c r="V365" i="4"/>
  <c r="AF365" i="5"/>
  <c r="C365" i="4"/>
  <c r="C365" i="5"/>
  <c r="D365" i="4"/>
  <c r="E365" i="5"/>
  <c r="I365" i="4"/>
  <c r="L365" i="5"/>
  <c r="J365" i="4"/>
  <c r="N365" i="5"/>
  <c r="L365" i="4"/>
  <c r="Q365" i="5"/>
  <c r="M365" i="4"/>
  <c r="R365" i="5"/>
  <c r="N365" i="4"/>
  <c r="T365" i="5"/>
  <c r="O365" i="4"/>
  <c r="U365" i="5"/>
  <c r="P365" i="4"/>
  <c r="W365" i="5"/>
  <c r="Q365" i="4"/>
  <c r="X365" i="5"/>
  <c r="S365" i="4"/>
  <c r="AA365" i="5"/>
  <c r="T365" i="4"/>
  <c r="AC365" i="5"/>
  <c r="U365" i="4"/>
  <c r="AD365" i="5"/>
  <c r="X365" i="4"/>
  <c r="AI365" i="5"/>
  <c r="Y365" i="4"/>
  <c r="AJ365" i="5"/>
  <c r="Z365" i="4"/>
  <c r="AL365" i="5"/>
  <c r="F365" i="5"/>
  <c r="H365" i="5"/>
  <c r="I365" i="5"/>
  <c r="Z365" i="5"/>
  <c r="AN365" i="5"/>
  <c r="B356" i="4"/>
  <c r="K356" i="4"/>
  <c r="O366" i="5"/>
  <c r="H356" i="4"/>
  <c r="K366" i="5"/>
  <c r="W356" i="4"/>
  <c r="AG366" i="5"/>
  <c r="V356" i="4"/>
  <c r="AF366" i="5"/>
  <c r="C356" i="4"/>
  <c r="C366" i="5"/>
  <c r="D356" i="4"/>
  <c r="E366" i="5"/>
  <c r="I356" i="4"/>
  <c r="L366" i="5"/>
  <c r="J356" i="4"/>
  <c r="N366" i="5"/>
  <c r="L356" i="4"/>
  <c r="Q366" i="5"/>
  <c r="M356" i="4"/>
  <c r="R366" i="5"/>
  <c r="N356" i="4"/>
  <c r="T366" i="5"/>
  <c r="O356" i="4"/>
  <c r="U366" i="5"/>
  <c r="P356" i="4"/>
  <c r="W366" i="5"/>
  <c r="Q356" i="4"/>
  <c r="X366" i="5"/>
  <c r="S356" i="4"/>
  <c r="AA366" i="5"/>
  <c r="T356" i="4"/>
  <c r="AC366" i="5"/>
  <c r="U356" i="4"/>
  <c r="AD366" i="5"/>
  <c r="X356" i="4"/>
  <c r="AI366" i="5"/>
  <c r="Y356" i="4"/>
  <c r="AJ366" i="5"/>
  <c r="Z356" i="4"/>
  <c r="AL366" i="5"/>
  <c r="F366" i="5"/>
  <c r="H366" i="5"/>
  <c r="I366" i="5"/>
  <c r="Z366" i="5"/>
  <c r="AN366" i="5"/>
  <c r="B366" i="4"/>
  <c r="K366" i="4"/>
  <c r="O367" i="5"/>
  <c r="H366" i="4"/>
  <c r="K367" i="5"/>
  <c r="W366" i="4"/>
  <c r="AG367" i="5"/>
  <c r="V366" i="4"/>
  <c r="AF367" i="5"/>
  <c r="C366" i="4"/>
  <c r="C367" i="5"/>
  <c r="D366" i="4"/>
  <c r="E367" i="5"/>
  <c r="I366" i="4"/>
  <c r="L367" i="5"/>
  <c r="J366" i="4"/>
  <c r="N367" i="5"/>
  <c r="L366" i="4"/>
  <c r="Q367" i="5"/>
  <c r="M366" i="4"/>
  <c r="R367" i="5"/>
  <c r="N366" i="4"/>
  <c r="T367" i="5"/>
  <c r="O366" i="4"/>
  <c r="U367" i="5"/>
  <c r="P366" i="4"/>
  <c r="W367" i="5"/>
  <c r="Q366" i="4"/>
  <c r="X367" i="5"/>
  <c r="S366" i="4"/>
  <c r="AA367" i="5"/>
  <c r="T366" i="4"/>
  <c r="AC367" i="5"/>
  <c r="U366" i="4"/>
  <c r="AD367" i="5"/>
  <c r="X366" i="4"/>
  <c r="AI367" i="5"/>
  <c r="Y366" i="4"/>
  <c r="AJ367" i="5"/>
  <c r="Z366" i="4"/>
  <c r="AL367" i="5"/>
  <c r="F367" i="5"/>
  <c r="H367" i="5"/>
  <c r="I367" i="5"/>
  <c r="Z367" i="5"/>
  <c r="AN367" i="5"/>
  <c r="B367" i="4"/>
  <c r="K367" i="4"/>
  <c r="O368" i="5"/>
  <c r="H367" i="4"/>
  <c r="K368" i="5"/>
  <c r="W367" i="4"/>
  <c r="AG368" i="5"/>
  <c r="V367" i="4"/>
  <c r="AF368" i="5"/>
  <c r="C367" i="4"/>
  <c r="C368" i="5"/>
  <c r="D367" i="4"/>
  <c r="E368" i="5"/>
  <c r="I367" i="4"/>
  <c r="L368" i="5"/>
  <c r="J367" i="4"/>
  <c r="N368" i="5"/>
  <c r="L367" i="4"/>
  <c r="Q368" i="5"/>
  <c r="M367" i="4"/>
  <c r="R368" i="5"/>
  <c r="N367" i="4"/>
  <c r="T368" i="5"/>
  <c r="O367" i="4"/>
  <c r="U368" i="5"/>
  <c r="P367" i="4"/>
  <c r="W368" i="5"/>
  <c r="Q367" i="4"/>
  <c r="X368" i="5"/>
  <c r="S367" i="4"/>
  <c r="AA368" i="5"/>
  <c r="T367" i="4"/>
  <c r="AC368" i="5"/>
  <c r="U367" i="4"/>
  <c r="AD368" i="5"/>
  <c r="X367" i="4"/>
  <c r="AI368" i="5"/>
  <c r="Y367" i="4"/>
  <c r="AJ368" i="5"/>
  <c r="Z367" i="4"/>
  <c r="AL368" i="5"/>
  <c r="F368" i="5"/>
  <c r="H368" i="5"/>
  <c r="I368" i="5"/>
  <c r="Z368" i="5"/>
  <c r="AN368" i="5"/>
  <c r="B368" i="4"/>
  <c r="K368" i="4"/>
  <c r="O369" i="5"/>
  <c r="H368" i="4"/>
  <c r="K369" i="5"/>
  <c r="W368" i="4"/>
  <c r="AG369" i="5"/>
  <c r="V368" i="4"/>
  <c r="AF369" i="5"/>
  <c r="C368" i="4"/>
  <c r="C369" i="5"/>
  <c r="D368" i="4"/>
  <c r="E369" i="5"/>
  <c r="I368" i="4"/>
  <c r="L369" i="5"/>
  <c r="J368" i="4"/>
  <c r="N369" i="5"/>
  <c r="L368" i="4"/>
  <c r="Q369" i="5"/>
  <c r="M368" i="4"/>
  <c r="R369" i="5"/>
  <c r="N368" i="4"/>
  <c r="T369" i="5"/>
  <c r="O368" i="4"/>
  <c r="U369" i="5"/>
  <c r="P368" i="4"/>
  <c r="W369" i="5"/>
  <c r="Q368" i="4"/>
  <c r="X369" i="5"/>
  <c r="S368" i="4"/>
  <c r="AA369" i="5"/>
  <c r="T368" i="4"/>
  <c r="AC369" i="5"/>
  <c r="U368" i="4"/>
  <c r="AD369" i="5"/>
  <c r="X368" i="4"/>
  <c r="AI369" i="5"/>
  <c r="Y368" i="4"/>
  <c r="AJ369" i="5"/>
  <c r="Z368" i="4"/>
  <c r="AL369" i="5"/>
  <c r="F369" i="5"/>
  <c r="H369" i="5"/>
  <c r="I369" i="5"/>
  <c r="Z369" i="5"/>
  <c r="AN369" i="5"/>
  <c r="B354" i="4"/>
  <c r="S354" i="4"/>
  <c r="AA370" i="5"/>
  <c r="P354" i="4"/>
  <c r="W370" i="5"/>
  <c r="K354" i="4"/>
  <c r="O370" i="5"/>
  <c r="H354" i="4"/>
  <c r="K370" i="5"/>
  <c r="W354" i="4"/>
  <c r="AG370" i="5"/>
  <c r="V354" i="4"/>
  <c r="AF370" i="5"/>
  <c r="C354" i="4"/>
  <c r="C370" i="5"/>
  <c r="D354" i="4"/>
  <c r="E370" i="5"/>
  <c r="I354" i="4"/>
  <c r="L370" i="5"/>
  <c r="J354" i="4"/>
  <c r="N370" i="5"/>
  <c r="L354" i="4"/>
  <c r="Q370" i="5"/>
  <c r="M354" i="4"/>
  <c r="R370" i="5"/>
  <c r="N354" i="4"/>
  <c r="T370" i="5"/>
  <c r="O354" i="4"/>
  <c r="U370" i="5"/>
  <c r="Q354" i="4"/>
  <c r="X370" i="5"/>
  <c r="R354" i="4"/>
  <c r="Z370" i="5"/>
  <c r="T354" i="4"/>
  <c r="AC370" i="5"/>
  <c r="U354" i="4"/>
  <c r="AD370" i="5"/>
  <c r="X354" i="4"/>
  <c r="AI370" i="5"/>
  <c r="F370" i="5"/>
  <c r="H370" i="5"/>
  <c r="I370" i="5"/>
  <c r="AN370" i="5"/>
  <c r="B361" i="4"/>
  <c r="K361" i="4"/>
  <c r="O371" i="5"/>
  <c r="H361" i="4"/>
  <c r="K371" i="5"/>
  <c r="W361" i="4"/>
  <c r="AG371" i="5"/>
  <c r="V361" i="4"/>
  <c r="AF371" i="5"/>
  <c r="C361" i="4"/>
  <c r="C371" i="5"/>
  <c r="D361" i="4"/>
  <c r="E371" i="5"/>
  <c r="I361" i="4"/>
  <c r="L371" i="5"/>
  <c r="J361" i="4"/>
  <c r="N371" i="5"/>
  <c r="L361" i="4"/>
  <c r="Q371" i="5"/>
  <c r="M361" i="4"/>
  <c r="R371" i="5"/>
  <c r="N361" i="4"/>
  <c r="T371" i="5"/>
  <c r="O361" i="4"/>
  <c r="U371" i="5"/>
  <c r="P361" i="4"/>
  <c r="W371" i="5"/>
  <c r="Q361" i="4"/>
  <c r="X371" i="5"/>
  <c r="S361" i="4"/>
  <c r="AA371" i="5"/>
  <c r="T361" i="4"/>
  <c r="AC371" i="5"/>
  <c r="U361" i="4"/>
  <c r="AD371" i="5"/>
  <c r="X361" i="4"/>
  <c r="AI371" i="5"/>
  <c r="Y361" i="4"/>
  <c r="AJ371" i="5"/>
  <c r="Z361" i="4"/>
  <c r="AL371" i="5"/>
  <c r="F371" i="5"/>
  <c r="H371" i="5"/>
  <c r="I371" i="5"/>
  <c r="Z371" i="5"/>
  <c r="AN371" i="5"/>
  <c r="B363" i="4"/>
  <c r="K363" i="4"/>
  <c r="O372" i="5"/>
  <c r="H363" i="4"/>
  <c r="K372" i="5"/>
  <c r="W363" i="4"/>
  <c r="AG372" i="5"/>
  <c r="V363" i="4"/>
  <c r="AF372" i="5"/>
  <c r="C363" i="4"/>
  <c r="C372" i="5"/>
  <c r="D363" i="4"/>
  <c r="E372" i="5"/>
  <c r="I363" i="4"/>
  <c r="L372" i="5"/>
  <c r="J363" i="4"/>
  <c r="N372" i="5"/>
  <c r="L363" i="4"/>
  <c r="Q372" i="5"/>
  <c r="M363" i="4"/>
  <c r="R372" i="5"/>
  <c r="N363" i="4"/>
  <c r="T372" i="5"/>
  <c r="O363" i="4"/>
  <c r="U372" i="5"/>
  <c r="P363" i="4"/>
  <c r="W372" i="5"/>
  <c r="Q363" i="4"/>
  <c r="X372" i="5"/>
  <c r="S363" i="4"/>
  <c r="AA372" i="5"/>
  <c r="T363" i="4"/>
  <c r="AC372" i="5"/>
  <c r="U363" i="4"/>
  <c r="AD372" i="5"/>
  <c r="X363" i="4"/>
  <c r="AI372" i="5"/>
  <c r="Y363" i="4"/>
  <c r="AJ372" i="5"/>
  <c r="Z363" i="4"/>
  <c r="AL372" i="5"/>
  <c r="F372" i="5"/>
  <c r="H372" i="5"/>
  <c r="I372" i="5"/>
  <c r="Z372" i="5"/>
  <c r="AN372" i="5"/>
  <c r="B362" i="4"/>
  <c r="K362" i="4"/>
  <c r="O373" i="5"/>
  <c r="H362" i="4"/>
  <c r="K373" i="5"/>
  <c r="W362" i="4"/>
  <c r="AG373" i="5"/>
  <c r="V362" i="4"/>
  <c r="AF373" i="5"/>
  <c r="C362" i="4"/>
  <c r="C373" i="5"/>
  <c r="D362" i="4"/>
  <c r="E373" i="5"/>
  <c r="I362" i="4"/>
  <c r="L373" i="5"/>
  <c r="J362" i="4"/>
  <c r="N373" i="5"/>
  <c r="L362" i="4"/>
  <c r="Q373" i="5"/>
  <c r="M362" i="4"/>
  <c r="R373" i="5"/>
  <c r="N362" i="4"/>
  <c r="T373" i="5"/>
  <c r="O362" i="4"/>
  <c r="U373" i="5"/>
  <c r="P362" i="4"/>
  <c r="W373" i="5"/>
  <c r="Q362" i="4"/>
  <c r="X373" i="5"/>
  <c r="S362" i="4"/>
  <c r="AA373" i="5"/>
  <c r="T362" i="4"/>
  <c r="AC373" i="5"/>
  <c r="U362" i="4"/>
  <c r="AD373" i="5"/>
  <c r="X362" i="4"/>
  <c r="AI373" i="5"/>
  <c r="Y362" i="4"/>
  <c r="AJ373" i="5"/>
  <c r="Z362" i="4"/>
  <c r="AL373" i="5"/>
  <c r="F373" i="5"/>
  <c r="H373" i="5"/>
  <c r="I373" i="5"/>
  <c r="Z373" i="5"/>
  <c r="AN373" i="5"/>
  <c r="B374" i="4"/>
  <c r="K374" i="4"/>
  <c r="O374" i="5"/>
  <c r="H374" i="4"/>
  <c r="K374" i="5"/>
  <c r="W374" i="4"/>
  <c r="AG374" i="5"/>
  <c r="AF374" i="5"/>
  <c r="C374" i="4"/>
  <c r="C374" i="5"/>
  <c r="D374" i="4"/>
  <c r="E374" i="5"/>
  <c r="I374" i="4"/>
  <c r="L374" i="5"/>
  <c r="J374" i="4"/>
  <c r="N374" i="5"/>
  <c r="L374" i="4"/>
  <c r="Q374" i="5"/>
  <c r="M374" i="4"/>
  <c r="R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W378" i="4"/>
  <c r="AG378" i="5"/>
  <c r="AF378" i="5"/>
  <c r="C378" i="4"/>
  <c r="C378" i="5"/>
  <c r="N378" i="4"/>
  <c r="T378" i="5"/>
  <c r="O378" i="4"/>
  <c r="U378" i="5"/>
  <c r="P378" i="4"/>
  <c r="W378" i="5"/>
  <c r="Q378" i="4"/>
  <c r="X378" i="5"/>
  <c r="S378" i="4"/>
  <c r="AA378" i="5"/>
  <c r="T378" i="4"/>
  <c r="AC378" i="5"/>
  <c r="U378" i="4"/>
  <c r="AD378" i="5"/>
  <c r="X378" i="4"/>
  <c r="AI378" i="5"/>
  <c r="Y378" i="4"/>
  <c r="AJ378" i="5"/>
  <c r="Z378" i="4"/>
  <c r="AL378" i="5"/>
  <c r="F378" i="5"/>
  <c r="H378" i="5"/>
  <c r="I378" i="5"/>
  <c r="Z378" i="5"/>
  <c r="AN378" i="5"/>
  <c r="B379" i="4"/>
  <c r="K379" i="4"/>
  <c r="O379" i="5"/>
  <c r="H379" i="4"/>
  <c r="K379" i="5"/>
  <c r="W379" i="4"/>
  <c r="AG379" i="5"/>
  <c r="AF379" i="5"/>
  <c r="C379" i="4"/>
  <c r="C379" i="5"/>
  <c r="D379" i="4"/>
  <c r="E379" i="5"/>
  <c r="I379" i="4"/>
  <c r="L379" i="5"/>
  <c r="J379" i="4"/>
  <c r="N379" i="5"/>
  <c r="L379" i="4"/>
  <c r="Q379" i="5"/>
  <c r="M379" i="4"/>
  <c r="R379" i="5"/>
  <c r="N379" i="4"/>
  <c r="T379" i="5"/>
  <c r="O379" i="4"/>
  <c r="U379" i="5"/>
  <c r="P379" i="4"/>
  <c r="W379" i="5"/>
  <c r="Q379" i="4"/>
  <c r="X379" i="5"/>
  <c r="S379" i="4"/>
  <c r="AA379" i="5"/>
  <c r="T379" i="4"/>
  <c r="AC379" i="5"/>
  <c r="U379" i="4"/>
  <c r="AD379" i="5"/>
  <c r="X379" i="4"/>
  <c r="AI379" i="5"/>
  <c r="Y379" i="4"/>
  <c r="AJ379" i="5"/>
  <c r="Z379" i="4"/>
  <c r="AL379" i="5"/>
  <c r="F379" i="5"/>
  <c r="H379" i="5"/>
  <c r="I379" i="5"/>
  <c r="Z379" i="5"/>
  <c r="AN379" i="5"/>
  <c r="B380" i="4"/>
  <c r="K380" i="4"/>
  <c r="O380" i="5"/>
  <c r="H380" i="4"/>
  <c r="K380" i="5"/>
  <c r="W380" i="4"/>
  <c r="AG380" i="5"/>
  <c r="AF380" i="5"/>
  <c r="C380" i="4"/>
  <c r="C380" i="5"/>
  <c r="D380" i="4"/>
  <c r="E380" i="5"/>
  <c r="I380" i="4"/>
  <c r="L380" i="5"/>
  <c r="J380" i="4"/>
  <c r="N380" i="5"/>
  <c r="L380" i="4"/>
  <c r="Q380" i="5"/>
  <c r="M380" i="4"/>
  <c r="R380" i="5"/>
  <c r="N380" i="4"/>
  <c r="T380" i="5"/>
  <c r="O380" i="4"/>
  <c r="U380" i="5"/>
  <c r="P380" i="4"/>
  <c r="W380" i="5"/>
  <c r="Q380" i="4"/>
  <c r="X380" i="5"/>
  <c r="S380" i="4"/>
  <c r="AA380" i="5"/>
  <c r="T380" i="4"/>
  <c r="AC380" i="5"/>
  <c r="U380" i="4"/>
  <c r="AD380" i="5"/>
  <c r="X380" i="4"/>
  <c r="AI380" i="5"/>
  <c r="Y380" i="4"/>
  <c r="AJ380" i="5"/>
  <c r="Z380" i="4"/>
  <c r="AL380" i="5"/>
  <c r="F380" i="5"/>
  <c r="H380" i="5"/>
  <c r="I380" i="5"/>
  <c r="Z380" i="5"/>
  <c r="AN380" i="5"/>
  <c r="B381" i="4"/>
  <c r="K381" i="4"/>
  <c r="O381" i="5"/>
  <c r="H381" i="4"/>
  <c r="K381" i="5"/>
  <c r="W381" i="4"/>
  <c r="AG381" i="5"/>
  <c r="AF381" i="5"/>
  <c r="C381" i="4"/>
  <c r="C381" i="5"/>
  <c r="D381" i="4"/>
  <c r="E381" i="5"/>
  <c r="I381" i="4"/>
  <c r="L381" i="5"/>
  <c r="J381" i="4"/>
  <c r="N381" i="5"/>
  <c r="L381" i="4"/>
  <c r="Q381" i="5"/>
  <c r="M381" i="4"/>
  <c r="R381" i="5"/>
  <c r="N381" i="4"/>
  <c r="T381" i="5"/>
  <c r="O381" i="4"/>
  <c r="U381" i="5"/>
  <c r="P381" i="4"/>
  <c r="W381" i="5"/>
  <c r="Q381" i="4"/>
  <c r="X381" i="5"/>
  <c r="S381" i="4"/>
  <c r="AA381" i="5"/>
  <c r="T381" i="4"/>
  <c r="AC381" i="5"/>
  <c r="U381" i="4"/>
  <c r="AD381" i="5"/>
  <c r="X381" i="4"/>
  <c r="AI381" i="5"/>
  <c r="Y381" i="4"/>
  <c r="AJ381" i="5"/>
  <c r="Z381" i="4"/>
  <c r="AL381" i="5"/>
  <c r="F381" i="5"/>
  <c r="H381" i="5"/>
  <c r="I381" i="5"/>
  <c r="Z381" i="5"/>
  <c r="AN381" i="5"/>
  <c r="B382" i="4"/>
  <c r="K382" i="4"/>
  <c r="O382" i="5"/>
  <c r="H382" i="4"/>
  <c r="K382" i="5"/>
  <c r="W382" i="4"/>
  <c r="AG382" i="5"/>
  <c r="AF382" i="5"/>
  <c r="C382" i="4"/>
  <c r="C382" i="5"/>
  <c r="D382" i="4"/>
  <c r="E382" i="5"/>
  <c r="I382" i="4"/>
  <c r="L382" i="5"/>
  <c r="J382" i="4"/>
  <c r="N382" i="5"/>
  <c r="L382" i="4"/>
  <c r="Q382" i="5"/>
  <c r="M382" i="4"/>
  <c r="R382" i="5"/>
  <c r="N382" i="4"/>
  <c r="T382" i="5"/>
  <c r="O382" i="4"/>
  <c r="U382" i="5"/>
  <c r="P382" i="4"/>
  <c r="W382" i="5"/>
  <c r="Q382" i="4"/>
  <c r="X382" i="5"/>
  <c r="S382" i="4"/>
  <c r="AA382" i="5"/>
  <c r="T382" i="4"/>
  <c r="AC382" i="5"/>
  <c r="U382" i="4"/>
  <c r="AD382" i="5"/>
  <c r="X382" i="4"/>
  <c r="AI382" i="5"/>
  <c r="Y382" i="4"/>
  <c r="AJ382" i="5"/>
  <c r="Z382" i="4"/>
  <c r="AL382" i="5"/>
  <c r="F382" i="5"/>
  <c r="H382" i="5"/>
  <c r="I382" i="5"/>
  <c r="Z382" i="5"/>
  <c r="AN382" i="5"/>
  <c r="B383" i="4"/>
  <c r="K383" i="4"/>
  <c r="O383" i="5"/>
  <c r="H383" i="4"/>
  <c r="K383" i="5"/>
  <c r="W383" i="4"/>
  <c r="AG383" i="5"/>
  <c r="AF383" i="5"/>
  <c r="C383" i="4"/>
  <c r="C383" i="5"/>
  <c r="D383" i="4"/>
  <c r="E383" i="5"/>
  <c r="I383" i="4"/>
  <c r="L383" i="5"/>
  <c r="J383" i="4"/>
  <c r="N383" i="5"/>
  <c r="L383" i="4"/>
  <c r="Q383" i="5"/>
  <c r="M383" i="4"/>
  <c r="R383" i="5"/>
  <c r="N383" i="4"/>
  <c r="T383" i="5"/>
  <c r="O383" i="4"/>
  <c r="U383" i="5"/>
  <c r="P383" i="4"/>
  <c r="W383" i="5"/>
  <c r="Q383" i="4"/>
  <c r="X383" i="5"/>
  <c r="S383" i="4"/>
  <c r="AA383" i="5"/>
  <c r="T383" i="4"/>
  <c r="AC383" i="5"/>
  <c r="U383" i="4"/>
  <c r="AD383" i="5"/>
  <c r="X383" i="4"/>
  <c r="AI383" i="5"/>
  <c r="Y383" i="4"/>
  <c r="AJ383" i="5"/>
  <c r="Z383" i="4"/>
  <c r="AL383" i="5"/>
  <c r="F383" i="5"/>
  <c r="H383" i="5"/>
  <c r="I383" i="5"/>
  <c r="Z383" i="5"/>
  <c r="AN383" i="5"/>
  <c r="AG384" i="5"/>
  <c r="AF384" i="5"/>
  <c r="C384" i="5"/>
  <c r="T384" i="5"/>
  <c r="U384" i="5"/>
  <c r="W384" i="5"/>
  <c r="X384" i="5"/>
  <c r="AA384" i="5"/>
  <c r="AI384" i="5"/>
  <c r="AJ384" i="5"/>
  <c r="AL384" i="5"/>
  <c r="F384" i="5"/>
  <c r="H384" i="5"/>
  <c r="I384" i="5"/>
  <c r="Z384" i="5"/>
  <c r="AN384" i="5"/>
  <c r="AA387" i="5"/>
  <c r="B391" i="4"/>
  <c r="P391" i="4"/>
  <c r="W387" i="5"/>
  <c r="O387" i="5"/>
  <c r="K387" i="5"/>
  <c r="AG387" i="5"/>
  <c r="AF387" i="5"/>
  <c r="E387" i="5"/>
  <c r="F387" i="5"/>
  <c r="H387" i="5"/>
  <c r="I387" i="5"/>
  <c r="L387" i="5"/>
  <c r="N387" i="5"/>
  <c r="Q387" i="5"/>
  <c r="R387" i="5"/>
  <c r="T387" i="5"/>
  <c r="U387" i="5"/>
  <c r="X387" i="5"/>
  <c r="Z387" i="5"/>
  <c r="AC387" i="5"/>
  <c r="AD387" i="5"/>
  <c r="AI387" i="5"/>
  <c r="AJ387" i="5"/>
  <c r="AL387" i="5"/>
  <c r="AN387" i="5"/>
  <c r="AA388" i="5"/>
  <c r="W388" i="5"/>
  <c r="O388" i="5"/>
  <c r="K388" i="5"/>
  <c r="AG388" i="5"/>
  <c r="AF388" i="5"/>
  <c r="E388" i="5"/>
  <c r="F388" i="5"/>
  <c r="H388" i="5"/>
  <c r="I388" i="5"/>
  <c r="L388" i="5"/>
  <c r="N388" i="5"/>
  <c r="Q388" i="5"/>
  <c r="R388" i="5"/>
  <c r="T388" i="5"/>
  <c r="U388" i="5"/>
  <c r="X388" i="5"/>
  <c r="Z388" i="5"/>
  <c r="AC388" i="5"/>
  <c r="AD388" i="5"/>
  <c r="AI388" i="5"/>
  <c r="AJ388" i="5"/>
  <c r="AL388" i="5"/>
  <c r="AN388" i="5"/>
  <c r="AA389" i="5"/>
  <c r="W389" i="5"/>
  <c r="O389" i="5"/>
  <c r="K389" i="5"/>
  <c r="AG389" i="5"/>
  <c r="AF389" i="5"/>
  <c r="E389" i="5"/>
  <c r="F389" i="5"/>
  <c r="H389" i="5"/>
  <c r="I389" i="5"/>
  <c r="L389" i="5"/>
  <c r="N389" i="5"/>
  <c r="Q389" i="5"/>
  <c r="R389" i="5"/>
  <c r="T389" i="5"/>
  <c r="U389" i="5"/>
  <c r="X389" i="5"/>
  <c r="Z389" i="5"/>
  <c r="AC389" i="5"/>
  <c r="AD389" i="5"/>
  <c r="AI389" i="5"/>
  <c r="AJ389" i="5"/>
  <c r="AL389" i="5"/>
  <c r="AN389" i="5"/>
  <c r="AA390" i="5"/>
  <c r="W390" i="5"/>
  <c r="O390" i="5"/>
  <c r="K390" i="5"/>
  <c r="AG390" i="5"/>
  <c r="AF390" i="5"/>
  <c r="B388" i="4"/>
  <c r="C388" i="4"/>
  <c r="C390" i="5"/>
  <c r="E390" i="5"/>
  <c r="F390" i="5"/>
  <c r="H390" i="5"/>
  <c r="I390" i="5"/>
  <c r="L390" i="5"/>
  <c r="N390" i="5"/>
  <c r="Q390" i="5"/>
  <c r="R390" i="5"/>
  <c r="T390" i="5"/>
  <c r="U390" i="5"/>
  <c r="X390" i="5"/>
  <c r="Z390" i="5"/>
  <c r="AC390" i="5"/>
  <c r="AD390" i="5"/>
  <c r="AI390" i="5"/>
  <c r="AL390" i="5"/>
  <c r="AN390" i="5"/>
  <c r="AA391" i="5"/>
  <c r="W391" i="5"/>
  <c r="O391" i="5"/>
  <c r="K391" i="5"/>
  <c r="AG391" i="5"/>
  <c r="AF391" i="5"/>
  <c r="E391" i="5"/>
  <c r="F391" i="5"/>
  <c r="H391" i="5"/>
  <c r="I391" i="5"/>
  <c r="L391" i="5"/>
  <c r="N391" i="5"/>
  <c r="Q391" i="5"/>
  <c r="R391" i="5"/>
  <c r="T391" i="5"/>
  <c r="U391" i="5"/>
  <c r="X391" i="5"/>
  <c r="Z391" i="5"/>
  <c r="AC391" i="5"/>
  <c r="AD391" i="5"/>
  <c r="AI391" i="5"/>
  <c r="AL391" i="5"/>
  <c r="AN391" i="5"/>
  <c r="AA392" i="5"/>
  <c r="B393" i="4"/>
  <c r="P393" i="4"/>
  <c r="W392" i="5"/>
  <c r="O392" i="5"/>
  <c r="K392" i="5"/>
  <c r="AG392" i="5"/>
  <c r="AF392" i="5"/>
  <c r="C392" i="5"/>
  <c r="L392" i="5"/>
  <c r="N392" i="5"/>
  <c r="L393" i="4"/>
  <c r="Q392" i="5"/>
  <c r="U392" i="5"/>
  <c r="Q393" i="4"/>
  <c r="X392" i="5"/>
  <c r="R393" i="4"/>
  <c r="Z392" i="5"/>
  <c r="AC392" i="5"/>
  <c r="AD392" i="5"/>
  <c r="X393" i="4"/>
  <c r="AI392" i="5"/>
  <c r="Y393" i="4"/>
  <c r="AJ392" i="5"/>
  <c r="AL392" i="5"/>
  <c r="F392" i="5"/>
  <c r="E392" i="5"/>
  <c r="H392" i="5"/>
  <c r="I392" i="5"/>
  <c r="R392" i="5"/>
  <c r="T392" i="5"/>
  <c r="AN392" i="5"/>
  <c r="AA393" i="5"/>
  <c r="B403" i="4"/>
  <c r="P403" i="4"/>
  <c r="W393" i="5"/>
  <c r="O393" i="5"/>
  <c r="K393" i="5"/>
  <c r="AG393" i="5"/>
  <c r="AF393" i="5"/>
  <c r="C393" i="5"/>
  <c r="L393" i="5"/>
  <c r="N393" i="5"/>
  <c r="L403" i="4"/>
  <c r="Q393" i="5"/>
  <c r="U393" i="5"/>
  <c r="Q403" i="4"/>
  <c r="X393" i="5"/>
  <c r="R403" i="4"/>
  <c r="Z393" i="5"/>
  <c r="AC393" i="5"/>
  <c r="AD393" i="5"/>
  <c r="X403" i="4"/>
  <c r="AI393" i="5"/>
  <c r="Y403" i="4"/>
  <c r="AJ393" i="5"/>
  <c r="AL393" i="5"/>
  <c r="F393" i="5"/>
  <c r="E393" i="5"/>
  <c r="H393" i="5"/>
  <c r="I393" i="5"/>
  <c r="R393" i="5"/>
  <c r="T393" i="5"/>
  <c r="AN393" i="5"/>
  <c r="AA394" i="5"/>
  <c r="B404" i="4"/>
  <c r="P404" i="4"/>
  <c r="W394" i="5"/>
  <c r="O394" i="5"/>
  <c r="K394" i="5"/>
  <c r="AG394" i="5"/>
  <c r="AF394" i="5"/>
  <c r="C394" i="5"/>
  <c r="L394" i="5"/>
  <c r="N394" i="5"/>
  <c r="L404" i="4"/>
  <c r="Q394" i="5"/>
  <c r="U394" i="5"/>
  <c r="Q404" i="4"/>
  <c r="X394" i="5"/>
  <c r="R404" i="4"/>
  <c r="Z394" i="5"/>
  <c r="AC394" i="5"/>
  <c r="AD394" i="5"/>
  <c r="X404" i="4"/>
  <c r="AI394" i="5"/>
  <c r="Y404" i="4"/>
  <c r="AJ394" i="5"/>
  <c r="AL394" i="5"/>
  <c r="F394" i="5"/>
  <c r="E394" i="5"/>
  <c r="H394" i="5"/>
  <c r="I394" i="5"/>
  <c r="R394" i="5"/>
  <c r="T394" i="5"/>
  <c r="AN394" i="5"/>
  <c r="AA395" i="5"/>
  <c r="B407" i="4"/>
  <c r="P407" i="4"/>
  <c r="W395" i="5"/>
  <c r="O395" i="5"/>
  <c r="K395" i="5"/>
  <c r="AG395" i="5"/>
  <c r="AF395" i="5"/>
  <c r="C395" i="5"/>
  <c r="L395" i="5"/>
  <c r="N395" i="5"/>
  <c r="L407" i="4"/>
  <c r="Q395" i="5"/>
  <c r="U395" i="5"/>
  <c r="Q407" i="4"/>
  <c r="X395" i="5"/>
  <c r="R407" i="4"/>
  <c r="Z395" i="5"/>
  <c r="AC395" i="5"/>
  <c r="AD395" i="5"/>
  <c r="X407" i="4"/>
  <c r="AI395" i="5"/>
  <c r="Y407" i="4"/>
  <c r="AJ395" i="5"/>
  <c r="F395" i="5"/>
  <c r="E395" i="5"/>
  <c r="H395" i="5"/>
  <c r="I395" i="5"/>
  <c r="R395" i="5"/>
  <c r="T395" i="5"/>
  <c r="AN395" i="5"/>
  <c r="AA396" i="5"/>
  <c r="B394" i="4"/>
  <c r="P394" i="4"/>
  <c r="W396" i="5"/>
  <c r="O396" i="5"/>
  <c r="K396" i="5"/>
  <c r="AG396" i="5"/>
  <c r="AF396" i="5"/>
  <c r="C396" i="5"/>
  <c r="L396" i="5"/>
  <c r="N396" i="5"/>
  <c r="L394" i="4"/>
  <c r="Q396" i="5"/>
  <c r="U396" i="5"/>
  <c r="Q394" i="4"/>
  <c r="X396" i="5"/>
  <c r="R394" i="4"/>
  <c r="Z396" i="5"/>
  <c r="AC396" i="5"/>
  <c r="AD396" i="5"/>
  <c r="X394" i="4"/>
  <c r="AI396" i="5"/>
  <c r="Y394" i="4"/>
  <c r="AJ396" i="5"/>
  <c r="AL396" i="5"/>
  <c r="F396" i="5"/>
  <c r="E396" i="5"/>
  <c r="H396" i="5"/>
  <c r="I396" i="5"/>
  <c r="R396" i="5"/>
  <c r="T396" i="5"/>
  <c r="AN396" i="5"/>
  <c r="AA397" i="5"/>
  <c r="B395" i="4"/>
  <c r="P395" i="4"/>
  <c r="W397" i="5"/>
  <c r="O397" i="5"/>
  <c r="K397" i="5"/>
  <c r="AG397" i="5"/>
  <c r="AF397" i="5"/>
  <c r="C397" i="5"/>
  <c r="L397" i="5"/>
  <c r="N397" i="5"/>
  <c r="L395" i="4"/>
  <c r="Q397" i="5"/>
  <c r="U397" i="5"/>
  <c r="Q395" i="4"/>
  <c r="X397" i="5"/>
  <c r="R395" i="4"/>
  <c r="Z397" i="5"/>
  <c r="AC397" i="5"/>
  <c r="AD397" i="5"/>
  <c r="X395" i="4"/>
  <c r="AI397" i="5"/>
  <c r="Y395" i="4"/>
  <c r="AJ397" i="5"/>
  <c r="AL397" i="5"/>
  <c r="F397" i="5"/>
  <c r="E397" i="5"/>
  <c r="H397" i="5"/>
  <c r="I397" i="5"/>
  <c r="R397" i="5"/>
  <c r="T397" i="5"/>
  <c r="AN397" i="5"/>
  <c r="AA398" i="5"/>
  <c r="B396" i="4"/>
  <c r="P396" i="4"/>
  <c r="W398" i="5"/>
  <c r="O398" i="5"/>
  <c r="K398" i="5"/>
  <c r="AG398" i="5"/>
  <c r="AF398" i="5"/>
  <c r="C398" i="5"/>
  <c r="L398" i="5"/>
  <c r="N398" i="5"/>
  <c r="L396" i="4"/>
  <c r="Q398" i="5"/>
  <c r="U398" i="5"/>
  <c r="Q396" i="4"/>
  <c r="X398" i="5"/>
  <c r="R396" i="4"/>
  <c r="Z398" i="5"/>
  <c r="AC398" i="5"/>
  <c r="AD398" i="5"/>
  <c r="X396" i="4"/>
  <c r="AI398" i="5"/>
  <c r="Y396" i="4"/>
  <c r="AJ398" i="5"/>
  <c r="AL398" i="5"/>
  <c r="F398" i="5"/>
  <c r="E398" i="5"/>
  <c r="H398" i="5"/>
  <c r="I398" i="5"/>
  <c r="R398" i="5"/>
  <c r="T398" i="5"/>
  <c r="AN398" i="5"/>
  <c r="AA399" i="5"/>
  <c r="B397" i="4"/>
  <c r="P397" i="4"/>
  <c r="W399" i="5"/>
  <c r="O399" i="5"/>
  <c r="K399" i="5"/>
  <c r="AG399" i="5"/>
  <c r="AF399" i="5"/>
  <c r="C399" i="5"/>
  <c r="L399" i="5"/>
  <c r="N399" i="5"/>
  <c r="L397" i="4"/>
  <c r="Q399" i="5"/>
  <c r="U399" i="5"/>
  <c r="Q397" i="4"/>
  <c r="X399" i="5"/>
  <c r="R397" i="4"/>
  <c r="Z399" i="5"/>
  <c r="AC399" i="5"/>
  <c r="AD399" i="5"/>
  <c r="X397" i="4"/>
  <c r="AI399" i="5"/>
  <c r="Y397" i="4"/>
  <c r="AJ399" i="5"/>
  <c r="AL399" i="5"/>
  <c r="F399" i="5"/>
  <c r="E399" i="5"/>
  <c r="H399" i="5"/>
  <c r="I399" i="5"/>
  <c r="R399" i="5"/>
  <c r="T399" i="5"/>
  <c r="AN399" i="5"/>
  <c r="AA400" i="5"/>
  <c r="B416" i="4"/>
  <c r="P416" i="4"/>
  <c r="W400" i="5"/>
  <c r="O400" i="5"/>
  <c r="K400" i="5"/>
  <c r="AG400" i="5"/>
  <c r="AF400" i="5"/>
  <c r="C400" i="5"/>
  <c r="L400" i="5"/>
  <c r="N400" i="5"/>
  <c r="L416" i="4"/>
  <c r="Q400" i="5"/>
  <c r="U400" i="5"/>
  <c r="Q416" i="4"/>
  <c r="X400" i="5"/>
  <c r="R416" i="4"/>
  <c r="Z400" i="5"/>
  <c r="AC400" i="5"/>
  <c r="AD400" i="5"/>
  <c r="X416" i="4"/>
  <c r="AI400" i="5"/>
  <c r="Y416" i="4"/>
  <c r="AJ400" i="5"/>
  <c r="AL400" i="5"/>
  <c r="F400" i="5"/>
  <c r="E400" i="5"/>
  <c r="H400" i="5"/>
  <c r="I400" i="5"/>
  <c r="R400" i="5"/>
  <c r="T400" i="5"/>
  <c r="AN400" i="5"/>
  <c r="AA401" i="5"/>
  <c r="B408" i="4"/>
  <c r="P408" i="4"/>
  <c r="W401" i="5"/>
  <c r="O401" i="5"/>
  <c r="K401" i="5"/>
  <c r="AG401" i="5"/>
  <c r="AF401" i="5"/>
  <c r="C401" i="5"/>
  <c r="L401" i="5"/>
  <c r="N401" i="5"/>
  <c r="L408" i="4"/>
  <c r="Q401" i="5"/>
  <c r="U401" i="5"/>
  <c r="Q408" i="4"/>
  <c r="X401" i="5"/>
  <c r="R408" i="4"/>
  <c r="Z401" i="5"/>
  <c r="AC401" i="5"/>
  <c r="AD401" i="5"/>
  <c r="X408" i="4"/>
  <c r="AI401" i="5"/>
  <c r="Y408" i="4"/>
  <c r="AJ401" i="5"/>
  <c r="AL401" i="5"/>
  <c r="F401" i="5"/>
  <c r="E401" i="5"/>
  <c r="H401" i="5"/>
  <c r="I401" i="5"/>
  <c r="R401" i="5"/>
  <c r="T401" i="5"/>
  <c r="AN401" i="5"/>
  <c r="AA402" i="5"/>
  <c r="B412" i="4"/>
  <c r="P412" i="4"/>
  <c r="W402" i="5"/>
  <c r="O402" i="5"/>
  <c r="K402" i="5"/>
  <c r="AG402" i="5"/>
  <c r="AF402" i="5"/>
  <c r="C402" i="5"/>
  <c r="L402" i="5"/>
  <c r="N402" i="5"/>
  <c r="L412" i="4"/>
  <c r="Q402" i="5"/>
  <c r="U402" i="5"/>
  <c r="Q412" i="4"/>
  <c r="X402" i="5"/>
  <c r="R412" i="4"/>
  <c r="Z402" i="5"/>
  <c r="AC402" i="5"/>
  <c r="AD402" i="5"/>
  <c r="X412" i="4"/>
  <c r="AI402" i="5"/>
  <c r="Y412" i="4"/>
  <c r="AJ402" i="5"/>
  <c r="AL402" i="5"/>
  <c r="F402" i="5"/>
  <c r="E402" i="5"/>
  <c r="H402" i="5"/>
  <c r="I402" i="5"/>
  <c r="R402" i="5"/>
  <c r="T402" i="5"/>
  <c r="AN402" i="5"/>
  <c r="AA403" i="5"/>
  <c r="B409" i="4"/>
  <c r="P409" i="4"/>
  <c r="W403" i="5"/>
  <c r="O403" i="5"/>
  <c r="K403" i="5"/>
  <c r="AG403" i="5"/>
  <c r="AF403" i="5"/>
  <c r="C403" i="5"/>
  <c r="L403" i="5"/>
  <c r="N403" i="5"/>
  <c r="L409" i="4"/>
  <c r="Q403" i="5"/>
  <c r="U403" i="5"/>
  <c r="Q409" i="4"/>
  <c r="X403" i="5"/>
  <c r="R409" i="4"/>
  <c r="Z403" i="5"/>
  <c r="AC403" i="5"/>
  <c r="AD403" i="5"/>
  <c r="X409" i="4"/>
  <c r="AI403" i="5"/>
  <c r="Y409" i="4"/>
  <c r="AJ403" i="5"/>
  <c r="AL403" i="5"/>
  <c r="F403" i="5"/>
  <c r="E403" i="5"/>
  <c r="H403" i="5"/>
  <c r="I403" i="5"/>
  <c r="R403" i="5"/>
  <c r="T403" i="5"/>
  <c r="AN403" i="5"/>
  <c r="AA404" i="5"/>
  <c r="B410" i="4"/>
  <c r="P410" i="4"/>
  <c r="W404" i="5"/>
  <c r="O404" i="5"/>
  <c r="K404" i="5"/>
  <c r="AG404" i="5"/>
  <c r="AF404" i="5"/>
  <c r="C404" i="5"/>
  <c r="L404" i="5"/>
  <c r="N404" i="5"/>
  <c r="L410" i="4"/>
  <c r="Q404" i="5"/>
  <c r="U404" i="5"/>
  <c r="Q410" i="4"/>
  <c r="X404" i="5"/>
  <c r="R410" i="4"/>
  <c r="Z404" i="5"/>
  <c r="AC404" i="5"/>
  <c r="AD404" i="5"/>
  <c r="X410" i="4"/>
  <c r="AI404" i="5"/>
  <c r="Y410" i="4"/>
  <c r="AJ404" i="5"/>
  <c r="AL404" i="5"/>
  <c r="F404" i="5"/>
  <c r="E404" i="5"/>
  <c r="H404" i="5"/>
  <c r="I404" i="5"/>
  <c r="R404" i="5"/>
  <c r="T404" i="5"/>
  <c r="AN404" i="5"/>
  <c r="AA405" i="5"/>
  <c r="B398" i="4"/>
  <c r="P398" i="4"/>
  <c r="W405" i="5"/>
  <c r="O405" i="5"/>
  <c r="K405" i="5"/>
  <c r="AG405" i="5"/>
  <c r="AF405" i="5"/>
  <c r="C405" i="5"/>
  <c r="L405" i="5"/>
  <c r="N405" i="5"/>
  <c r="L398" i="4"/>
  <c r="Q405" i="5"/>
  <c r="U405" i="5"/>
  <c r="Q398" i="4"/>
  <c r="X405" i="5"/>
  <c r="R398" i="4"/>
  <c r="Z405" i="5"/>
  <c r="AC405" i="5"/>
  <c r="AD405" i="5"/>
  <c r="X398" i="4"/>
  <c r="AI405" i="5"/>
  <c r="Y398" i="4"/>
  <c r="AJ405" i="5"/>
  <c r="AL405" i="5"/>
  <c r="F405" i="5"/>
  <c r="E405" i="5"/>
  <c r="H405" i="5"/>
  <c r="I405" i="5"/>
  <c r="R405" i="5"/>
  <c r="T405" i="5"/>
  <c r="AN405" i="5"/>
  <c r="AA406" i="5"/>
  <c r="B399" i="4"/>
  <c r="P399" i="4"/>
  <c r="W406" i="5"/>
  <c r="O406" i="5"/>
  <c r="K406" i="5"/>
  <c r="AG406" i="5"/>
  <c r="AF406" i="5"/>
  <c r="C406" i="5"/>
  <c r="L406" i="5"/>
  <c r="N406" i="5"/>
  <c r="L399" i="4"/>
  <c r="Q406" i="5"/>
  <c r="U406" i="5"/>
  <c r="Q399" i="4"/>
  <c r="X406" i="5"/>
  <c r="R399" i="4"/>
  <c r="Z406" i="5"/>
  <c r="AC406" i="5"/>
  <c r="AD406" i="5"/>
  <c r="X399" i="4"/>
  <c r="AI406" i="5"/>
  <c r="Y399" i="4"/>
  <c r="AJ406" i="5"/>
  <c r="AL406" i="5"/>
  <c r="F406" i="5"/>
  <c r="E406" i="5"/>
  <c r="H406" i="5"/>
  <c r="I406" i="5"/>
  <c r="R406" i="5"/>
  <c r="T406" i="5"/>
  <c r="AN406" i="5"/>
  <c r="AA407" i="5"/>
  <c r="B400" i="4"/>
  <c r="P400" i="4"/>
  <c r="W407" i="5"/>
  <c r="O407" i="5"/>
  <c r="K407" i="5"/>
  <c r="AG407" i="5"/>
  <c r="AF407" i="5"/>
  <c r="C407" i="5"/>
  <c r="L407" i="5"/>
  <c r="N407" i="5"/>
  <c r="L400" i="4"/>
  <c r="Q407" i="5"/>
  <c r="U407" i="5"/>
  <c r="Q400" i="4"/>
  <c r="X407" i="5"/>
  <c r="R400" i="4"/>
  <c r="Z407" i="5"/>
  <c r="AC407" i="5"/>
  <c r="AD407" i="5"/>
  <c r="X400" i="4"/>
  <c r="AI407" i="5"/>
  <c r="Y400" i="4"/>
  <c r="AJ407" i="5"/>
  <c r="AL407" i="5"/>
  <c r="F407" i="5"/>
  <c r="E407" i="5"/>
  <c r="H407" i="5"/>
  <c r="I407" i="5"/>
  <c r="R407" i="5"/>
  <c r="T407" i="5"/>
  <c r="AN407" i="5"/>
  <c r="AA408" i="5"/>
  <c r="B401" i="4"/>
  <c r="P401" i="4"/>
  <c r="W408" i="5"/>
  <c r="O408" i="5"/>
  <c r="K408" i="5"/>
  <c r="AG408" i="5"/>
  <c r="AF408" i="5"/>
  <c r="C408" i="5"/>
  <c r="L408" i="5"/>
  <c r="N408" i="5"/>
  <c r="L401" i="4"/>
  <c r="Q408" i="5"/>
  <c r="U408" i="5"/>
  <c r="Q401" i="4"/>
  <c r="X408" i="5"/>
  <c r="R401" i="4"/>
  <c r="Z408" i="5"/>
  <c r="AC408" i="5"/>
  <c r="AD408" i="5"/>
  <c r="X401" i="4"/>
  <c r="AI408" i="5"/>
  <c r="Y401" i="4"/>
  <c r="AJ408" i="5"/>
  <c r="AL408" i="5"/>
  <c r="F408" i="5"/>
  <c r="E408" i="5"/>
  <c r="H408" i="5"/>
  <c r="I408" i="5"/>
  <c r="R408" i="5"/>
  <c r="T408" i="5"/>
  <c r="AN408" i="5"/>
  <c r="AA409" i="5"/>
  <c r="B415" i="4"/>
  <c r="P415" i="4"/>
  <c r="W409" i="5"/>
  <c r="O409" i="5"/>
  <c r="K409" i="5"/>
  <c r="AG409" i="5"/>
  <c r="AF409" i="5"/>
  <c r="C409" i="5"/>
  <c r="L409" i="5"/>
  <c r="N409" i="5"/>
  <c r="L415" i="4"/>
  <c r="Q409" i="5"/>
  <c r="U409" i="5"/>
  <c r="Q415" i="4"/>
  <c r="X409" i="5"/>
  <c r="R415" i="4"/>
  <c r="Z409" i="5"/>
  <c r="AC409" i="5"/>
  <c r="AD409" i="5"/>
  <c r="X415" i="4"/>
  <c r="AI409" i="5"/>
  <c r="Y415" i="4"/>
  <c r="AJ409" i="5"/>
  <c r="AL409" i="5"/>
  <c r="F409" i="5"/>
  <c r="E409" i="5"/>
  <c r="H409" i="5"/>
  <c r="I409" i="5"/>
  <c r="R409" i="5"/>
  <c r="T409" i="5"/>
  <c r="AN409" i="5"/>
  <c r="AA410" i="5"/>
  <c r="B405" i="4"/>
  <c r="P405" i="4"/>
  <c r="W410" i="5"/>
  <c r="O410" i="5"/>
  <c r="K410" i="5"/>
  <c r="AG410" i="5"/>
  <c r="AF410" i="5"/>
  <c r="C410" i="5"/>
  <c r="L410" i="5"/>
  <c r="N410" i="5"/>
  <c r="L405" i="4"/>
  <c r="Q410" i="5"/>
  <c r="U410" i="5"/>
  <c r="Q405" i="4"/>
  <c r="X410" i="5"/>
  <c r="R405" i="4"/>
  <c r="Z410" i="5"/>
  <c r="AC410" i="5"/>
  <c r="AD410" i="5"/>
  <c r="X405" i="4"/>
  <c r="AI410" i="5"/>
  <c r="Y405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A412" i="5"/>
  <c r="B402" i="4"/>
  <c r="P402" i="4"/>
  <c r="W412" i="5"/>
  <c r="O412" i="5"/>
  <c r="K412" i="5"/>
  <c r="AG412" i="5"/>
  <c r="AF412" i="5"/>
  <c r="C412" i="5"/>
  <c r="L412" i="5"/>
  <c r="N412" i="5"/>
  <c r="L402" i="4"/>
  <c r="Q412" i="5"/>
  <c r="U412" i="5"/>
  <c r="Q402" i="4"/>
  <c r="X412" i="5"/>
  <c r="R402" i="4"/>
  <c r="Z412" i="5"/>
  <c r="AC412" i="5"/>
  <c r="AD412" i="5"/>
  <c r="X402" i="4"/>
  <c r="AI412" i="5"/>
  <c r="Y402" i="4"/>
  <c r="AJ412" i="5"/>
  <c r="AL412" i="5"/>
  <c r="F412" i="5"/>
  <c r="E412" i="5"/>
  <c r="H412" i="5"/>
  <c r="I412" i="5"/>
  <c r="R412" i="5"/>
  <c r="T412" i="5"/>
  <c r="AN412" i="5"/>
  <c r="AA413" i="5"/>
  <c r="B392" i="4"/>
  <c r="P392" i="4"/>
  <c r="W413" i="5"/>
  <c r="O413" i="5"/>
  <c r="K413" i="5"/>
  <c r="AG413" i="5"/>
  <c r="AF413" i="5"/>
  <c r="C413" i="5"/>
  <c r="L413" i="5"/>
  <c r="N413" i="5"/>
  <c r="L392" i="4"/>
  <c r="Q413" i="5"/>
  <c r="U413" i="5"/>
  <c r="Q392" i="4"/>
  <c r="X413" i="5"/>
  <c r="R392" i="4"/>
  <c r="Z413" i="5"/>
  <c r="AC413" i="5"/>
  <c r="AD413" i="5"/>
  <c r="X392" i="4"/>
  <c r="AI413" i="5"/>
  <c r="Y392" i="4"/>
  <c r="AJ413" i="5"/>
  <c r="AL413" i="5"/>
  <c r="F413" i="5"/>
  <c r="E413" i="5"/>
  <c r="H413" i="5"/>
  <c r="I413" i="5"/>
  <c r="R413" i="5"/>
  <c r="T413" i="5"/>
  <c r="AN413" i="5"/>
  <c r="AA414" i="5"/>
  <c r="B413" i="4"/>
  <c r="P413" i="4"/>
  <c r="W414" i="5"/>
  <c r="O414" i="5"/>
  <c r="K414" i="5"/>
  <c r="AG414" i="5"/>
  <c r="AF414" i="5"/>
  <c r="C414" i="5"/>
  <c r="L414" i="5"/>
  <c r="N414" i="5"/>
  <c r="L413" i="4"/>
  <c r="Q414" i="5"/>
  <c r="U414" i="5"/>
  <c r="Q413" i="4"/>
  <c r="X414" i="5"/>
  <c r="R413" i="4"/>
  <c r="Z414" i="5"/>
  <c r="AC414" i="5"/>
  <c r="AD414" i="5"/>
  <c r="X413" i="4"/>
  <c r="AI414" i="5"/>
  <c r="Y413" i="4"/>
  <c r="AJ414" i="5"/>
  <c r="AL414" i="5"/>
  <c r="F414" i="5"/>
  <c r="E414" i="5"/>
  <c r="H414" i="5"/>
  <c r="I414" i="5"/>
  <c r="R414" i="5"/>
  <c r="T414" i="5"/>
  <c r="AN414" i="5"/>
  <c r="AA415" i="5"/>
  <c r="B414" i="4"/>
  <c r="P414" i="4"/>
  <c r="W415" i="5"/>
  <c r="O415" i="5"/>
  <c r="K415" i="5"/>
  <c r="AG415" i="5"/>
  <c r="AF415" i="5"/>
  <c r="C415" i="5"/>
  <c r="L415" i="5"/>
  <c r="N415" i="5"/>
  <c r="L414" i="4"/>
  <c r="Q415" i="5"/>
  <c r="U415" i="5"/>
  <c r="Q414" i="4"/>
  <c r="X415" i="5"/>
  <c r="R414" i="4"/>
  <c r="Z415" i="5"/>
  <c r="AC415" i="5"/>
  <c r="AD415" i="5"/>
  <c r="X414" i="4"/>
  <c r="AI415" i="5"/>
  <c r="Y414" i="4"/>
  <c r="AJ415" i="5"/>
  <c r="AL415" i="5"/>
  <c r="F415" i="5"/>
  <c r="E415" i="5"/>
  <c r="H415" i="5"/>
  <c r="I415" i="5"/>
  <c r="R415" i="5"/>
  <c r="T415" i="5"/>
  <c r="AN415" i="5"/>
  <c r="AA416" i="5"/>
  <c r="B406" i="4"/>
  <c r="P406" i="4"/>
  <c r="W416" i="5"/>
  <c r="O416" i="5"/>
  <c r="K416" i="5"/>
  <c r="AG416" i="5"/>
  <c r="AF416" i="5"/>
  <c r="C416" i="5"/>
  <c r="L416" i="5"/>
  <c r="N416" i="5"/>
  <c r="L406" i="4"/>
  <c r="Q416" i="5"/>
  <c r="U416" i="5"/>
  <c r="Q406" i="4"/>
  <c r="X416" i="5"/>
  <c r="R406" i="4"/>
  <c r="Z416" i="5"/>
  <c r="AC416" i="5"/>
  <c r="AD416" i="5"/>
  <c r="X406" i="4"/>
  <c r="AI416" i="5"/>
  <c r="Y406" i="4"/>
  <c r="AJ416" i="5"/>
  <c r="AL416" i="5"/>
  <c r="F416" i="5"/>
  <c r="E416" i="5"/>
  <c r="H416" i="5"/>
  <c r="I416" i="5"/>
  <c r="R416" i="5"/>
  <c r="T416" i="5"/>
  <c r="AN416" i="5"/>
  <c r="AG2" i="5"/>
  <c r="AF2" i="5"/>
  <c r="B269" i="4"/>
  <c r="C269" i="4"/>
  <c r="C2" i="5"/>
  <c r="D269" i="4"/>
  <c r="E2" i="5"/>
  <c r="K2" i="5"/>
  <c r="L269" i="4"/>
  <c r="Q2" i="5"/>
  <c r="M269" i="4"/>
  <c r="R2" i="5"/>
  <c r="T2" i="5"/>
  <c r="U2" i="5"/>
  <c r="P269" i="4"/>
  <c r="W2" i="5"/>
  <c r="Q269" i="4"/>
  <c r="X2" i="5"/>
  <c r="S269" i="4"/>
  <c r="AA2" i="5"/>
  <c r="AI269" i="4"/>
  <c r="T269" i="4" a="1"/>
  <c r="T269" i="4"/>
  <c r="AC2" i="5"/>
  <c r="U269" i="4" a="1"/>
  <c r="U269" i="4"/>
  <c r="AD2" i="5"/>
  <c r="X269" i="4"/>
  <c r="AI2" i="5"/>
  <c r="Y269" i="4"/>
  <c r="AJ2" i="5"/>
  <c r="Z269" i="4"/>
  <c r="AL2" i="5"/>
  <c r="F2" i="5"/>
  <c r="L2" i="5"/>
  <c r="N2" i="5"/>
  <c r="O2" i="5"/>
  <c r="H2" i="5"/>
  <c r="I2" i="5"/>
  <c r="Z2" i="5"/>
  <c r="AN2" i="5"/>
  <c r="AZ222" i="1"/>
  <c r="BA222" i="1"/>
  <c r="BB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BC222" i="1"/>
  <c r="CT222" i="1"/>
  <c r="AZ221" i="1"/>
  <c r="BA221" i="1"/>
  <c r="BB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BC221" i="1"/>
  <c r="CT221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AZ326" i="1"/>
  <c r="BA326" i="1"/>
  <c r="BB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BC326" i="1"/>
  <c r="CT326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AZ175" i="1"/>
  <c r="BA175" i="1"/>
  <c r="BB175" i="1"/>
  <c r="CT175" i="1"/>
  <c r="AI309" i="4"/>
  <c r="AI310" i="4"/>
  <c r="AZ427" i="1"/>
  <c r="BA427" i="1"/>
  <c r="BB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BC427" i="1"/>
  <c r="CT427" i="1"/>
  <c r="AZ428" i="1"/>
  <c r="BA428" i="1"/>
  <c r="BB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BC428" i="1"/>
  <c r="CT428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08" i="4"/>
  <c r="F308" i="4"/>
  <c r="R308" i="4"/>
  <c r="AA308" i="4"/>
  <c r="AC308" i="4"/>
  <c r="AD308" i="4"/>
  <c r="AE308" i="4"/>
  <c r="AF308" i="4"/>
  <c r="AG308" i="4"/>
  <c r="AH308" i="4"/>
  <c r="AI308" i="4"/>
  <c r="AJ308" i="4"/>
  <c r="AL308" i="4"/>
  <c r="B307" i="5"/>
  <c r="AM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BD307" i="5"/>
  <c r="BE307" i="5"/>
  <c r="B318" i="6"/>
  <c r="C318" i="6"/>
  <c r="D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D411" i="9"/>
  <c r="E411" i="9"/>
  <c r="F411" i="9"/>
  <c r="G411" i="9"/>
  <c r="C115" i="7"/>
  <c r="D115" i="7"/>
  <c r="E115" i="7"/>
  <c r="AZ421" i="1"/>
  <c r="BA421" i="1"/>
  <c r="BB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BC421" i="1"/>
  <c r="CT421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10" i="9"/>
  <c r="F410" i="9"/>
  <c r="G410" i="9"/>
  <c r="E410" i="9"/>
  <c r="D409" i="9"/>
  <c r="F409" i="9"/>
  <c r="G409" i="9"/>
  <c r="E409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414" i="1"/>
  <c r="BA414" i="1"/>
  <c r="BB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BC414" i="1"/>
  <c r="CT414" i="1"/>
  <c r="AZ413" i="1"/>
  <c r="BA413" i="1"/>
  <c r="BB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BC413" i="1"/>
  <c r="CT413" i="1"/>
  <c r="AZ419" i="1"/>
  <c r="BA419" i="1"/>
  <c r="BB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BC419" i="1"/>
  <c r="CT419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418" i="1"/>
  <c r="BA418" i="1"/>
  <c r="BB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BC418" i="1"/>
  <c r="CT418" i="1"/>
  <c r="AZ420" i="1"/>
  <c r="BA420" i="1"/>
  <c r="BB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BC420" i="1"/>
  <c r="CT420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BC394" i="1"/>
  <c r="CT394" i="1"/>
  <c r="AZ395" i="1"/>
  <c r="BA395" i="1"/>
  <c r="BB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BC395" i="1"/>
  <c r="CT395" i="1"/>
  <c r="AZ307" i="1"/>
  <c r="BA307" i="1"/>
  <c r="BB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BC307" i="1"/>
  <c r="CT307" i="1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BC306" i="1"/>
  <c r="CT306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BC360" i="1"/>
  <c r="CT360" i="1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B15" i="3"/>
  <c r="C15" i="3"/>
  <c r="E15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H27" i="4"/>
  <c r="AH16" i="4"/>
  <c r="AH235" i="4"/>
  <c r="AH18" i="4"/>
  <c r="AH20" i="4"/>
  <c r="AH17" i="4"/>
  <c r="AH4" i="4"/>
  <c r="AH35" i="4"/>
  <c r="AH19" i="4"/>
  <c r="AH15" i="4"/>
  <c r="AH244" i="4"/>
  <c r="AH230" i="4"/>
  <c r="AH119" i="4"/>
  <c r="AH127" i="4"/>
  <c r="AH173" i="4"/>
  <c r="AH142" i="4"/>
  <c r="AH290" i="4"/>
  <c r="AH241" i="4"/>
  <c r="AH293" i="4"/>
  <c r="AH219" i="4"/>
  <c r="AH181" i="4"/>
  <c r="AH182" i="4"/>
  <c r="AH169" i="4"/>
  <c r="AH91" i="4"/>
  <c r="AH136" i="4"/>
  <c r="AH138" i="4"/>
  <c r="AH25" i="4"/>
  <c r="AH61" i="4"/>
  <c r="AH137" i="4"/>
  <c r="AH102" i="4"/>
  <c r="AH176" i="4"/>
  <c r="AH175" i="4"/>
  <c r="AH177" i="4"/>
  <c r="AH209" i="4"/>
  <c r="AH179" i="4"/>
  <c r="AH111" i="4"/>
  <c r="AH120" i="4"/>
  <c r="AH284" i="4"/>
  <c r="AH285" i="4"/>
  <c r="AH286" i="4"/>
  <c r="AH282" i="4"/>
  <c r="AH278" i="4"/>
  <c r="AH24" i="4"/>
  <c r="AH87" i="4"/>
  <c r="AH90" i="4"/>
  <c r="AH178" i="4"/>
  <c r="AH236" i="4"/>
  <c r="AH302" i="4"/>
  <c r="AH240" i="4"/>
  <c r="AH14" i="4"/>
  <c r="AH237" i="4"/>
  <c r="AH242" i="4"/>
  <c r="AH68" i="4"/>
  <c r="AH113" i="4"/>
  <c r="AH117" i="4"/>
  <c r="AH67" i="4"/>
  <c r="AH283" i="4"/>
  <c r="AH99" i="4"/>
  <c r="AH62" i="4"/>
  <c r="AH69" i="4"/>
  <c r="AH75" i="4"/>
  <c r="AH131" i="4"/>
  <c r="AH70" i="4"/>
  <c r="AH250" i="4"/>
  <c r="AH74" i="4"/>
  <c r="AH253" i="4"/>
  <c r="AH193" i="4"/>
  <c r="AH79" i="4"/>
  <c r="AH123" i="4"/>
  <c r="AH83" i="4"/>
  <c r="AH84" i="4"/>
  <c r="AH155" i="4"/>
  <c r="AH288" i="4"/>
  <c r="AH245" i="4"/>
  <c r="AH29" i="4"/>
  <c r="AH228" i="4"/>
  <c r="AH23" i="4"/>
  <c r="AH180" i="4"/>
  <c r="AH82" i="4"/>
  <c r="AH141" i="4"/>
  <c r="AH256" i="4"/>
  <c r="AH46" i="4"/>
  <c r="AH31" i="4"/>
  <c r="AH220" i="4"/>
  <c r="AH207" i="4"/>
  <c r="AH77" i="4"/>
  <c r="AH22" i="4"/>
  <c r="AH223" i="4"/>
  <c r="AH194" i="4"/>
  <c r="AH163" i="4"/>
  <c r="AH224" i="4"/>
  <c r="AH189" i="4"/>
  <c r="AH184" i="4"/>
  <c r="AH157" i="4"/>
  <c r="AH114" i="4"/>
  <c r="AH2" i="4"/>
  <c r="AH65" i="4"/>
  <c r="AH229" i="4"/>
  <c r="AH208" i="4"/>
  <c r="AH97" i="4"/>
  <c r="AH63" i="4"/>
  <c r="AH110" i="4"/>
  <c r="AH246" i="4"/>
  <c r="AH144" i="4"/>
  <c r="AH13" i="4"/>
  <c r="AH5" i="4"/>
  <c r="AH267" i="4"/>
  <c r="AH100" i="4"/>
  <c r="AH139" i="4"/>
  <c r="AH101" i="4"/>
  <c r="AH156" i="4"/>
  <c r="AH158" i="4"/>
  <c r="AH159" i="4"/>
  <c r="AH161" i="4"/>
  <c r="AH160" i="4"/>
  <c r="AH217" i="4"/>
  <c r="AH135" i="4"/>
  <c r="AH149" i="4"/>
  <c r="AH150" i="4"/>
  <c r="AH162" i="4"/>
  <c r="AH192" i="4"/>
  <c r="AH188" i="4"/>
  <c r="AH227" i="4"/>
  <c r="AH152" i="4"/>
  <c r="AH197" i="4"/>
  <c r="AH151" i="4"/>
  <c r="AH198" i="4"/>
  <c r="AH153" i="4"/>
  <c r="AH146" i="4"/>
  <c r="AH145" i="4"/>
  <c r="AH140" i="4"/>
  <c r="AH143" i="4"/>
  <c r="AH122" i="4"/>
  <c r="AH47" i="4"/>
  <c r="AH48" i="4"/>
  <c r="AH234" i="4"/>
  <c r="AH233" i="4"/>
  <c r="AH92" i="4"/>
  <c r="AH212" i="4"/>
  <c r="AH213" i="4"/>
  <c r="AH211" i="4"/>
  <c r="AH215" i="4"/>
  <c r="AH214" i="4"/>
  <c r="AH263" i="4"/>
  <c r="AH73" i="4"/>
  <c r="AH268" i="4"/>
  <c r="AH291" i="4"/>
  <c r="AH292" i="4"/>
  <c r="AH71" i="4"/>
  <c r="AH249" i="4"/>
  <c r="AH239" i="4"/>
  <c r="AH301" i="4"/>
  <c r="AH93" i="4"/>
  <c r="AH118" i="4"/>
  <c r="AH72" i="4"/>
  <c r="AH280" i="4"/>
  <c r="AH271" i="4"/>
  <c r="AH289" i="4"/>
  <c r="AH126" i="4"/>
  <c r="AH255" i="4"/>
  <c r="AH190" i="4"/>
  <c r="AH129" i="4"/>
  <c r="AH274" i="4"/>
  <c r="AH281" i="4"/>
  <c r="AH257" i="4"/>
  <c r="AH258" i="4"/>
  <c r="AH199" i="4"/>
  <c r="AH165" i="4"/>
  <c r="AH205" i="4"/>
  <c r="AH8" i="4"/>
  <c r="AH42" i="4"/>
  <c r="AH43" i="4"/>
  <c r="AH44" i="4"/>
  <c r="AH147" i="4"/>
  <c r="AH210" i="4"/>
  <c r="AH191" i="4"/>
  <c r="AH64" i="4"/>
  <c r="AH251" i="4"/>
  <c r="AH196" i="4"/>
  <c r="AH7" i="4"/>
  <c r="AH272" i="4"/>
  <c r="AH195" i="4"/>
  <c r="AH252" i="4"/>
  <c r="AH243" i="4"/>
  <c r="AH33" i="4"/>
  <c r="AH128" i="4"/>
  <c r="AH222" i="4"/>
  <c r="AH248" i="4"/>
  <c r="AH279" i="4"/>
  <c r="AH34" i="4"/>
  <c r="AH32" i="4"/>
  <c r="AH9" i="4"/>
  <c r="AH95" i="4"/>
  <c r="AH287" i="4"/>
  <c r="AH45" i="4"/>
  <c r="AH6" i="4"/>
  <c r="AH273" i="4"/>
  <c r="AH21" i="4"/>
  <c r="AH269" i="4"/>
  <c r="AH296" i="4"/>
  <c r="AH200" i="4"/>
  <c r="AH259" i="4"/>
  <c r="AH98" i="4"/>
  <c r="AH247" i="4"/>
  <c r="AH49" i="4"/>
  <c r="AH30" i="4"/>
  <c r="AH166" i="4"/>
  <c r="AH168" i="4"/>
  <c r="AH167" i="4"/>
  <c r="AH218" i="4"/>
  <c r="AH148" i="4"/>
  <c r="AH154" i="4"/>
  <c r="AH112" i="4"/>
  <c r="AH56" i="4"/>
  <c r="AH80" i="4"/>
  <c r="AH298" i="4"/>
  <c r="AH297" i="4"/>
  <c r="AH81" i="4"/>
  <c r="AH299" i="4"/>
  <c r="AH294" i="4"/>
  <c r="AH130" i="4"/>
  <c r="AH3" i="4"/>
  <c r="AH231" i="4"/>
  <c r="AH254" i="4"/>
  <c r="AH204" i="4"/>
  <c r="AH260" i="4"/>
  <c r="AH225" i="4"/>
  <c r="AH85" i="4"/>
  <c r="AH40" i="4"/>
  <c r="AH66" i="4"/>
  <c r="AH187" i="4"/>
  <c r="AH185" i="4"/>
  <c r="AH295" i="4"/>
  <c r="AH226" i="4"/>
  <c r="AH125" i="4"/>
  <c r="AH124" i="4"/>
  <c r="AH238" i="4"/>
  <c r="AH94" i="4"/>
  <c r="AH172" i="4"/>
  <c r="AH202" i="4"/>
  <c r="AH201" i="4"/>
  <c r="AH132" i="4"/>
  <c r="AH261" i="4"/>
  <c r="AH186" i="4"/>
  <c r="AH89" i="4"/>
  <c r="AH266" i="4"/>
  <c r="AH78" i="4"/>
  <c r="AH203" i="4"/>
  <c r="AH171" i="4"/>
  <c r="AH265" i="4"/>
  <c r="AH54" i="4"/>
  <c r="AH133" i="4"/>
  <c r="AH37" i="4"/>
  <c r="AH26" i="4"/>
  <c r="AH206" i="4"/>
  <c r="AH53" i="4"/>
  <c r="AH38" i="4"/>
  <c r="AH264" i="4"/>
  <c r="AH216" i="4"/>
  <c r="AH96" i="4"/>
  <c r="AH39" i="4"/>
  <c r="AH300" i="4"/>
  <c r="AH59" i="4"/>
  <c r="AH170" i="4"/>
  <c r="AH262" i="4"/>
  <c r="AH52" i="4"/>
  <c r="AH221" i="4"/>
  <c r="AH51" i="4"/>
  <c r="AH88" i="4"/>
  <c r="AH11" i="4"/>
  <c r="AH58" i="4"/>
  <c r="AH183" i="4"/>
  <c r="AH36" i="4"/>
  <c r="AH121" i="4"/>
  <c r="AH41" i="4"/>
  <c r="AH57" i="4"/>
  <c r="AH12" i="4"/>
  <c r="AH50" i="4"/>
  <c r="AH270" i="4"/>
  <c r="AH116" i="4"/>
  <c r="AH55" i="4"/>
  <c r="AH103" i="4"/>
  <c r="AH109" i="4"/>
  <c r="AH10" i="4"/>
  <c r="AH60" i="4"/>
  <c r="AH104" i="4"/>
  <c r="AH107" i="4"/>
  <c r="AH76" i="4"/>
  <c r="AH115" i="4"/>
  <c r="AH108" i="4"/>
  <c r="AH106" i="4"/>
  <c r="AH105" i="4"/>
  <c r="AH318" i="4"/>
  <c r="AH317" i="4"/>
  <c r="AH303" i="4"/>
  <c r="AH304" i="4"/>
  <c r="AH310" i="4"/>
  <c r="AH311" i="4"/>
  <c r="AH312" i="4"/>
  <c r="AH313" i="4"/>
  <c r="AH309" i="4"/>
  <c r="AH314" i="4"/>
  <c r="AH315" i="4"/>
  <c r="AH307" i="4"/>
  <c r="AH316" i="4"/>
  <c r="AH306" i="4"/>
  <c r="AH305" i="4"/>
  <c r="AH349" i="4"/>
  <c r="AH333" i="4"/>
  <c r="AH331" i="4"/>
  <c r="AH332" i="4"/>
  <c r="AH348" i="4"/>
  <c r="AH350" i="4"/>
  <c r="AH336" i="4"/>
  <c r="AH344" i="4"/>
  <c r="AH347" i="4"/>
  <c r="AH346" i="4"/>
  <c r="AH341" i="4"/>
  <c r="AH351" i="4"/>
  <c r="AH321" i="4"/>
  <c r="AH326" i="4"/>
  <c r="AH327" i="4"/>
  <c r="AH328" i="4"/>
  <c r="AH329" i="4"/>
  <c r="AH323" i="4"/>
  <c r="AH324" i="4"/>
  <c r="AH325" i="4"/>
  <c r="AH319" i="4"/>
  <c r="AH338" i="4"/>
  <c r="AH343" i="4"/>
  <c r="AH342" i="4"/>
  <c r="AH330" i="4"/>
  <c r="AH345" i="4"/>
  <c r="AH340" i="4"/>
  <c r="AH322" i="4"/>
  <c r="AH334" i="4"/>
  <c r="AH335" i="4"/>
  <c r="AH337" i="4"/>
  <c r="AH339" i="4"/>
  <c r="AH320" i="4"/>
  <c r="AH357" i="4"/>
  <c r="AH355" i="4"/>
  <c r="AH372" i="4"/>
  <c r="AH373" i="4"/>
  <c r="AH361" i="4"/>
  <c r="AH363" i="4"/>
  <c r="AH362" i="4"/>
  <c r="AH356" i="4"/>
  <c r="AH358" i="4"/>
  <c r="AH359" i="4"/>
  <c r="AH360" i="4"/>
  <c r="AH365" i="4"/>
  <c r="AH366" i="4"/>
  <c r="AH367" i="4"/>
  <c r="AH368" i="4"/>
  <c r="AH369" i="4"/>
  <c r="AH370" i="4"/>
  <c r="AH352" i="4"/>
  <c r="AH364" i="4"/>
  <c r="AH353" i="4"/>
  <c r="AH354" i="4"/>
  <c r="AH371" i="4"/>
  <c r="AH379" i="4"/>
  <c r="AH375" i="4"/>
  <c r="AH383" i="4"/>
  <c r="AH374" i="4"/>
  <c r="AH376" i="4"/>
  <c r="AH378" i="4"/>
  <c r="AH381" i="4"/>
  <c r="AH377" i="4"/>
  <c r="AH380" i="4"/>
  <c r="AH385" i="4"/>
  <c r="AH382" i="4"/>
  <c r="AH390" i="4"/>
  <c r="AH389" i="4"/>
  <c r="AH388" i="4"/>
  <c r="AH387" i="4"/>
  <c r="AH391" i="4"/>
  <c r="AH407" i="4"/>
  <c r="AH404" i="4"/>
  <c r="AH415" i="4"/>
  <c r="AH403" i="4"/>
  <c r="AH402" i="4"/>
  <c r="AH408" i="4"/>
  <c r="AH394" i="4"/>
  <c r="AH395" i="4"/>
  <c r="AH396" i="4"/>
  <c r="AH397" i="4"/>
  <c r="AH398" i="4"/>
  <c r="AH400" i="4"/>
  <c r="AH401" i="4"/>
  <c r="AH409" i="4"/>
  <c r="AH410" i="4"/>
  <c r="AH411" i="4"/>
  <c r="AH413" i="4"/>
  <c r="AH414" i="4"/>
  <c r="AH406" i="4"/>
  <c r="AH416" i="4"/>
  <c r="AH412" i="4"/>
  <c r="AH405" i="4"/>
  <c r="AH393" i="4"/>
  <c r="AH392" i="4"/>
  <c r="AH399" i="4"/>
  <c r="AH174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N40" i="4"/>
  <c r="AZ387" i="1"/>
  <c r="BA387" i="1"/>
  <c r="BB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BC387" i="1"/>
  <c r="CT387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6" i="6"/>
  <c r="AA279" i="6"/>
  <c r="AA291" i="6"/>
  <c r="AA298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3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2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4" i="6"/>
  <c r="AA234" i="6"/>
  <c r="AA196" i="6"/>
  <c r="AA142" i="6"/>
  <c r="AA175" i="6"/>
  <c r="AA176" i="6"/>
  <c r="AA131" i="6"/>
  <c r="AA12" i="6"/>
  <c r="AA297" i="6"/>
  <c r="AA197" i="6"/>
  <c r="AA209" i="6"/>
  <c r="AA143" i="6"/>
  <c r="AA210" i="6"/>
  <c r="AA132" i="6"/>
  <c r="AA13" i="6"/>
  <c r="AA46" i="6"/>
  <c r="AA261" i="6"/>
  <c r="AA24" i="6"/>
  <c r="AA235" i="6"/>
  <c r="AA198" i="6"/>
  <c r="AA72" i="6"/>
  <c r="AA262" i="6"/>
  <c r="AA38" i="6"/>
  <c r="AA73" i="6"/>
  <c r="AA74" i="6"/>
  <c r="AA285" i="6"/>
  <c r="AA75" i="6"/>
  <c r="AA236" i="6"/>
  <c r="AA237" i="6"/>
  <c r="AA211" i="6"/>
  <c r="AA273" i="6"/>
  <c r="AA212" i="6"/>
  <c r="AA133" i="6"/>
  <c r="AA76" i="6"/>
  <c r="AA213" i="6"/>
  <c r="AA25" i="6"/>
  <c r="AA135" i="6"/>
  <c r="AA238" i="6"/>
  <c r="AA161" i="6"/>
  <c r="AA77" i="6"/>
  <c r="AA263" i="6"/>
  <c r="AA274" i="6"/>
  <c r="AA126" i="6"/>
  <c r="AA144" i="6"/>
  <c r="AA239" i="6"/>
  <c r="AA275" i="6"/>
  <c r="AA57" i="6"/>
  <c r="AA214" i="6"/>
  <c r="AA276" i="6"/>
  <c r="AA286" i="6"/>
  <c r="AA118" i="6"/>
  <c r="AA119" i="6"/>
  <c r="AA14" i="6"/>
  <c r="AA120" i="6"/>
  <c r="AA199" i="6"/>
  <c r="AA153" i="6"/>
  <c r="AA215" i="6"/>
  <c r="AA200" i="6"/>
  <c r="AA26" i="6"/>
  <c r="AA264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7" i="6"/>
  <c r="AA288" i="6"/>
  <c r="AA34" i="6"/>
  <c r="AA178" i="6"/>
  <c r="AA154" i="6"/>
  <c r="AA248" i="6"/>
  <c r="AA277" i="6"/>
  <c r="AA249" i="6"/>
  <c r="AA80" i="6"/>
  <c r="AA250" i="6"/>
  <c r="AA81" i="6"/>
  <c r="AA265" i="6"/>
  <c r="AA162" i="6"/>
  <c r="AA289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8" i="6"/>
  <c r="AA256" i="6"/>
  <c r="AA257" i="6"/>
  <c r="AA267" i="6"/>
  <c r="AA268" i="6"/>
  <c r="AA280" i="6"/>
  <c r="AA281" i="6"/>
  <c r="AA282" i="6"/>
  <c r="AA227" i="6"/>
  <c r="AA157" i="6"/>
  <c r="AA35" i="6"/>
  <c r="AA151" i="6"/>
  <c r="AA290" i="6"/>
  <c r="AA269" i="6"/>
  <c r="AA270" i="6"/>
  <c r="AA122" i="6"/>
  <c r="AA228" i="6"/>
  <c r="AA229" i="6"/>
  <c r="AA230" i="6"/>
  <c r="AA258" i="6"/>
  <c r="AA271" i="6"/>
  <c r="AA231" i="6"/>
  <c r="AA83" i="6"/>
  <c r="AA84" i="6"/>
  <c r="AA63" i="6"/>
  <c r="AA60" i="6"/>
  <c r="AA292" i="6"/>
  <c r="AA293" i="6"/>
  <c r="AA294" i="6"/>
  <c r="AA295" i="6"/>
  <c r="AA171" i="6"/>
  <c r="AA172" i="6"/>
  <c r="AA181" i="6"/>
  <c r="AA158" i="6"/>
  <c r="AA173" i="6"/>
  <c r="AA259" i="6"/>
  <c r="AA296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5" i="6"/>
  <c r="AA311" i="6"/>
  <c r="AA303" i="6"/>
  <c r="AA304" i="6"/>
  <c r="AA306" i="6"/>
  <c r="AA307" i="6"/>
  <c r="AA308" i="6"/>
  <c r="AA309" i="6"/>
  <c r="AA310" i="6"/>
  <c r="AA312" i="6"/>
  <c r="AA313" i="6"/>
  <c r="AA314" i="6"/>
  <c r="AA315" i="6"/>
  <c r="AA316" i="6"/>
  <c r="AA317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50" i="6"/>
  <c r="AA346" i="6"/>
  <c r="AA347" i="6"/>
  <c r="AA351" i="6"/>
  <c r="AA348" i="6"/>
  <c r="AA349" i="6"/>
  <c r="AA360" i="6"/>
  <c r="AA370" i="6"/>
  <c r="AA365" i="6"/>
  <c r="AA352" i="6"/>
  <c r="AA366" i="6"/>
  <c r="AA353" i="6"/>
  <c r="AA354" i="6"/>
  <c r="AA355" i="6"/>
  <c r="AA356" i="6"/>
  <c r="AA357" i="6"/>
  <c r="AA358" i="6"/>
  <c r="AA359" i="6"/>
  <c r="AA367" i="6"/>
  <c r="AA368" i="6"/>
  <c r="AA369" i="6"/>
  <c r="AA371" i="6"/>
  <c r="AA372" i="6"/>
  <c r="AA373" i="6"/>
  <c r="AA361" i="6"/>
  <c r="AA362" i="6"/>
  <c r="AA363" i="6"/>
  <c r="AA364" i="6"/>
  <c r="AA384" i="6"/>
  <c r="AA374" i="6"/>
  <c r="AA375" i="6"/>
  <c r="AA376" i="6"/>
  <c r="AA377" i="6"/>
  <c r="AA378" i="6"/>
  <c r="AA379" i="6"/>
  <c r="AA380" i="6"/>
  <c r="AA381" i="6"/>
  <c r="AA382" i="6"/>
  <c r="AA383" i="6"/>
  <c r="AA388" i="6"/>
  <c r="AA391" i="6"/>
  <c r="AA387" i="6"/>
  <c r="AA390" i="6"/>
  <c r="AA389" i="6"/>
  <c r="AA415" i="6"/>
  <c r="AA393" i="6"/>
  <c r="AA414" i="6"/>
  <c r="AA413" i="6"/>
  <c r="AA396" i="6"/>
  <c r="AA397" i="6"/>
  <c r="AA398" i="6"/>
  <c r="AA399" i="6"/>
  <c r="AA400" i="6"/>
  <c r="AA395" i="6"/>
  <c r="AA411" i="6"/>
  <c r="AA401" i="6"/>
  <c r="AA402" i="6"/>
  <c r="AA403" i="6"/>
  <c r="AA404" i="6"/>
  <c r="AA405" i="6"/>
  <c r="AA406" i="6"/>
  <c r="AA392" i="6"/>
  <c r="AA412" i="6"/>
  <c r="AA407" i="6"/>
  <c r="AA394" i="6"/>
  <c r="AA416" i="6"/>
  <c r="AA408" i="6"/>
  <c r="AA409" i="6"/>
  <c r="AA410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6" i="6"/>
  <c r="Z279" i="6"/>
  <c r="Z291" i="6"/>
  <c r="Z298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3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2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4" i="6"/>
  <c r="Z234" i="6"/>
  <c r="Z196" i="6"/>
  <c r="Z142" i="6"/>
  <c r="Z175" i="6"/>
  <c r="Z176" i="6"/>
  <c r="Z131" i="6"/>
  <c r="Z12" i="6"/>
  <c r="Z297" i="6"/>
  <c r="Z197" i="6"/>
  <c r="Z209" i="6"/>
  <c r="Z143" i="6"/>
  <c r="Z210" i="6"/>
  <c r="Z132" i="6"/>
  <c r="Z13" i="6"/>
  <c r="Z46" i="6"/>
  <c r="Z261" i="6"/>
  <c r="Z24" i="6"/>
  <c r="Z235" i="6"/>
  <c r="Z198" i="6"/>
  <c r="Z72" i="6"/>
  <c r="Z262" i="6"/>
  <c r="Z38" i="6"/>
  <c r="Z73" i="6"/>
  <c r="Z74" i="6"/>
  <c r="Z285" i="6"/>
  <c r="Z75" i="6"/>
  <c r="Z236" i="6"/>
  <c r="Z237" i="6"/>
  <c r="Z211" i="6"/>
  <c r="Z273" i="6"/>
  <c r="Z212" i="6"/>
  <c r="Z133" i="6"/>
  <c r="Z76" i="6"/>
  <c r="Z213" i="6"/>
  <c r="Z25" i="6"/>
  <c r="Z135" i="6"/>
  <c r="Z238" i="6"/>
  <c r="Z161" i="6"/>
  <c r="Z77" i="6"/>
  <c r="Z263" i="6"/>
  <c r="Z274" i="6"/>
  <c r="Z126" i="6"/>
  <c r="Z144" i="6"/>
  <c r="Z239" i="6"/>
  <c r="Z275" i="6"/>
  <c r="Z57" i="6"/>
  <c r="Z214" i="6"/>
  <c r="Z276" i="6"/>
  <c r="Z286" i="6"/>
  <c r="Z118" i="6"/>
  <c r="Z119" i="6"/>
  <c r="Z14" i="6"/>
  <c r="Z120" i="6"/>
  <c r="Z199" i="6"/>
  <c r="Z153" i="6"/>
  <c r="Z215" i="6"/>
  <c r="Z200" i="6"/>
  <c r="Z26" i="6"/>
  <c r="Z264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7" i="6"/>
  <c r="Z288" i="6"/>
  <c r="Z34" i="6"/>
  <c r="Z178" i="6"/>
  <c r="Z154" i="6"/>
  <c r="Z248" i="6"/>
  <c r="Z277" i="6"/>
  <c r="Z249" i="6"/>
  <c r="Z80" i="6"/>
  <c r="Z250" i="6"/>
  <c r="Z81" i="6"/>
  <c r="Z265" i="6"/>
  <c r="Z162" i="6"/>
  <c r="Z289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8" i="6"/>
  <c r="Z256" i="6"/>
  <c r="Z257" i="6"/>
  <c r="Z267" i="6"/>
  <c r="Z268" i="6"/>
  <c r="Z280" i="6"/>
  <c r="Z281" i="6"/>
  <c r="Z282" i="6"/>
  <c r="Z227" i="6"/>
  <c r="Z157" i="6"/>
  <c r="Z35" i="6"/>
  <c r="Z151" i="6"/>
  <c r="Z290" i="6"/>
  <c r="Z269" i="6"/>
  <c r="Z270" i="6"/>
  <c r="Z122" i="6"/>
  <c r="Z228" i="6"/>
  <c r="Z229" i="6"/>
  <c r="Z230" i="6"/>
  <c r="Z258" i="6"/>
  <c r="Z271" i="6"/>
  <c r="Z231" i="6"/>
  <c r="Z83" i="6"/>
  <c r="Z84" i="6"/>
  <c r="Z63" i="6"/>
  <c r="Z60" i="6"/>
  <c r="Z292" i="6"/>
  <c r="Z293" i="6"/>
  <c r="Z294" i="6"/>
  <c r="Z295" i="6"/>
  <c r="Z171" i="6"/>
  <c r="Z172" i="6"/>
  <c r="Z181" i="6"/>
  <c r="Z158" i="6"/>
  <c r="Z173" i="6"/>
  <c r="Z259" i="6"/>
  <c r="Z296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5" i="6"/>
  <c r="Z311" i="6"/>
  <c r="Z303" i="6"/>
  <c r="Z304" i="6"/>
  <c r="Z306" i="6"/>
  <c r="Z307" i="6"/>
  <c r="Z308" i="6"/>
  <c r="Z309" i="6"/>
  <c r="Z310" i="6"/>
  <c r="Z312" i="6"/>
  <c r="Z313" i="6"/>
  <c r="Z314" i="6"/>
  <c r="Z315" i="6"/>
  <c r="Z316" i="6"/>
  <c r="Z317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50" i="6"/>
  <c r="Z346" i="6"/>
  <c r="Z347" i="6"/>
  <c r="Z351" i="6"/>
  <c r="Z348" i="6"/>
  <c r="Z349" i="6"/>
  <c r="Z360" i="6"/>
  <c r="Z370" i="6"/>
  <c r="Z365" i="6"/>
  <c r="Z352" i="6"/>
  <c r="Z366" i="6"/>
  <c r="Z353" i="6"/>
  <c r="Z354" i="6"/>
  <c r="Z355" i="6"/>
  <c r="Z356" i="6"/>
  <c r="Z357" i="6"/>
  <c r="Z358" i="6"/>
  <c r="Z359" i="6"/>
  <c r="Z367" i="6"/>
  <c r="Z368" i="6"/>
  <c r="Z369" i="6"/>
  <c r="Z371" i="6"/>
  <c r="Z372" i="6"/>
  <c r="Z373" i="6"/>
  <c r="Z361" i="6"/>
  <c r="Z362" i="6"/>
  <c r="Z363" i="6"/>
  <c r="Z364" i="6"/>
  <c r="Z384" i="6"/>
  <c r="Z374" i="6"/>
  <c r="Z375" i="6"/>
  <c r="Z376" i="6"/>
  <c r="Z377" i="6"/>
  <c r="Z378" i="6"/>
  <c r="Z379" i="6"/>
  <c r="Z380" i="6"/>
  <c r="Z381" i="6"/>
  <c r="Z382" i="6"/>
  <c r="Z383" i="6"/>
  <c r="Z388" i="6"/>
  <c r="Z391" i="6"/>
  <c r="Z387" i="6"/>
  <c r="Z390" i="6"/>
  <c r="Z389" i="6"/>
  <c r="Z415" i="6"/>
  <c r="Z393" i="6"/>
  <c r="Z414" i="6"/>
  <c r="Z413" i="6"/>
  <c r="Z396" i="6"/>
  <c r="Z397" i="6"/>
  <c r="Z398" i="6"/>
  <c r="Z399" i="6"/>
  <c r="Z400" i="6"/>
  <c r="Z395" i="6"/>
  <c r="Z411" i="6"/>
  <c r="Z401" i="6"/>
  <c r="Z402" i="6"/>
  <c r="Z403" i="6"/>
  <c r="Z404" i="6"/>
  <c r="Z405" i="6"/>
  <c r="Z406" i="6"/>
  <c r="Z392" i="6"/>
  <c r="Z412" i="6"/>
  <c r="Z407" i="6"/>
  <c r="Z394" i="6"/>
  <c r="Z416" i="6"/>
  <c r="Z408" i="6"/>
  <c r="Z409" i="6"/>
  <c r="Z410" i="6"/>
  <c r="Z3" i="6"/>
  <c r="AO29" i="5"/>
  <c r="AO9" i="5"/>
  <c r="AO11" i="5"/>
  <c r="AO10" i="5"/>
  <c r="AO270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7" i="5"/>
  <c r="AO269" i="5"/>
  <c r="AO289" i="5"/>
  <c r="AO274" i="5"/>
  <c r="AO294" i="5"/>
  <c r="AO282" i="5"/>
  <c r="AO292" i="5"/>
  <c r="AO283" i="5"/>
  <c r="AO280" i="5"/>
  <c r="AO295" i="5"/>
  <c r="AO8" i="5"/>
  <c r="AO3" i="5"/>
  <c r="AO296" i="5"/>
  <c r="AO286" i="5"/>
  <c r="AO290" i="5"/>
  <c r="AO288" i="5"/>
  <c r="AO291" i="5"/>
  <c r="AO5" i="5"/>
  <c r="AO14" i="5"/>
  <c r="AO281" i="5"/>
  <c r="AO27" i="5"/>
  <c r="AO15" i="5"/>
  <c r="AO28" i="5"/>
  <c r="AO32" i="5"/>
  <c r="AO33" i="5"/>
  <c r="AO118" i="5"/>
  <c r="AO409" i="5"/>
  <c r="AO49" i="5"/>
  <c r="AO278" i="5"/>
  <c r="AO67" i="5"/>
  <c r="AO243" i="5"/>
  <c r="AO39" i="5"/>
  <c r="AO47" i="5"/>
  <c r="AO245" i="5"/>
  <c r="AO246" i="5"/>
  <c r="AO248" i="5"/>
  <c r="AO244" i="5"/>
  <c r="AO247" i="5"/>
  <c r="AO40" i="5"/>
  <c r="AO65" i="5"/>
  <c r="AO38" i="5"/>
  <c r="AO121" i="5"/>
  <c r="AO62" i="5"/>
  <c r="AO41" i="5"/>
  <c r="AO42" i="5"/>
  <c r="AO393" i="5"/>
  <c r="AO43" i="5"/>
  <c r="AO44" i="5"/>
  <c r="AO45" i="5"/>
  <c r="AO124" i="5"/>
  <c r="AO154" i="5"/>
  <c r="AO255" i="5"/>
  <c r="AO177" i="5"/>
  <c r="AO165" i="5"/>
  <c r="AO250" i="5"/>
  <c r="AO109" i="5"/>
  <c r="AO170" i="5"/>
  <c r="AO223" i="5"/>
  <c r="AO52" i="5"/>
  <c r="AO50" i="5"/>
  <c r="AO51" i="5"/>
  <c r="AO53" i="5"/>
  <c r="AO256" i="5"/>
  <c r="AO55" i="5"/>
  <c r="AO275" i="5"/>
  <c r="AO412" i="5"/>
  <c r="AO56" i="5"/>
  <c r="AO401" i="5"/>
  <c r="AO57" i="5"/>
  <c r="AO58" i="5"/>
  <c r="AO60" i="5"/>
  <c r="AO257" i="5"/>
  <c r="AO59" i="5"/>
  <c r="AO122" i="5"/>
  <c r="AO64" i="5"/>
  <c r="AO98" i="5"/>
  <c r="AO68" i="5"/>
  <c r="AO69" i="5"/>
  <c r="AO71" i="5"/>
  <c r="AO63" i="5"/>
  <c r="AO96" i="5"/>
  <c r="AO46" i="5"/>
  <c r="AO115" i="5"/>
  <c r="AO276" i="5"/>
  <c r="AO242" i="5"/>
  <c r="AO48" i="5"/>
  <c r="AO190" i="5"/>
  <c r="AO162" i="5"/>
  <c r="AO70" i="5"/>
  <c r="AO183" i="5"/>
  <c r="AO185" i="5"/>
  <c r="AO389" i="5"/>
  <c r="AO396" i="5"/>
  <c r="AO397" i="5"/>
  <c r="AO398" i="5"/>
  <c r="AO399" i="5"/>
  <c r="AO400" i="5"/>
  <c r="AO403" i="5"/>
  <c r="AO404" i="5"/>
  <c r="AO405" i="5"/>
  <c r="AO406" i="5"/>
  <c r="AO407" i="5"/>
  <c r="AO408" i="5"/>
  <c r="AO411" i="5"/>
  <c r="AO414" i="5"/>
  <c r="AO415" i="5"/>
  <c r="AO416" i="5"/>
  <c r="AO164" i="5"/>
  <c r="AO297" i="5"/>
  <c r="AO75" i="5"/>
  <c r="AO127" i="5"/>
  <c r="AO125" i="5"/>
  <c r="AO265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60" i="5"/>
  <c r="AO261" i="5"/>
  <c r="AO259" i="5"/>
  <c r="AO264" i="5"/>
  <c r="AO54" i="5"/>
  <c r="AO267" i="5"/>
  <c r="AO82" i="5"/>
  <c r="AO84" i="5"/>
  <c r="AO266" i="5"/>
  <c r="AO81" i="5"/>
  <c r="AO83" i="5"/>
  <c r="AO86" i="5"/>
  <c r="AO253" i="5"/>
  <c r="AO262" i="5"/>
  <c r="AO85" i="5"/>
  <c r="AO92" i="5"/>
  <c r="AO252" i="5"/>
  <c r="AO351" i="5"/>
  <c r="AO338" i="5"/>
  <c r="AO348" i="5"/>
  <c r="AO349" i="5"/>
  <c r="AO334" i="5"/>
  <c r="AO346" i="5"/>
  <c r="AO322" i="5"/>
  <c r="AO323" i="5"/>
  <c r="AO340" i="5"/>
  <c r="AO344" i="5"/>
  <c r="AO342" i="5"/>
  <c r="AO343" i="5"/>
  <c r="AO320" i="5"/>
  <c r="AO332" i="5"/>
  <c r="AO321" i="5"/>
  <c r="AO325" i="5"/>
  <c r="AO336" i="5"/>
  <c r="AO326" i="5"/>
  <c r="AO330" i="5"/>
  <c r="AO324" i="5"/>
  <c r="AO327" i="5"/>
  <c r="AO341" i="5"/>
  <c r="AO331" i="5"/>
  <c r="AO335" i="5"/>
  <c r="AO345" i="5"/>
  <c r="AO333" i="5"/>
  <c r="AO328" i="5"/>
  <c r="AO337" i="5"/>
  <c r="AO339" i="5"/>
  <c r="AO329" i="5"/>
  <c r="AO303" i="5"/>
  <c r="AO304" i="5"/>
  <c r="AO305" i="5"/>
  <c r="AO306" i="5"/>
  <c r="AO319" i="5"/>
  <c r="AO387" i="5"/>
  <c r="AO391" i="5"/>
  <c r="AO93" i="5"/>
  <c r="AO95" i="5"/>
  <c r="AO172" i="5"/>
  <c r="AO79" i="5"/>
  <c r="AO94" i="5"/>
  <c r="AO106" i="5"/>
  <c r="AO107" i="5"/>
  <c r="AO108" i="5"/>
  <c r="AO156" i="5"/>
  <c r="AO150" i="5"/>
  <c r="AO279" i="5"/>
  <c r="AO97" i="5"/>
  <c r="AO254" i="5"/>
  <c r="AO263" i="5"/>
  <c r="AO228" i="5"/>
  <c r="AO66" i="5"/>
  <c r="AO277" i="5"/>
  <c r="AO143" i="5"/>
  <c r="AO101" i="5"/>
  <c r="AO100" i="5"/>
  <c r="AO99" i="5"/>
  <c r="AO193" i="5"/>
  <c r="AO157" i="5"/>
  <c r="AO102" i="5"/>
  <c r="AO103" i="5"/>
  <c r="AO350" i="5"/>
  <c r="AO347" i="5"/>
  <c r="AO314" i="5"/>
  <c r="AO311" i="5"/>
  <c r="AO315" i="5"/>
  <c r="AO310" i="5"/>
  <c r="AO313" i="5"/>
  <c r="AO312" i="5"/>
  <c r="AO309" i="5"/>
  <c r="AO316" i="5"/>
  <c r="AO317" i="5"/>
  <c r="AO308" i="5"/>
  <c r="AO318" i="5"/>
  <c r="AO355" i="5"/>
  <c r="AO360" i="5"/>
  <c r="AO370" i="5"/>
  <c r="AO390" i="5"/>
  <c r="AO353" i="5"/>
  <c r="AO362" i="5"/>
  <c r="AO361" i="5"/>
  <c r="AO373" i="5"/>
  <c r="AO371" i="5"/>
  <c r="AO372" i="5"/>
  <c r="AO356" i="5"/>
  <c r="AO357" i="5"/>
  <c r="AO359" i="5"/>
  <c r="AO358" i="5"/>
  <c r="AO352" i="5"/>
  <c r="AO368" i="5"/>
  <c r="AO365" i="5"/>
  <c r="AO367" i="5"/>
  <c r="AO369" i="5"/>
  <c r="AO366" i="5"/>
  <c r="AO364" i="5"/>
  <c r="AO363" i="5"/>
  <c r="AO354" i="5"/>
  <c r="AO161" i="5"/>
  <c r="AO273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5" i="5"/>
  <c r="AO179" i="5"/>
  <c r="AO222" i="5"/>
  <c r="AO187" i="5"/>
  <c r="AO208" i="5"/>
  <c r="AO203" i="5"/>
  <c r="AO105" i="5"/>
  <c r="AO139" i="5"/>
  <c r="AO77" i="5"/>
  <c r="AO402" i="5"/>
  <c r="AO204" i="5"/>
  <c r="AO205" i="5"/>
  <c r="AO234" i="5"/>
  <c r="AO235" i="5"/>
  <c r="AO110" i="5"/>
  <c r="AO238" i="5"/>
  <c r="AO111" i="5"/>
  <c r="AO112" i="5"/>
  <c r="AO178" i="5"/>
  <c r="AO206" i="5"/>
  <c r="AO251" i="5"/>
  <c r="AO163" i="5"/>
  <c r="AO236" i="5"/>
  <c r="AO284" i="5"/>
  <c r="AO249" i="5"/>
  <c r="AO117" i="5"/>
  <c r="AO200" i="5"/>
  <c r="AO293" i="5"/>
  <c r="AO23" i="5"/>
  <c r="AO410" i="5"/>
  <c r="AO166" i="5"/>
  <c r="AO24" i="5"/>
  <c r="AO207" i="5"/>
  <c r="AO272" i="5"/>
  <c r="AO6" i="5"/>
  <c r="AO153" i="5"/>
  <c r="AO151" i="5"/>
  <c r="AO395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94" i="5"/>
  <c r="AO131" i="5"/>
  <c r="AO210" i="5"/>
  <c r="AO214" i="5"/>
  <c r="AO167" i="5"/>
  <c r="AO88" i="5"/>
  <c r="AO268" i="5"/>
  <c r="AO212" i="5"/>
  <c r="AO209" i="5"/>
  <c r="AO211" i="5"/>
  <c r="AO159" i="5"/>
  <c r="AO160" i="5"/>
  <c r="AO258" i="5"/>
  <c r="AO168" i="5"/>
  <c r="AO87" i="5"/>
  <c r="AO132" i="5"/>
  <c r="AO239" i="5"/>
  <c r="AO229" i="5"/>
  <c r="AO145" i="5"/>
  <c r="AO169" i="5"/>
  <c r="AO158" i="5"/>
  <c r="AO138" i="5"/>
  <c r="AO186" i="5"/>
  <c r="AO226" i="5"/>
  <c r="AO388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1" i="5"/>
  <c r="AO392" i="5"/>
  <c r="AO374" i="5"/>
  <c r="AO382" i="5"/>
  <c r="AO381" i="5"/>
  <c r="AO376" i="5"/>
  <c r="AO379" i="5"/>
  <c r="AO384" i="5"/>
  <c r="AO383" i="5"/>
  <c r="AO375" i="5"/>
  <c r="AO378" i="5"/>
  <c r="AO377" i="5"/>
  <c r="AO380" i="5"/>
  <c r="AO271" i="5"/>
  <c r="AO413" i="5"/>
  <c r="AO298" i="5"/>
  <c r="AO30" i="5"/>
  <c r="C2" i="7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80" i="1"/>
  <c r="BA79" i="1"/>
  <c r="BA126" i="1"/>
  <c r="BA124" i="1"/>
  <c r="BA128" i="1"/>
  <c r="BA129" i="1"/>
  <c r="BA130" i="1"/>
  <c r="BA131" i="1"/>
  <c r="BA289" i="1"/>
  <c r="BA300" i="1"/>
  <c r="BA301" i="1"/>
  <c r="BA386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4" i="1"/>
  <c r="BA75" i="1"/>
  <c r="BA77" i="1"/>
  <c r="BA78" i="1"/>
  <c r="BA88" i="1"/>
  <c r="BA89" i="1"/>
  <c r="BA90" i="1"/>
  <c r="BA92" i="1"/>
  <c r="BA93" i="1"/>
  <c r="BA97" i="1"/>
  <c r="BA98" i="1"/>
  <c r="BA99" i="1"/>
  <c r="BA100" i="1"/>
  <c r="BA101" i="1"/>
  <c r="BA104" i="1"/>
  <c r="BA105" i="1"/>
  <c r="BA107" i="1"/>
  <c r="BA108" i="1"/>
  <c r="BA103" i="1"/>
  <c r="BA110" i="1"/>
  <c r="BA106" i="1"/>
  <c r="BA102" i="1"/>
  <c r="BA111" i="1"/>
  <c r="BA109" i="1"/>
  <c r="BA118" i="1"/>
  <c r="BA133" i="1"/>
  <c r="BA125" i="1"/>
  <c r="BA119" i="1"/>
  <c r="BA132" i="1"/>
  <c r="BA120" i="1"/>
  <c r="BA121" i="1"/>
  <c r="BA122" i="1"/>
  <c r="BA123" i="1"/>
  <c r="BA148" i="1"/>
  <c r="BA150" i="1"/>
  <c r="BA151" i="1"/>
  <c r="BA149" i="1"/>
  <c r="BA169" i="1"/>
  <c r="BA170" i="1"/>
  <c r="BA173" i="1"/>
  <c r="BA174" i="1"/>
  <c r="BA183" i="1"/>
  <c r="BA193" i="1"/>
  <c r="BA194" i="1"/>
  <c r="BA195" i="1"/>
  <c r="BA402" i="1"/>
  <c r="BA406" i="1"/>
  <c r="BA405" i="1"/>
  <c r="BA404" i="1"/>
  <c r="BA403" i="1"/>
  <c r="BA206" i="1"/>
  <c r="BA207" i="1"/>
  <c r="BA209" i="1"/>
  <c r="BA208" i="1"/>
  <c r="BA213" i="1"/>
  <c r="BA214" i="1"/>
  <c r="BA220" i="1"/>
  <c r="BA219" i="1"/>
  <c r="BA218" i="1"/>
  <c r="BA227" i="1"/>
  <c r="BA228" i="1"/>
  <c r="BA411" i="1"/>
  <c r="BA410" i="1"/>
  <c r="BA412" i="1"/>
  <c r="BA437" i="1"/>
  <c r="BA438" i="1"/>
  <c r="BA439" i="1"/>
  <c r="BA440" i="1"/>
  <c r="BA441" i="1"/>
  <c r="BA442" i="1"/>
  <c r="BA240" i="1"/>
  <c r="BA241" i="1"/>
  <c r="BA242" i="1"/>
  <c r="BA243" i="1"/>
  <c r="BA244" i="1"/>
  <c r="BA245" i="1"/>
  <c r="BA272" i="1"/>
  <c r="BA273" i="1"/>
  <c r="BA276" i="1"/>
  <c r="BA275" i="1"/>
  <c r="BA274" i="1"/>
  <c r="BA278" i="1"/>
  <c r="BA279" i="1"/>
  <c r="BA280" i="1"/>
  <c r="BA281" i="1"/>
  <c r="BA282" i="1"/>
  <c r="BA283" i="1"/>
  <c r="BA284" i="1"/>
  <c r="BA287" i="1"/>
  <c r="BA288" i="1"/>
  <c r="BA292" i="1"/>
  <c r="BA294" i="1"/>
  <c r="BA293" i="1"/>
  <c r="BA295" i="1"/>
  <c r="BA296" i="1"/>
  <c r="BA303" i="1"/>
  <c r="BA304" i="1"/>
  <c r="BA305" i="1"/>
  <c r="BA297" i="1"/>
  <c r="BA298" i="1"/>
  <c r="BA323" i="1"/>
  <c r="BA324" i="1"/>
  <c r="BA328" i="1"/>
  <c r="BA329" i="1"/>
  <c r="BA330" i="1"/>
  <c r="BA331" i="1"/>
  <c r="BA332" i="1"/>
  <c r="BA344" i="1"/>
  <c r="BA345" i="1"/>
  <c r="BA351" i="1"/>
  <c r="BA353" i="1"/>
  <c r="BA352" i="1"/>
  <c r="BA354" i="1"/>
  <c r="BA355" i="1"/>
  <c r="BA356" i="1"/>
  <c r="BA357" i="1"/>
  <c r="BA358" i="1"/>
  <c r="BA359" i="1"/>
  <c r="BA380" i="1"/>
  <c r="BA381" i="1"/>
  <c r="BA449" i="1"/>
  <c r="BA451" i="1"/>
  <c r="BA450" i="1"/>
  <c r="BA453" i="1"/>
  <c r="BA454" i="1"/>
  <c r="BA455" i="1"/>
  <c r="BA456" i="1"/>
  <c r="BA452" i="1"/>
  <c r="BA385" i="1"/>
  <c r="BA29" i="1"/>
  <c r="AZ29" i="1"/>
  <c r="AA3" i="2"/>
  <c r="AD3" i="2"/>
  <c r="AE3" i="2"/>
  <c r="AF3" i="2"/>
  <c r="AG3" i="2"/>
  <c r="AH3" i="2"/>
  <c r="AI3" i="2"/>
  <c r="AJ3" i="2"/>
  <c r="AK3" i="2"/>
  <c r="AL3" i="2"/>
  <c r="AM3" i="2"/>
  <c r="AZ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C169" i="1"/>
  <c r="BB169" i="1"/>
  <c r="AZ169" i="1"/>
  <c r="BB301" i="1"/>
  <c r="BB4" i="1"/>
  <c r="BB13" i="1"/>
  <c r="BB298" i="1"/>
  <c r="BB300" i="1"/>
  <c r="BB303" i="1"/>
  <c r="BB304" i="1"/>
  <c r="BB305" i="1"/>
  <c r="BB323" i="1"/>
  <c r="BB42" i="1"/>
  <c r="BB43" i="1"/>
  <c r="BB44" i="1"/>
  <c r="BB45" i="1"/>
  <c r="BB46" i="1"/>
  <c r="BB47" i="1"/>
  <c r="BB74" i="1"/>
  <c r="BB75" i="1"/>
  <c r="BB77" i="1"/>
  <c r="BB78" i="1"/>
  <c r="BB79" i="1"/>
  <c r="BB80" i="1"/>
  <c r="BB88" i="1"/>
  <c r="BB89" i="1"/>
  <c r="BB90" i="1"/>
  <c r="BB92" i="1"/>
  <c r="BB93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8" i="1"/>
  <c r="BB119" i="1"/>
  <c r="BB120" i="1"/>
  <c r="BB121" i="1"/>
  <c r="BB122" i="1"/>
  <c r="BB123" i="1"/>
  <c r="BB124" i="1"/>
  <c r="BB125" i="1"/>
  <c r="BB126" i="1"/>
  <c r="BB128" i="1"/>
  <c r="BB129" i="1"/>
  <c r="BB130" i="1"/>
  <c r="BB131" i="1"/>
  <c r="BB132" i="1"/>
  <c r="BB133" i="1"/>
  <c r="BB148" i="1"/>
  <c r="BB149" i="1"/>
  <c r="BB150" i="1"/>
  <c r="BB151" i="1"/>
  <c r="BB173" i="1"/>
  <c r="BB174" i="1"/>
  <c r="BB183" i="1"/>
  <c r="BB193" i="1"/>
  <c r="BB194" i="1"/>
  <c r="BB195" i="1"/>
  <c r="BB402" i="1"/>
  <c r="BB403" i="1"/>
  <c r="BB404" i="1"/>
  <c r="BB405" i="1"/>
  <c r="BB406" i="1"/>
  <c r="BB206" i="1"/>
  <c r="BB207" i="1"/>
  <c r="BB208" i="1"/>
  <c r="BB209" i="1"/>
  <c r="BB213" i="1"/>
  <c r="BB214" i="1"/>
  <c r="BB218" i="1"/>
  <c r="BB219" i="1"/>
  <c r="BB220" i="1"/>
  <c r="BB227" i="1"/>
  <c r="BB228" i="1"/>
  <c r="BB410" i="1"/>
  <c r="BB411" i="1"/>
  <c r="BB412" i="1"/>
  <c r="BB437" i="1"/>
  <c r="BB438" i="1"/>
  <c r="BB439" i="1"/>
  <c r="BB440" i="1"/>
  <c r="BB441" i="1"/>
  <c r="BB442" i="1"/>
  <c r="BB240" i="1"/>
  <c r="BB241" i="1"/>
  <c r="BB242" i="1"/>
  <c r="BB243" i="1"/>
  <c r="BB244" i="1"/>
  <c r="BB245" i="1"/>
  <c r="BB272" i="1"/>
  <c r="BB273" i="1"/>
  <c r="BB274" i="1"/>
  <c r="BB275" i="1"/>
  <c r="BB276" i="1"/>
  <c r="BB278" i="1"/>
  <c r="BB279" i="1"/>
  <c r="BB280" i="1"/>
  <c r="BB281" i="1"/>
  <c r="BB282" i="1"/>
  <c r="BB283" i="1"/>
  <c r="BB284" i="1"/>
  <c r="BB287" i="1"/>
  <c r="BB288" i="1"/>
  <c r="BB289" i="1"/>
  <c r="BB292" i="1"/>
  <c r="BB293" i="1"/>
  <c r="BB294" i="1"/>
  <c r="BB295" i="1"/>
  <c r="BB296" i="1"/>
  <c r="BB297" i="1"/>
  <c r="BB39" i="1"/>
  <c r="BB40" i="1"/>
  <c r="BB41" i="1"/>
  <c r="AZ39" i="1"/>
  <c r="AZ300" i="1"/>
  <c r="AZ301" i="1"/>
  <c r="AZ303" i="1"/>
  <c r="AZ304" i="1"/>
  <c r="AZ305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BC220" i="1"/>
  <c r="BC219" i="1"/>
  <c r="BC38" i="1"/>
  <c r="BC111" i="1"/>
  <c r="BC305" i="1"/>
  <c r="BC412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61" i="4"/>
  <c r="AF30" i="4"/>
  <c r="AF297" i="4"/>
  <c r="AF147" i="4"/>
  <c r="AF87" i="4"/>
  <c r="AF124" i="4"/>
  <c r="AF125" i="4"/>
  <c r="AF132" i="4"/>
  <c r="AF66" i="4"/>
  <c r="AF63" i="4"/>
  <c r="AF102" i="4"/>
  <c r="AF269" i="4"/>
  <c r="AF280" i="4"/>
  <c r="AF190" i="4"/>
  <c r="AF129" i="4"/>
  <c r="AF274" i="4"/>
  <c r="AF281" i="4"/>
  <c r="AF64" i="4"/>
  <c r="AF251" i="4"/>
  <c r="AF191" i="4"/>
  <c r="AF279" i="4"/>
  <c r="AF287" i="4"/>
  <c r="AF130" i="4"/>
  <c r="AF262" i="4"/>
  <c r="AF270" i="4"/>
  <c r="AF263" i="4"/>
  <c r="AF196" i="4"/>
  <c r="AF257" i="4"/>
  <c r="AF258" i="4"/>
  <c r="AF112" i="4"/>
  <c r="AF222" i="4"/>
  <c r="AF266" i="4"/>
  <c r="AF265" i="4"/>
  <c r="AF181" i="4"/>
  <c r="AF182" i="4"/>
  <c r="AF46" i="4"/>
  <c r="AF101" i="4"/>
  <c r="AF43" i="4"/>
  <c r="AF44" i="4"/>
  <c r="AF49" i="4"/>
  <c r="AF47" i="4"/>
  <c r="AF223" i="4"/>
  <c r="AF194" i="4"/>
  <c r="AF220" i="4"/>
  <c r="AF229" i="4"/>
  <c r="AF211" i="4"/>
  <c r="AF215" i="4"/>
  <c r="AF210" i="4"/>
  <c r="AF203" i="4"/>
  <c r="AF202" i="4"/>
  <c r="AF140" i="4"/>
  <c r="AF214" i="4"/>
  <c r="AF22" i="4"/>
  <c r="AF41" i="4"/>
  <c r="AF23" i="4"/>
  <c r="AF233" i="4"/>
  <c r="AF234" i="4"/>
  <c r="AF45" i="4"/>
  <c r="AF42" i="4"/>
  <c r="AF212" i="4"/>
  <c r="AF213" i="4"/>
  <c r="AF16" i="4"/>
  <c r="AF17" i="4"/>
  <c r="AF19" i="4"/>
  <c r="AF20" i="4"/>
  <c r="AF13" i="4"/>
  <c r="AF33" i="4"/>
  <c r="AF34" i="4"/>
  <c r="AF32" i="4"/>
  <c r="AF2" i="4"/>
  <c r="AF65" i="4"/>
  <c r="AF169" i="4"/>
  <c r="AF91" i="4"/>
  <c r="AF289" i="4"/>
  <c r="AF3" i="4"/>
  <c r="AF236" i="4"/>
  <c r="AF31" i="4"/>
  <c r="AF120" i="4"/>
  <c r="AF136" i="4"/>
  <c r="AF138" i="4"/>
  <c r="AF25" i="4"/>
  <c r="AF90" i="4"/>
  <c r="AF205" i="4"/>
  <c r="AF272" i="4"/>
  <c r="AF127" i="4"/>
  <c r="AF70" i="4"/>
  <c r="AF197" i="4"/>
  <c r="AF21" i="4"/>
  <c r="AF295" i="4"/>
  <c r="AF238" i="4"/>
  <c r="AF261" i="4"/>
  <c r="AF216" i="4"/>
  <c r="AF175" i="4"/>
  <c r="AF177" i="4"/>
  <c r="AF48" i="4"/>
  <c r="AF118" i="4"/>
  <c r="AF163" i="4"/>
  <c r="AF151" i="4"/>
  <c r="AF198" i="4"/>
  <c r="AF253" i="4"/>
  <c r="AF224" i="4"/>
  <c r="AF100" i="4"/>
  <c r="AF14" i="4"/>
  <c r="AF278" i="4"/>
  <c r="AF240" i="4"/>
  <c r="AF189" i="4"/>
  <c r="AF162" i="4"/>
  <c r="AF184" i="4"/>
  <c r="AF173" i="4"/>
  <c r="AF284" i="4"/>
  <c r="AF142" i="4"/>
  <c r="AF290" i="4"/>
  <c r="AF24" i="4"/>
  <c r="AF302" i="4"/>
  <c r="AF237" i="4"/>
  <c r="AF113" i="4"/>
  <c r="AF117" i="4"/>
  <c r="AF250" i="4"/>
  <c r="AF29" i="4"/>
  <c r="AF79" i="4"/>
  <c r="AF123" i="4"/>
  <c r="AF83" i="4"/>
  <c r="AF84" i="4"/>
  <c r="AF131" i="4"/>
  <c r="AF74" i="4"/>
  <c r="AF155" i="4"/>
  <c r="AF288" i="4"/>
  <c r="AF245" i="4"/>
  <c r="AF180" i="4"/>
  <c r="AF141" i="4"/>
  <c r="AF82" i="4"/>
  <c r="AF256" i="4"/>
  <c r="AF77" i="4"/>
  <c r="AF157" i="4"/>
  <c r="AF208" i="4"/>
  <c r="AF97" i="4"/>
  <c r="AF246" i="4"/>
  <c r="AF139" i="4"/>
  <c r="AF156" i="4"/>
  <c r="AF161" i="4"/>
  <c r="AF135" i="4"/>
  <c r="AF143" i="4"/>
  <c r="AF122" i="4"/>
  <c r="AF145" i="4"/>
  <c r="AF92" i="4"/>
  <c r="AF93" i="4"/>
  <c r="AF239" i="4"/>
  <c r="AF301" i="4"/>
  <c r="AF71" i="4"/>
  <c r="AF72" i="4"/>
  <c r="AF126" i="4"/>
  <c r="AF199" i="4"/>
  <c r="AF165" i="4"/>
  <c r="AF248" i="4"/>
  <c r="AF252" i="4"/>
  <c r="AF128" i="4"/>
  <c r="AF98" i="4"/>
  <c r="AF200" i="4"/>
  <c r="AF148" i="4"/>
  <c r="AF218" i="4"/>
  <c r="AF166" i="4"/>
  <c r="AF168" i="4"/>
  <c r="AF80" i="4"/>
  <c r="AF204" i="4"/>
  <c r="AF187" i="4"/>
  <c r="AF201" i="4"/>
  <c r="AF78" i="4"/>
  <c r="AF133" i="4"/>
  <c r="AF206" i="4"/>
  <c r="AF38" i="4"/>
  <c r="AF39" i="4"/>
  <c r="AF300" i="4"/>
  <c r="AF170" i="4"/>
  <c r="AF52" i="4"/>
  <c r="AF58" i="4"/>
  <c r="AF36" i="4"/>
  <c r="AF121" i="4"/>
  <c r="AF50" i="4"/>
  <c r="AF109" i="4"/>
  <c r="AF60" i="4"/>
  <c r="AF76" i="4"/>
  <c r="AF108" i="4"/>
  <c r="AF105" i="4"/>
  <c r="AF174" i="4"/>
  <c r="AF15" i="4"/>
  <c r="AF285" i="4"/>
  <c r="AF114" i="4"/>
  <c r="AF243" i="4"/>
  <c r="AF247" i="4"/>
  <c r="AF4" i="4"/>
  <c r="AF244" i="4"/>
  <c r="AF241" i="4"/>
  <c r="AF110" i="4"/>
  <c r="AF56" i="4"/>
  <c r="AF167" i="4"/>
  <c r="AF37" i="4"/>
  <c r="AF18" i="4"/>
  <c r="AF219" i="4"/>
  <c r="AF282" i="4"/>
  <c r="AF267" i="4"/>
  <c r="AF73" i="4"/>
  <c r="AF81" i="4"/>
  <c r="AF185" i="4"/>
  <c r="AF221" i="4"/>
  <c r="AF230" i="4"/>
  <c r="AF293" i="4"/>
  <c r="AF242" i="4"/>
  <c r="AF160" i="4"/>
  <c r="AF89" i="4"/>
  <c r="AF55" i="4"/>
  <c r="AF286" i="4"/>
  <c r="AF144" i="4"/>
  <c r="AF35" i="4"/>
  <c r="AF255" i="4"/>
  <c r="AF298" i="4"/>
  <c r="AF299" i="4"/>
  <c r="AF254" i="4"/>
  <c r="AF54" i="4"/>
  <c r="AF26" i="4"/>
  <c r="AF53" i="4"/>
  <c r="AF59" i="4"/>
  <c r="AF95" i="4"/>
  <c r="AF294" i="4"/>
  <c r="AF225" i="4"/>
  <c r="AF186" i="4"/>
  <c r="AF264" i="4"/>
  <c r="AF94" i="4"/>
  <c r="AF119" i="4"/>
  <c r="AF217" i="4"/>
  <c r="AF271" i="4"/>
  <c r="AF85" i="4"/>
  <c r="AF96" i="4"/>
  <c r="AF7" i="4"/>
  <c r="AF195" i="4"/>
  <c r="AF249" i="4"/>
  <c r="AF5" i="4"/>
  <c r="AF8" i="4"/>
  <c r="AF9" i="4"/>
  <c r="AF6" i="4"/>
  <c r="AF231" i="4"/>
  <c r="AF67" i="4"/>
  <c r="AF68" i="4"/>
  <c r="AF99" i="4"/>
  <c r="AF62" i="4"/>
  <c r="AF69" i="4"/>
  <c r="AF75" i="4"/>
  <c r="AF183" i="4"/>
  <c r="AF178" i="4"/>
  <c r="AF111" i="4"/>
  <c r="AF273" i="4"/>
  <c r="AF40" i="4"/>
  <c r="AF149" i="4"/>
  <c r="AF152" i="4"/>
  <c r="AF153" i="4"/>
  <c r="AF150" i="4"/>
  <c r="AF227" i="4"/>
  <c r="AF283" i="4"/>
  <c r="AF193" i="4"/>
  <c r="AF228" i="4"/>
  <c r="AF207" i="4"/>
  <c r="AF159" i="4"/>
  <c r="AF172" i="4"/>
  <c r="AF171" i="4"/>
  <c r="AF51" i="4"/>
  <c r="AF103" i="4"/>
  <c r="AF104" i="4"/>
  <c r="AF107" i="4"/>
  <c r="AF115" i="4"/>
  <c r="AF106" i="4"/>
  <c r="AF268" i="4"/>
  <c r="AF154" i="4"/>
  <c r="AF88" i="4"/>
  <c r="AF226" i="4"/>
  <c r="AF235" i="4"/>
  <c r="AF176" i="4"/>
  <c r="AF57" i="4"/>
  <c r="AF291" i="4"/>
  <c r="AF292" i="4"/>
  <c r="AF10" i="4"/>
  <c r="AF158" i="4"/>
  <c r="AF260" i="4"/>
  <c r="AF116" i="4"/>
  <c r="AF11" i="4"/>
  <c r="AF296" i="4"/>
  <c r="AF137" i="4"/>
  <c r="AF146" i="4"/>
  <c r="AF192" i="4"/>
  <c r="AF209" i="4"/>
  <c r="AF179" i="4"/>
  <c r="AF12" i="4"/>
  <c r="AF259" i="4"/>
  <c r="AF188" i="4"/>
  <c r="AF316" i="4"/>
  <c r="AF318" i="4"/>
  <c r="AF303" i="4"/>
  <c r="AF304" i="4"/>
  <c r="AF309" i="4"/>
  <c r="AF314" i="4"/>
  <c r="AF315" i="4"/>
  <c r="AF307" i="4"/>
  <c r="AF310" i="4"/>
  <c r="AF311" i="4"/>
  <c r="AF312" i="4"/>
  <c r="AF306" i="4"/>
  <c r="AF305" i="4"/>
  <c r="AF317" i="4"/>
  <c r="AF313" i="4"/>
  <c r="AF336" i="4"/>
  <c r="AF334" i="4"/>
  <c r="AF335" i="4"/>
  <c r="AF333" i="4"/>
  <c r="AF331" i="4"/>
  <c r="AF332" i="4"/>
  <c r="AF321" i="4"/>
  <c r="AF326" i="4"/>
  <c r="AF327" i="4"/>
  <c r="AF328" i="4"/>
  <c r="AF329" i="4"/>
  <c r="AF322" i="4"/>
  <c r="AF348" i="4"/>
  <c r="AF330" i="4"/>
  <c r="AF349" i="4"/>
  <c r="AF344" i="4"/>
  <c r="AF347" i="4"/>
  <c r="AF346" i="4"/>
  <c r="AF345" i="4"/>
  <c r="AF350" i="4"/>
  <c r="AF351" i="4"/>
  <c r="AF338" i="4"/>
  <c r="AF341" i="4"/>
  <c r="AF343" i="4"/>
  <c r="AF340" i="4"/>
  <c r="AF342" i="4"/>
  <c r="AF323" i="4"/>
  <c r="AF324" i="4"/>
  <c r="AF325" i="4"/>
  <c r="AF319" i="4"/>
  <c r="AF337" i="4"/>
  <c r="AF339" i="4"/>
  <c r="AF320" i="4"/>
  <c r="AF372" i="4"/>
  <c r="AF373" i="4"/>
  <c r="AF352" i="4"/>
  <c r="AF364" i="4"/>
  <c r="AF353" i="4"/>
  <c r="AF354" i="4"/>
  <c r="AF370" i="4"/>
  <c r="AF357" i="4"/>
  <c r="AF371" i="4"/>
  <c r="AF358" i="4"/>
  <c r="AF359" i="4"/>
  <c r="AF360" i="4"/>
  <c r="AF365" i="4"/>
  <c r="AF366" i="4"/>
  <c r="AF367" i="4"/>
  <c r="AF368" i="4"/>
  <c r="AF369" i="4"/>
  <c r="AF361" i="4"/>
  <c r="AF363" i="4"/>
  <c r="AF362" i="4"/>
  <c r="AF355" i="4"/>
  <c r="AF356" i="4"/>
  <c r="AF379" i="4"/>
  <c r="AF375" i="4"/>
  <c r="AF383" i="4"/>
  <c r="AF374" i="4"/>
  <c r="AF376" i="4"/>
  <c r="AF378" i="4"/>
  <c r="AF381" i="4"/>
  <c r="AF377" i="4"/>
  <c r="AF380" i="4"/>
  <c r="AF382" i="4"/>
  <c r="AF385" i="4"/>
  <c r="AF389" i="4"/>
  <c r="AF387" i="4"/>
  <c r="AF388" i="4"/>
  <c r="AF391" i="4"/>
  <c r="AF390" i="4"/>
  <c r="AF407" i="4"/>
  <c r="AF405" i="4"/>
  <c r="AF392" i="4"/>
  <c r="AF394" i="4"/>
  <c r="AF395" i="4"/>
  <c r="AF396" i="4"/>
  <c r="AF397" i="4"/>
  <c r="AF398" i="4"/>
  <c r="AF400" i="4"/>
  <c r="AF401" i="4"/>
  <c r="AF402" i="4"/>
  <c r="AF399" i="4"/>
  <c r="AF404" i="4"/>
  <c r="AF393" i="4"/>
  <c r="AF403" i="4"/>
  <c r="AF408" i="4"/>
  <c r="AF412" i="4"/>
  <c r="AF409" i="4"/>
  <c r="AF410" i="4"/>
  <c r="AF415" i="4"/>
  <c r="AF411" i="4"/>
  <c r="AF413" i="4"/>
  <c r="AF414" i="4"/>
  <c r="AF406" i="4"/>
  <c r="AF416" i="4"/>
  <c r="AF27" i="4"/>
  <c r="AE235" i="4"/>
  <c r="BC118" i="5"/>
  <c r="B8" i="3"/>
  <c r="C8" i="3"/>
  <c r="E8" i="3"/>
  <c r="B10" i="3"/>
  <c r="C10" i="3"/>
  <c r="E10" i="3"/>
  <c r="I10" i="3"/>
  <c r="J10" i="3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2" i="6"/>
  <c r="D228" i="6"/>
  <c r="D229" i="6"/>
  <c r="D230" i="6"/>
  <c r="D298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1" i="6"/>
  <c r="D236" i="6"/>
  <c r="D220" i="6"/>
  <c r="D202" i="6"/>
  <c r="D204" i="6"/>
  <c r="D226" i="6"/>
  <c r="D281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6" i="6"/>
  <c r="D215" i="6"/>
  <c r="D264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2" i="6"/>
  <c r="D237" i="6"/>
  <c r="D238" i="6"/>
  <c r="D280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9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8" i="6"/>
  <c r="D35" i="6"/>
  <c r="D290" i="6"/>
  <c r="D270" i="6"/>
  <c r="D271" i="6"/>
  <c r="D63" i="6"/>
  <c r="D60" i="6"/>
  <c r="D61" i="6"/>
  <c r="D15" i="6"/>
  <c r="D36" i="6"/>
  <c r="D130" i="6"/>
  <c r="D272" i="6"/>
  <c r="D13" i="6"/>
  <c r="D235" i="6"/>
  <c r="D161" i="6"/>
  <c r="D275" i="6"/>
  <c r="D255" i="6"/>
  <c r="D256" i="6"/>
  <c r="D227" i="6"/>
  <c r="D151" i="6"/>
  <c r="D269" i="6"/>
  <c r="D122" i="6"/>
  <c r="D182" i="6"/>
  <c r="D133" i="6"/>
  <c r="D263" i="6"/>
  <c r="D27" i="6"/>
  <c r="D28" i="6"/>
  <c r="D29" i="6"/>
  <c r="D30" i="6"/>
  <c r="D283" i="6"/>
  <c r="D284" i="6"/>
  <c r="D74" i="6"/>
  <c r="D285" i="6"/>
  <c r="D75" i="6"/>
  <c r="D76" i="6"/>
  <c r="D135" i="6"/>
  <c r="D286" i="6"/>
  <c r="D119" i="6"/>
  <c r="D78" i="6"/>
  <c r="D136" i="6"/>
  <c r="D137" i="6"/>
  <c r="D138" i="6"/>
  <c r="D243" i="6"/>
  <c r="D287" i="6"/>
  <c r="D288" i="6"/>
  <c r="D34" i="6"/>
  <c r="D152" i="6"/>
  <c r="D156" i="6"/>
  <c r="D163" i="6"/>
  <c r="D169" i="6"/>
  <c r="D170" i="6"/>
  <c r="D180" i="6"/>
  <c r="D231" i="6"/>
  <c r="D291" i="6"/>
  <c r="D292" i="6"/>
  <c r="D293" i="6"/>
  <c r="D295" i="6"/>
  <c r="D296" i="6"/>
  <c r="D277" i="6"/>
  <c r="D252" i="6"/>
  <c r="D129" i="6"/>
  <c r="D274" i="6"/>
  <c r="D254" i="6"/>
  <c r="D278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7" i="6"/>
  <c r="D210" i="6"/>
  <c r="D46" i="6"/>
  <c r="D199" i="6"/>
  <c r="D58" i="6"/>
  <c r="D250" i="6"/>
  <c r="D81" i="6"/>
  <c r="D265" i="6"/>
  <c r="D162" i="6"/>
  <c r="D289" i="6"/>
  <c r="D82" i="6"/>
  <c r="D187" i="6"/>
  <c r="D191" i="6"/>
  <c r="D266" i="6"/>
  <c r="D267" i="6"/>
  <c r="D16" i="6"/>
  <c r="D18" i="6"/>
  <c r="D19" i="6"/>
  <c r="D20" i="6"/>
  <c r="D102" i="6"/>
  <c r="D8" i="6"/>
  <c r="D142" i="6"/>
  <c r="D176" i="6"/>
  <c r="D73" i="6"/>
  <c r="D273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8" i="6"/>
  <c r="D309" i="6"/>
  <c r="D310" i="6"/>
  <c r="D311" i="6"/>
  <c r="D304" i="6"/>
  <c r="D305" i="6"/>
  <c r="D306" i="6"/>
  <c r="D317" i="6"/>
  <c r="D303" i="6"/>
  <c r="D307" i="6"/>
  <c r="D316" i="6"/>
  <c r="D312" i="6"/>
  <c r="D313" i="6"/>
  <c r="D314" i="6"/>
  <c r="D315" i="6"/>
  <c r="D331" i="6"/>
  <c r="D332" i="6"/>
  <c r="D333" i="6"/>
  <c r="D319" i="6"/>
  <c r="D320" i="6"/>
  <c r="D321" i="6"/>
  <c r="D324" i="6"/>
  <c r="D329" i="6"/>
  <c r="D351" i="6"/>
  <c r="D330" i="6"/>
  <c r="D334" i="6"/>
  <c r="D346" i="6"/>
  <c r="D347" i="6"/>
  <c r="D322" i="6"/>
  <c r="D323" i="6"/>
  <c r="D325" i="6"/>
  <c r="D326" i="6"/>
  <c r="D327" i="6"/>
  <c r="D328" i="6"/>
  <c r="D335" i="6"/>
  <c r="D336" i="6"/>
  <c r="D337" i="6"/>
  <c r="D338" i="6"/>
  <c r="D339" i="6"/>
  <c r="D340" i="6"/>
  <c r="D341" i="6"/>
  <c r="D342" i="6"/>
  <c r="D343" i="6"/>
  <c r="D344" i="6"/>
  <c r="D345" i="6"/>
  <c r="D350" i="6"/>
  <c r="D348" i="6"/>
  <c r="D349" i="6"/>
  <c r="D354" i="6"/>
  <c r="D356" i="6"/>
  <c r="D358" i="6"/>
  <c r="D361" i="6"/>
  <c r="D365" i="6"/>
  <c r="D359" i="6"/>
  <c r="D362" i="6"/>
  <c r="D364" i="6"/>
  <c r="D355" i="6"/>
  <c r="D369" i="6"/>
  <c r="D370" i="6"/>
  <c r="D352" i="6"/>
  <c r="D366" i="6"/>
  <c r="D353" i="6"/>
  <c r="D371" i="6"/>
  <c r="D357" i="6"/>
  <c r="D360" i="6"/>
  <c r="D367" i="6"/>
  <c r="D368" i="6"/>
  <c r="D372" i="6"/>
  <c r="D373" i="6"/>
  <c r="D363" i="6"/>
  <c r="D379" i="6"/>
  <c r="D382" i="6"/>
  <c r="D374" i="6"/>
  <c r="D375" i="6"/>
  <c r="D376" i="6"/>
  <c r="D377" i="6"/>
  <c r="D378" i="6"/>
  <c r="D380" i="6"/>
  <c r="D381" i="6"/>
  <c r="D383" i="6"/>
  <c r="D384" i="6"/>
  <c r="D388" i="6"/>
  <c r="D387" i="6"/>
  <c r="D391" i="6"/>
  <c r="D390" i="6"/>
  <c r="D389" i="6"/>
  <c r="D396" i="6"/>
  <c r="D397" i="6"/>
  <c r="D398" i="6"/>
  <c r="D399" i="6"/>
  <c r="D403" i="6"/>
  <c r="D404" i="6"/>
  <c r="D405" i="6"/>
  <c r="D406" i="6"/>
  <c r="D402" i="6"/>
  <c r="D392" i="6"/>
  <c r="D394" i="6"/>
  <c r="D408" i="6"/>
  <c r="D407" i="6"/>
  <c r="D400" i="6"/>
  <c r="D401" i="6"/>
  <c r="D410" i="6"/>
  <c r="D415" i="6"/>
  <c r="D393" i="6"/>
  <c r="D414" i="6"/>
  <c r="D416" i="6"/>
  <c r="D409" i="6"/>
  <c r="D412" i="6"/>
  <c r="D395" i="6"/>
  <c r="D411" i="6"/>
  <c r="D413" i="6"/>
  <c r="D22" i="6"/>
  <c r="A171" i="8"/>
  <c r="C171" i="8"/>
  <c r="AZ183" i="1"/>
  <c r="BC183" i="1"/>
  <c r="AZ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K149" i="4"/>
  <c r="K152" i="4"/>
  <c r="K153" i="4"/>
  <c r="K150" i="4"/>
  <c r="K227" i="4"/>
  <c r="K42" i="4"/>
  <c r="K45" i="4"/>
  <c r="AL16" i="4"/>
  <c r="AL27" i="4"/>
  <c r="AL17" i="4"/>
  <c r="AL19" i="4"/>
  <c r="AL20" i="4"/>
  <c r="AL13" i="4"/>
  <c r="AL33" i="4"/>
  <c r="AL34" i="4"/>
  <c r="AL2" i="4"/>
  <c r="AL65" i="4"/>
  <c r="AL63" i="4"/>
  <c r="AL30" i="4"/>
  <c r="AL169" i="4"/>
  <c r="AL102" i="4"/>
  <c r="AL91" i="4"/>
  <c r="AL181" i="4"/>
  <c r="AL61" i="4"/>
  <c r="AL289" i="4"/>
  <c r="AL3" i="4"/>
  <c r="AL178" i="4"/>
  <c r="AL236" i="4"/>
  <c r="AL31" i="4"/>
  <c r="AL176" i="4"/>
  <c r="AL120" i="4"/>
  <c r="AL111" i="4"/>
  <c r="AL182" i="4"/>
  <c r="AL136" i="4"/>
  <c r="AL137" i="4"/>
  <c r="AL273" i="4"/>
  <c r="AL179" i="4"/>
  <c r="AL127" i="4"/>
  <c r="AL70" i="4"/>
  <c r="AL46" i="4"/>
  <c r="AL101" i="4"/>
  <c r="AL146" i="4"/>
  <c r="AL197" i="4"/>
  <c r="AL43" i="4"/>
  <c r="AL44" i="4"/>
  <c r="AL45" i="4"/>
  <c r="AL21" i="4"/>
  <c r="AL49" i="4"/>
  <c r="AL295" i="4"/>
  <c r="AL238" i="4"/>
  <c r="AL261" i="4"/>
  <c r="AL216" i="4"/>
  <c r="AL57" i="4"/>
  <c r="AL40" i="4"/>
  <c r="AL175" i="4"/>
  <c r="AL177" i="4"/>
  <c r="AL149" i="4"/>
  <c r="AL152" i="4"/>
  <c r="AL153" i="4"/>
  <c r="AL48" i="4"/>
  <c r="AL118" i="4"/>
  <c r="AL269" i="4"/>
  <c r="AL163" i="4"/>
  <c r="AL192" i="4"/>
  <c r="AL150" i="4"/>
  <c r="AL151" i="4"/>
  <c r="AL198" i="4"/>
  <c r="AL253" i="4"/>
  <c r="AL224" i="4"/>
  <c r="AL100" i="4"/>
  <c r="AL227" i="4"/>
  <c r="AL47" i="4"/>
  <c r="AL14" i="4"/>
  <c r="AL209" i="4"/>
  <c r="AL278" i="4"/>
  <c r="AL240" i="4"/>
  <c r="AL223" i="4"/>
  <c r="AL194" i="4"/>
  <c r="AL189" i="4"/>
  <c r="AL173" i="4"/>
  <c r="AL284" i="4"/>
  <c r="AL142" i="4"/>
  <c r="AL290" i="4"/>
  <c r="AL24" i="4"/>
  <c r="AL302" i="4"/>
  <c r="AL237" i="4"/>
  <c r="AL283" i="4"/>
  <c r="AL113" i="4"/>
  <c r="AL117" i="4"/>
  <c r="AL250" i="4"/>
  <c r="AL29" i="4"/>
  <c r="AL79" i="4"/>
  <c r="AL123" i="4"/>
  <c r="AL83" i="4"/>
  <c r="AL84" i="4"/>
  <c r="AL131" i="4"/>
  <c r="AL74" i="4"/>
  <c r="AL155" i="4"/>
  <c r="AL193" i="4"/>
  <c r="AL288" i="4"/>
  <c r="AL228" i="4"/>
  <c r="AL245" i="4"/>
  <c r="AL180" i="4"/>
  <c r="AL141" i="4"/>
  <c r="AL82" i="4"/>
  <c r="AL256" i="4"/>
  <c r="AL207" i="4"/>
  <c r="AL220" i="4"/>
  <c r="AL77" i="4"/>
  <c r="AL157" i="4"/>
  <c r="AL229" i="4"/>
  <c r="AL208" i="4"/>
  <c r="AL97" i="4"/>
  <c r="AL246" i="4"/>
  <c r="AL139" i="4"/>
  <c r="AL156" i="4"/>
  <c r="AL159" i="4"/>
  <c r="AL161" i="4"/>
  <c r="AL135" i="4"/>
  <c r="AL143" i="4"/>
  <c r="AL122" i="4"/>
  <c r="AL145" i="4"/>
  <c r="AL92" i="4"/>
  <c r="AL211" i="4"/>
  <c r="AL212" i="4"/>
  <c r="AL213" i="4"/>
  <c r="AL215" i="4"/>
  <c r="AL291" i="4"/>
  <c r="AL292" i="4"/>
  <c r="AL93" i="4"/>
  <c r="AL239" i="4"/>
  <c r="AL301" i="4"/>
  <c r="AL71" i="4"/>
  <c r="AL72" i="4"/>
  <c r="AL280" i="4"/>
  <c r="AL126" i="4"/>
  <c r="AL190" i="4"/>
  <c r="AL129" i="4"/>
  <c r="AL274" i="4"/>
  <c r="AL281" i="4"/>
  <c r="AL64" i="4"/>
  <c r="AL251" i="4"/>
  <c r="AL191" i="4"/>
  <c r="AL147" i="4"/>
  <c r="AL210" i="4"/>
  <c r="AL199" i="4"/>
  <c r="AL165" i="4"/>
  <c r="AL248" i="4"/>
  <c r="AL252" i="4"/>
  <c r="AL128" i="4"/>
  <c r="AL279" i="4"/>
  <c r="AL287" i="4"/>
  <c r="AL98" i="4"/>
  <c r="AL259" i="4"/>
  <c r="AL200" i="4"/>
  <c r="AL148" i="4"/>
  <c r="AL218" i="4"/>
  <c r="AL166" i="4"/>
  <c r="AL168" i="4"/>
  <c r="AL80" i="4"/>
  <c r="AL130" i="4"/>
  <c r="AL204" i="4"/>
  <c r="AL187" i="4"/>
  <c r="AL124" i="4"/>
  <c r="AL172" i="4"/>
  <c r="AL201" i="4"/>
  <c r="AL266" i="4"/>
  <c r="AL78" i="4"/>
  <c r="AL203" i="4"/>
  <c r="AL171" i="4"/>
  <c r="AL265" i="4"/>
  <c r="AL133" i="4"/>
  <c r="AL206" i="4"/>
  <c r="AL38" i="4"/>
  <c r="AL39" i="4"/>
  <c r="AL300" i="4"/>
  <c r="AL170" i="4"/>
  <c r="AL262" i="4"/>
  <c r="AL52" i="4"/>
  <c r="AL51" i="4"/>
  <c r="AL58" i="4"/>
  <c r="AL36" i="4"/>
  <c r="AL121" i="4"/>
  <c r="AL50" i="4"/>
  <c r="AL270" i="4"/>
  <c r="AL103" i="4"/>
  <c r="AL109" i="4"/>
  <c r="AL10" i="4"/>
  <c r="AL60" i="4"/>
  <c r="AL104" i="4"/>
  <c r="AL107" i="4"/>
  <c r="AL76" i="4"/>
  <c r="AL115" i="4"/>
  <c r="AL108" i="4"/>
  <c r="AL105" i="4"/>
  <c r="AL268" i="4"/>
  <c r="AL174" i="4"/>
  <c r="AL15" i="4"/>
  <c r="AL285" i="4"/>
  <c r="AL114" i="4"/>
  <c r="AL158" i="4"/>
  <c r="AL243" i="4"/>
  <c r="AL247" i="4"/>
  <c r="AL202" i="4"/>
  <c r="AL4" i="4"/>
  <c r="AL244" i="4"/>
  <c r="AL241" i="4"/>
  <c r="AL110" i="4"/>
  <c r="AL140" i="4"/>
  <c r="AL56" i="4"/>
  <c r="AL167" i="4"/>
  <c r="AL37" i="4"/>
  <c r="AL18" i="4"/>
  <c r="AL219" i="4"/>
  <c r="AL282" i="4"/>
  <c r="AL267" i="4"/>
  <c r="AL73" i="4"/>
  <c r="AL81" i="4"/>
  <c r="AL185" i="4"/>
  <c r="AL221" i="4"/>
  <c r="AL230" i="4"/>
  <c r="AL293" i="4"/>
  <c r="AL242" i="4"/>
  <c r="AL160" i="4"/>
  <c r="AL214" i="4"/>
  <c r="AL125" i="4"/>
  <c r="AL89" i="4"/>
  <c r="AL55" i="4"/>
  <c r="AL35" i="4"/>
  <c r="AL22" i="4"/>
  <c r="AL255" i="4"/>
  <c r="AL196" i="4"/>
  <c r="AL154" i="4"/>
  <c r="AL298" i="4"/>
  <c r="AL299" i="4"/>
  <c r="AL254" i="4"/>
  <c r="AL54" i="4"/>
  <c r="AL26" i="4"/>
  <c r="AL53" i="4"/>
  <c r="AL59" i="4"/>
  <c r="AL88" i="4"/>
  <c r="AL41" i="4"/>
  <c r="AL12" i="4"/>
  <c r="AL257" i="4"/>
  <c r="AL258" i="4"/>
  <c r="AL95" i="4"/>
  <c r="AL297" i="4"/>
  <c r="AL294" i="4"/>
  <c r="AL225" i="4"/>
  <c r="AL226" i="4"/>
  <c r="AL186" i="4"/>
  <c r="AL264" i="4"/>
  <c r="AL112" i="4"/>
  <c r="AL66" i="4"/>
  <c r="AL94" i="4"/>
  <c r="AL119" i="4"/>
  <c r="AL217" i="4"/>
  <c r="AL188" i="4"/>
  <c r="AL271" i="4"/>
  <c r="AL85" i="4"/>
  <c r="AL96" i="4"/>
  <c r="AL11" i="4"/>
  <c r="AL7" i="4"/>
  <c r="AL195" i="4"/>
  <c r="AL249" i="4"/>
  <c r="AL5" i="4"/>
  <c r="AL8" i="4"/>
  <c r="AL9" i="4"/>
  <c r="AL6" i="4"/>
  <c r="AL231" i="4"/>
  <c r="AL67" i="4"/>
  <c r="AL68" i="4"/>
  <c r="AL99" i="4"/>
  <c r="AL62" i="4"/>
  <c r="AL69" i="4"/>
  <c r="AL75" i="4"/>
  <c r="AL233" i="4"/>
  <c r="AL234" i="4"/>
  <c r="AL222" i="4"/>
  <c r="AL296" i="4"/>
  <c r="AL183" i="4"/>
  <c r="AL318" i="4"/>
  <c r="AL317" i="4"/>
  <c r="AL303" i="4"/>
  <c r="AL304" i="4"/>
  <c r="AL309" i="4"/>
  <c r="AL314" i="4"/>
  <c r="AL315" i="4"/>
  <c r="AL307" i="4"/>
  <c r="AL316" i="4"/>
  <c r="AL310" i="4"/>
  <c r="AL311" i="4"/>
  <c r="AL312" i="4"/>
  <c r="AL313" i="4"/>
  <c r="AL306" i="4"/>
  <c r="AL305" i="4"/>
  <c r="AL333" i="4"/>
  <c r="AL331" i="4"/>
  <c r="AL332" i="4"/>
  <c r="AL336" i="4"/>
  <c r="AL321" i="4"/>
  <c r="AL323" i="4"/>
  <c r="AL324" i="4"/>
  <c r="AL325" i="4"/>
  <c r="AL319" i="4"/>
  <c r="AL326" i="4"/>
  <c r="AL327" i="4"/>
  <c r="AL328" i="4"/>
  <c r="AL329" i="4"/>
  <c r="AL322" i="4"/>
  <c r="AL334" i="4"/>
  <c r="AL335" i="4"/>
  <c r="AL349" i="4"/>
  <c r="AL348" i="4"/>
  <c r="AL344" i="4"/>
  <c r="AL347" i="4"/>
  <c r="AL346" i="4"/>
  <c r="AL330" i="4"/>
  <c r="AL345" i="4"/>
  <c r="AL337" i="4"/>
  <c r="AL339" i="4"/>
  <c r="AL320" i="4"/>
  <c r="AL350" i="4"/>
  <c r="AL338" i="4"/>
  <c r="AL341" i="4"/>
  <c r="AL343" i="4"/>
  <c r="AL340" i="4"/>
  <c r="AL342" i="4"/>
  <c r="AL351" i="4"/>
  <c r="AL357" i="4"/>
  <c r="AL358" i="4"/>
  <c r="AL372" i="4"/>
  <c r="AL373" i="4"/>
  <c r="AL355" i="4"/>
  <c r="AL359" i="4"/>
  <c r="AL360" i="4"/>
  <c r="AL365" i="4"/>
  <c r="AL356" i="4"/>
  <c r="AL366" i="4"/>
  <c r="AL367" i="4"/>
  <c r="AL368" i="4"/>
  <c r="AL361" i="4"/>
  <c r="AL363" i="4"/>
  <c r="AL362" i="4"/>
  <c r="AL352" i="4"/>
  <c r="AL364" i="4"/>
  <c r="AL353" i="4"/>
  <c r="AL354" i="4"/>
  <c r="AL371" i="4"/>
  <c r="AL369" i="4"/>
  <c r="AL370" i="4"/>
  <c r="AL379" i="4"/>
  <c r="AL375" i="4"/>
  <c r="AL383" i="4"/>
  <c r="AL374" i="4"/>
  <c r="AL376" i="4"/>
  <c r="AL378" i="4"/>
  <c r="AL381" i="4"/>
  <c r="AL385" i="4"/>
  <c r="AL377" i="4"/>
  <c r="AL380" i="4"/>
  <c r="AL382" i="4"/>
  <c r="AL387" i="4"/>
  <c r="AL388" i="4"/>
  <c r="AL389" i="4"/>
  <c r="AL390" i="4"/>
  <c r="AL391" i="4"/>
  <c r="AL407" i="4"/>
  <c r="AL405" i="4"/>
  <c r="AL392" i="4"/>
  <c r="AL394" i="4"/>
  <c r="AL395" i="4"/>
  <c r="AL396" i="4"/>
  <c r="AL397" i="4"/>
  <c r="AL398" i="4"/>
  <c r="AL400" i="4"/>
  <c r="AL401" i="4"/>
  <c r="AL402" i="4"/>
  <c r="AL399" i="4"/>
  <c r="AL404" i="4"/>
  <c r="AL393" i="4"/>
  <c r="AL403" i="4"/>
  <c r="AL408" i="4"/>
  <c r="AL412" i="4"/>
  <c r="AL409" i="4"/>
  <c r="AL410" i="4"/>
  <c r="AL415" i="4"/>
  <c r="AL411" i="4"/>
  <c r="AL413" i="4"/>
  <c r="AL414" i="4"/>
  <c r="AL406" i="4"/>
  <c r="AL416" i="4"/>
  <c r="AL32" i="4"/>
  <c r="AL138" i="4"/>
  <c r="AL25" i="4"/>
  <c r="AL90" i="4"/>
  <c r="AL205" i="4"/>
  <c r="AL272" i="4"/>
  <c r="AL87" i="4"/>
  <c r="AL162" i="4"/>
  <c r="AL42" i="4"/>
  <c r="AL184" i="4"/>
  <c r="AL286" i="4"/>
  <c r="AL144" i="4"/>
  <c r="AL263" i="4"/>
  <c r="AL260" i="4"/>
  <c r="AL132" i="4"/>
  <c r="AL116" i="4"/>
  <c r="AL23" i="4"/>
  <c r="AL235" i="4"/>
  <c r="F40" i="4"/>
  <c r="F21" i="4"/>
  <c r="E21" i="4"/>
  <c r="E40" i="4"/>
  <c r="M40" i="4"/>
  <c r="AA21" i="2"/>
  <c r="AD21" i="2"/>
  <c r="AE21" i="2"/>
  <c r="AF21" i="2"/>
  <c r="AG21" i="2"/>
  <c r="AH21" i="2"/>
  <c r="AI21" i="2"/>
  <c r="AK21" i="2"/>
  <c r="AL21" i="2"/>
  <c r="AM21" i="2"/>
  <c r="AZ193" i="1"/>
  <c r="BC193" i="1"/>
  <c r="AZ194" i="1"/>
  <c r="BC194" i="1"/>
  <c r="BC304" i="1"/>
  <c r="AZ295" i="1"/>
  <c r="BC295" i="1"/>
  <c r="AZ294" i="1"/>
  <c r="BC294" i="1"/>
  <c r="AZ111" i="1"/>
  <c r="AZ456" i="1"/>
  <c r="BC456" i="1"/>
  <c r="BB456" i="1"/>
  <c r="AZ455" i="1"/>
  <c r="BC455" i="1"/>
  <c r="BB455" i="1"/>
  <c r="AZ276" i="1"/>
  <c r="BC276" i="1"/>
  <c r="AZ275" i="1"/>
  <c r="BC275" i="1"/>
  <c r="AZ43" i="1"/>
  <c r="BC43" i="1"/>
  <c r="AZ42" i="1"/>
  <c r="BC42" i="1"/>
  <c r="AZ41" i="1"/>
  <c r="BC41" i="1"/>
  <c r="AZ40" i="1"/>
  <c r="BC40" i="1"/>
  <c r="BC39" i="1"/>
  <c r="AZ133" i="1"/>
  <c r="BC133" i="1"/>
  <c r="AZ132" i="1"/>
  <c r="BC132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4" i="1"/>
  <c r="AZ75" i="1"/>
  <c r="AZ77" i="1"/>
  <c r="AZ78" i="1"/>
  <c r="AZ79" i="1"/>
  <c r="AZ80" i="1"/>
  <c r="AZ88" i="1"/>
  <c r="AZ89" i="1"/>
  <c r="AZ90" i="1"/>
  <c r="AZ92" i="1"/>
  <c r="AZ93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8" i="1"/>
  <c r="AZ119" i="1"/>
  <c r="AZ120" i="1"/>
  <c r="AZ121" i="1"/>
  <c r="AZ122" i="1"/>
  <c r="AZ123" i="1"/>
  <c r="AZ124" i="1"/>
  <c r="AZ125" i="1"/>
  <c r="AZ126" i="1"/>
  <c r="AZ128" i="1"/>
  <c r="AZ129" i="1"/>
  <c r="AZ130" i="1"/>
  <c r="AZ131" i="1"/>
  <c r="AZ148" i="1"/>
  <c r="AZ149" i="1"/>
  <c r="AZ150" i="1"/>
  <c r="AZ151" i="1"/>
  <c r="AZ173" i="1"/>
  <c r="AZ174" i="1"/>
  <c r="AZ206" i="1"/>
  <c r="AZ207" i="1"/>
  <c r="AZ208" i="1"/>
  <c r="AZ209" i="1"/>
  <c r="AZ213" i="1"/>
  <c r="AZ214" i="1"/>
  <c r="AZ218" i="1"/>
  <c r="AZ219" i="1"/>
  <c r="AZ220" i="1"/>
  <c r="AZ227" i="1"/>
  <c r="AZ228" i="1"/>
  <c r="AZ240" i="1"/>
  <c r="AZ241" i="1"/>
  <c r="AZ242" i="1"/>
  <c r="AZ243" i="1"/>
  <c r="AZ244" i="1"/>
  <c r="AZ245" i="1"/>
  <c r="AZ272" i="1"/>
  <c r="AZ273" i="1"/>
  <c r="AZ274" i="1"/>
  <c r="AZ278" i="1"/>
  <c r="AZ279" i="1"/>
  <c r="AZ280" i="1"/>
  <c r="AZ281" i="1"/>
  <c r="AZ282" i="1"/>
  <c r="AZ283" i="1"/>
  <c r="AZ284" i="1"/>
  <c r="AZ287" i="1"/>
  <c r="AZ288" i="1"/>
  <c r="AZ289" i="1"/>
  <c r="AZ292" i="1"/>
  <c r="AZ293" i="1"/>
  <c r="AZ296" i="1"/>
  <c r="AZ297" i="1"/>
  <c r="AZ298" i="1"/>
  <c r="AZ323" i="1"/>
  <c r="AZ324" i="1"/>
  <c r="AZ328" i="1"/>
  <c r="AZ329" i="1"/>
  <c r="AZ330" i="1"/>
  <c r="AZ331" i="1"/>
  <c r="AZ332" i="1"/>
  <c r="AZ344" i="1"/>
  <c r="AZ345" i="1"/>
  <c r="AZ351" i="1"/>
  <c r="AZ352" i="1"/>
  <c r="AZ353" i="1"/>
  <c r="AZ354" i="1"/>
  <c r="AZ355" i="1"/>
  <c r="AZ356" i="1"/>
  <c r="AZ357" i="1"/>
  <c r="AZ358" i="1"/>
  <c r="AZ359" i="1"/>
  <c r="AZ380" i="1"/>
  <c r="AZ381" i="1"/>
  <c r="AZ385" i="1"/>
  <c r="AZ386" i="1"/>
  <c r="AZ402" i="1"/>
  <c r="AZ403" i="1"/>
  <c r="AZ404" i="1"/>
  <c r="AZ405" i="1"/>
  <c r="AZ406" i="1"/>
  <c r="AZ410" i="1"/>
  <c r="AZ411" i="1"/>
  <c r="AZ412" i="1"/>
  <c r="AZ437" i="1"/>
  <c r="AZ438" i="1"/>
  <c r="AZ439" i="1"/>
  <c r="AZ440" i="1"/>
  <c r="AZ441" i="1"/>
  <c r="AZ442" i="1"/>
  <c r="AZ449" i="1"/>
  <c r="AZ450" i="1"/>
  <c r="AZ451" i="1"/>
  <c r="AZ452" i="1"/>
  <c r="AZ453" i="1"/>
  <c r="AZ454" i="1"/>
  <c r="AZ2" i="1"/>
  <c r="BC45" i="1"/>
  <c r="BC44" i="1"/>
  <c r="BC280" i="1"/>
  <c r="BB454" i="1"/>
  <c r="BC454" i="1"/>
  <c r="BB453" i="1"/>
  <c r="BC453" i="1"/>
  <c r="BB452" i="1"/>
  <c r="BC452" i="1"/>
  <c r="BB451" i="1"/>
  <c r="BC451" i="1"/>
  <c r="BB450" i="1"/>
  <c r="BC450" i="1"/>
  <c r="CT449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B449" i="1"/>
  <c r="BC449" i="1"/>
  <c r="BC442" i="1"/>
  <c r="BC441" i="1"/>
  <c r="BC440" i="1"/>
  <c r="CT439" i="1"/>
  <c r="CS439" i="1"/>
  <c r="CR439" i="1"/>
  <c r="CQ439" i="1"/>
  <c r="CP439" i="1"/>
  <c r="CO439" i="1"/>
  <c r="CN439" i="1"/>
  <c r="CM439" i="1"/>
  <c r="CL439" i="1"/>
  <c r="CK439" i="1"/>
  <c r="CJ439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C439" i="1"/>
  <c r="BC438" i="1"/>
  <c r="CT437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C437" i="1"/>
  <c r="BC411" i="1"/>
  <c r="BC410" i="1"/>
  <c r="CT406" i="1"/>
  <c r="CS406" i="1"/>
  <c r="CR406" i="1"/>
  <c r="CQ406" i="1"/>
  <c r="CP406" i="1"/>
  <c r="CO406" i="1"/>
  <c r="CN406" i="1"/>
  <c r="CM406" i="1"/>
  <c r="CL406" i="1"/>
  <c r="CK406" i="1"/>
  <c r="CJ406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BC406" i="1"/>
  <c r="BC405" i="1"/>
  <c r="CT404" i="1"/>
  <c r="CS404" i="1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C404" i="1"/>
  <c r="BC403" i="1"/>
  <c r="BC402" i="1"/>
  <c r="BB386" i="1"/>
  <c r="BC386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B385" i="1"/>
  <c r="BC385" i="1"/>
  <c r="BB381" i="1"/>
  <c r="BC381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B380" i="1"/>
  <c r="BC380" i="1"/>
  <c r="BB359" i="1"/>
  <c r="BC359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B358" i="1"/>
  <c r="BC358" i="1"/>
  <c r="BB357" i="1"/>
  <c r="BC357" i="1"/>
  <c r="BB356" i="1"/>
  <c r="BC356" i="1"/>
  <c r="BB355" i="1"/>
  <c r="BC355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B354" i="1"/>
  <c r="BC354" i="1"/>
  <c r="BB353" i="1"/>
  <c r="BC353" i="1"/>
  <c r="BB352" i="1"/>
  <c r="BC352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B351" i="1"/>
  <c r="BC351" i="1"/>
  <c r="BB345" i="1"/>
  <c r="BC345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B344" i="1"/>
  <c r="BC344" i="1"/>
  <c r="BB332" i="1"/>
  <c r="BC332" i="1"/>
  <c r="BB331" i="1"/>
  <c r="BC331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B330" i="1"/>
  <c r="BC330" i="1"/>
  <c r="BB329" i="1"/>
  <c r="BC329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B328" i="1"/>
  <c r="BC328" i="1"/>
  <c r="BB324" i="1"/>
  <c r="BC324" i="1"/>
  <c r="CT323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C323" i="1"/>
  <c r="BC303" i="1"/>
  <c r="BC301" i="1"/>
  <c r="BC300" i="1"/>
  <c r="BC298" i="1"/>
  <c r="BC297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C296" i="1"/>
  <c r="BC293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C292" i="1"/>
  <c r="BC289" i="1"/>
  <c r="BC288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C287" i="1"/>
  <c r="BC284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C283" i="1"/>
  <c r="BC282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C281" i="1"/>
  <c r="BC279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C278" i="1"/>
  <c r="BC274" i="1"/>
  <c r="BC273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C272" i="1"/>
  <c r="BC245" i="1"/>
  <c r="BC244" i="1"/>
  <c r="BC243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C242" i="1"/>
  <c r="BC241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C240" i="1"/>
  <c r="BC228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C227" i="1"/>
  <c r="BC214" i="1"/>
  <c r="BC213" i="1"/>
  <c r="BC209" i="1"/>
  <c r="BC208" i="1"/>
  <c r="BC207" i="1"/>
  <c r="BC206" i="1"/>
  <c r="BC174" i="1"/>
  <c r="BC173" i="1"/>
  <c r="BC151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C150" i="1"/>
  <c r="BC149" i="1"/>
  <c r="BC148" i="1"/>
  <c r="BC131" i="1"/>
  <c r="BC130" i="1"/>
  <c r="BC129" i="1"/>
  <c r="BC128" i="1"/>
  <c r="BC126" i="1"/>
  <c r="BC125" i="1"/>
  <c r="BC124" i="1"/>
  <c r="BC123" i="1"/>
  <c r="BC122" i="1"/>
  <c r="BC121" i="1"/>
  <c r="BC120" i="1"/>
  <c r="BC119" i="1"/>
  <c r="BC118" i="1"/>
  <c r="BC110" i="1"/>
  <c r="BC109" i="1"/>
  <c r="BC108" i="1"/>
  <c r="BC107" i="1"/>
  <c r="BC106" i="1"/>
  <c r="BC105" i="1"/>
  <c r="BC104" i="1"/>
  <c r="BC103" i="1"/>
  <c r="BC102" i="1"/>
  <c r="BC101" i="1"/>
  <c r="BC100" i="1"/>
  <c r="BC99" i="1"/>
  <c r="BC98" i="1"/>
  <c r="BC97" i="1"/>
  <c r="BC93" i="1"/>
  <c r="BC92" i="1"/>
  <c r="BC90" i="1"/>
  <c r="BC89" i="1"/>
  <c r="BC88" i="1"/>
  <c r="BC80" i="1"/>
  <c r="BC79" i="1"/>
  <c r="BC78" i="1"/>
  <c r="BC77" i="1"/>
  <c r="BC75" i="1"/>
  <c r="BC74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1" i="6"/>
  <c r="F40" i="3"/>
  <c r="A40" i="3"/>
  <c r="G40" i="3"/>
  <c r="H40" i="3"/>
  <c r="F41" i="3"/>
  <c r="F42" i="3"/>
  <c r="F43" i="3"/>
  <c r="A41" i="3"/>
  <c r="H41" i="3"/>
  <c r="A42" i="3"/>
  <c r="H42" i="3"/>
  <c r="A43" i="3"/>
  <c r="H43" i="3"/>
  <c r="AI193" i="4"/>
  <c r="AI154" i="4"/>
  <c r="U154" i="4" a="1"/>
  <c r="U154" i="4"/>
  <c r="AI266" i="4"/>
  <c r="AI265" i="4"/>
  <c r="G41" i="3"/>
  <c r="G42" i="3"/>
  <c r="G43" i="3"/>
  <c r="T154" i="4" a="1"/>
  <c r="T154" i="4"/>
  <c r="T266" i="4" a="1"/>
  <c r="T266" i="4"/>
  <c r="T265" i="4" a="1"/>
  <c r="T265" i="4"/>
  <c r="B25" i="3"/>
  <c r="C25" i="3"/>
  <c r="E25" i="3"/>
  <c r="AA25" i="2"/>
  <c r="AD25" i="2"/>
  <c r="AE25" i="2"/>
  <c r="AF25" i="2"/>
  <c r="AG25" i="2"/>
  <c r="AH25" i="2"/>
  <c r="AI25" i="2"/>
  <c r="AK25" i="2"/>
  <c r="AL25" i="2"/>
  <c r="R344" i="4"/>
  <c r="R333" i="4"/>
  <c r="R331" i="4"/>
  <c r="R332" i="4"/>
  <c r="R342" i="4"/>
  <c r="R336" i="4"/>
  <c r="R334" i="4"/>
  <c r="R335" i="4"/>
  <c r="R346" i="4"/>
  <c r="R328" i="4"/>
  <c r="R326" i="4"/>
  <c r="R327" i="4"/>
  <c r="R320" i="4"/>
  <c r="R338" i="4"/>
  <c r="R337" i="4"/>
  <c r="R322" i="4"/>
  <c r="R347" i="4"/>
  <c r="R323" i="4"/>
  <c r="R358" i="4"/>
  <c r="R343" i="4"/>
  <c r="R369" i="4"/>
  <c r="R367" i="4"/>
  <c r="R355" i="4"/>
  <c r="R365" i="4"/>
  <c r="R357" i="4"/>
  <c r="R366" i="4"/>
  <c r="R368" i="4"/>
  <c r="R321" i="4"/>
  <c r="R356" i="4"/>
  <c r="R360" i="4"/>
  <c r="R362" i="4"/>
  <c r="R359" i="4"/>
  <c r="R361" i="4"/>
  <c r="R363" i="4"/>
  <c r="R99" i="4"/>
  <c r="R68" i="4"/>
  <c r="R324" i="4"/>
  <c r="R67" i="4"/>
  <c r="R330" i="4"/>
  <c r="R370" i="4"/>
  <c r="R351" i="4"/>
  <c r="R340" i="4"/>
  <c r="R349" i="4"/>
  <c r="R329" i="4"/>
  <c r="R341" i="4"/>
  <c r="R234" i="4"/>
  <c r="R372" i="4"/>
  <c r="R75" i="4"/>
  <c r="R233" i="4"/>
  <c r="R373" i="4"/>
  <c r="R325" i="4"/>
  <c r="R62" i="4"/>
  <c r="R69" i="4"/>
  <c r="R374" i="4"/>
  <c r="R382" i="4"/>
  <c r="R345" i="4"/>
  <c r="R350" i="4"/>
  <c r="R292" i="4"/>
  <c r="R381" i="4"/>
  <c r="R376" i="4"/>
  <c r="R379" i="4"/>
  <c r="R385" i="4"/>
  <c r="R383" i="4"/>
  <c r="R375" i="4"/>
  <c r="R378" i="4"/>
  <c r="R377" i="4"/>
  <c r="R319" i="4"/>
  <c r="R380" i="4"/>
  <c r="R303" i="4"/>
  <c r="R305" i="4"/>
  <c r="R312" i="4"/>
  <c r="R304" i="4"/>
  <c r="R287" i="4"/>
  <c r="R306" i="4"/>
  <c r="R311" i="4"/>
  <c r="R314" i="4"/>
  <c r="R313" i="4"/>
  <c r="R317" i="4"/>
  <c r="R291" i="4"/>
  <c r="R310" i="4"/>
  <c r="R315" i="4"/>
  <c r="R307" i="4"/>
  <c r="R318" i="4"/>
  <c r="R309" i="4"/>
  <c r="R316" i="4"/>
  <c r="R145" i="4"/>
  <c r="R222" i="4"/>
  <c r="R268" i="4"/>
  <c r="R228" i="4"/>
  <c r="R244" i="4"/>
  <c r="R259" i="4"/>
  <c r="R39" i="4"/>
  <c r="R249" i="4"/>
  <c r="R74" i="4"/>
  <c r="R301" i="4"/>
  <c r="R129" i="4"/>
  <c r="R26" i="4"/>
  <c r="R125" i="4"/>
  <c r="R230" i="4"/>
  <c r="R53" i="4"/>
  <c r="R229" i="4"/>
  <c r="R226" i="4"/>
  <c r="R251" i="4"/>
  <c r="R225" i="4"/>
  <c r="R105" i="4"/>
  <c r="R148" i="4"/>
  <c r="R106" i="4"/>
  <c r="R254" i="4"/>
  <c r="R151" i="4"/>
  <c r="R295" i="4"/>
  <c r="R297" i="4"/>
  <c r="R152" i="4"/>
  <c r="R257" i="4"/>
  <c r="R170" i="4"/>
  <c r="R208" i="4"/>
  <c r="R196" i="4"/>
  <c r="R137" i="4"/>
  <c r="R64" i="4"/>
  <c r="R294" i="4"/>
  <c r="R227" i="4"/>
  <c r="R266" i="4"/>
  <c r="R79" i="4"/>
  <c r="R258" i="4"/>
  <c r="R197" i="4"/>
  <c r="R88" i="4"/>
  <c r="R59" i="4"/>
  <c r="R121" i="4"/>
  <c r="R31" i="4"/>
  <c r="R122" i="4"/>
  <c r="R255" i="4"/>
  <c r="R248" i="4"/>
  <c r="R120" i="4"/>
  <c r="R279" i="4"/>
  <c r="R263" i="4"/>
  <c r="R214" i="4"/>
  <c r="R215" i="4"/>
  <c r="R202" i="4"/>
  <c r="R55" i="4"/>
  <c r="R236" i="4"/>
  <c r="R142" i="4"/>
  <c r="R70" i="4"/>
  <c r="R265" i="4"/>
  <c r="R193" i="4"/>
  <c r="R364" i="4"/>
  <c r="R280" i="4"/>
  <c r="R247" i="4"/>
  <c r="R199" i="4"/>
  <c r="R269" i="4"/>
  <c r="R153" i="4"/>
  <c r="R51" i="4"/>
  <c r="R171" i="4"/>
  <c r="R101" i="4"/>
  <c r="R179" i="4"/>
  <c r="R239" i="4"/>
  <c r="R243" i="4"/>
  <c r="R274" i="4"/>
  <c r="R270" i="4"/>
  <c r="R149" i="4"/>
  <c r="R150" i="4"/>
  <c r="R162" i="4"/>
  <c r="R209" i="4"/>
  <c r="R262" i="4"/>
  <c r="R192" i="4"/>
  <c r="R130" i="4"/>
  <c r="R339" i="4"/>
  <c r="R219" i="4"/>
  <c r="R206" i="4"/>
  <c r="R221" i="4"/>
  <c r="R182" i="4"/>
  <c r="R252" i="4"/>
  <c r="R27" i="4"/>
  <c r="R169" i="4"/>
  <c r="R38" i="4"/>
  <c r="R220" i="4"/>
  <c r="R186" i="4"/>
  <c r="R204" i="4"/>
  <c r="R238" i="4"/>
  <c r="R264" i="4"/>
  <c r="R160" i="4"/>
  <c r="R81" i="4"/>
  <c r="R198" i="4"/>
  <c r="R352" i="4"/>
  <c r="R54" i="4"/>
  <c r="R112" i="4"/>
  <c r="R144" i="4"/>
  <c r="R165" i="4"/>
  <c r="R172" i="4"/>
  <c r="R176" i="4"/>
  <c r="R113" i="4"/>
  <c r="R278" i="4"/>
  <c r="R98" i="4"/>
  <c r="R288" i="4"/>
  <c r="R117" i="4"/>
  <c r="R118" i="4"/>
  <c r="R90" i="4"/>
  <c r="R72" i="4"/>
  <c r="R166" i="4"/>
  <c r="R168" i="4"/>
  <c r="R135" i="4"/>
  <c r="R293" i="4"/>
  <c r="R41" i="4"/>
  <c r="R200" i="4"/>
  <c r="R167" i="4"/>
  <c r="R52" i="4"/>
  <c r="R109" i="4"/>
  <c r="R173" i="4"/>
  <c r="R116" i="4"/>
  <c r="R189" i="4"/>
  <c r="R146" i="4"/>
  <c r="R147" i="4"/>
  <c r="R50" i="4"/>
  <c r="R136" i="4"/>
  <c r="R110" i="4"/>
  <c r="R181" i="4"/>
  <c r="R139" i="4"/>
  <c r="R140" i="4"/>
  <c r="R241" i="4"/>
  <c r="R212" i="4"/>
  <c r="R213" i="4"/>
  <c r="R132" i="4"/>
  <c r="R85" i="4"/>
  <c r="R174" i="4"/>
  <c r="R111" i="4"/>
  <c r="R261" i="4"/>
  <c r="R29" i="4"/>
  <c r="R154" i="4"/>
  <c r="R100" i="4"/>
  <c r="R203" i="4"/>
  <c r="R107" i="4"/>
  <c r="R157" i="4"/>
  <c r="R260" i="4"/>
  <c r="R102" i="4"/>
  <c r="R128" i="4"/>
  <c r="R211" i="4"/>
  <c r="R108" i="4"/>
  <c r="R175" i="4"/>
  <c r="R177" i="4"/>
  <c r="R138" i="4"/>
  <c r="R97" i="4"/>
  <c r="R210" i="4"/>
  <c r="R155" i="4"/>
  <c r="R156" i="4"/>
  <c r="R231" i="4"/>
  <c r="R10" i="4"/>
  <c r="R76" i="4"/>
  <c r="R77" i="4"/>
  <c r="R124" i="4"/>
  <c r="R282" i="4"/>
  <c r="R218" i="4"/>
  <c r="R267" i="4"/>
  <c r="R235" i="4"/>
  <c r="R12" i="4"/>
  <c r="R143" i="4"/>
  <c r="R80" i="4"/>
  <c r="R191" i="4"/>
  <c r="R194" i="4"/>
  <c r="R89" i="4"/>
  <c r="R207" i="4"/>
  <c r="R61" i="4"/>
  <c r="R115" i="4"/>
  <c r="R190" i="4"/>
  <c r="R290" i="4"/>
  <c r="R201" i="4"/>
  <c r="R103" i="4"/>
  <c r="R178" i="4"/>
  <c r="R78" i="4"/>
  <c r="R73" i="4"/>
  <c r="R83" i="4"/>
  <c r="R84" i="4"/>
  <c r="R71" i="4"/>
  <c r="R158" i="4"/>
  <c r="R104" i="4"/>
  <c r="R37" i="4"/>
  <c r="R284" i="4"/>
  <c r="R285" i="4"/>
  <c r="R286" i="4"/>
  <c r="R91" i="4"/>
  <c r="R92" i="4"/>
  <c r="R253" i="4"/>
  <c r="R256" i="4"/>
  <c r="R159" i="4"/>
  <c r="R25" i="4"/>
  <c r="R95" i="4"/>
  <c r="R298" i="4"/>
  <c r="R126" i="4"/>
  <c r="R58" i="4"/>
  <c r="R180" i="4"/>
  <c r="R246" i="4"/>
  <c r="R87" i="4"/>
  <c r="R36" i="4"/>
  <c r="R302" i="4"/>
  <c r="R93" i="4"/>
  <c r="R184" i="4"/>
  <c r="R299" i="4"/>
  <c r="R131" i="4"/>
  <c r="R161" i="4"/>
  <c r="R163" i="4"/>
  <c r="R289" i="4"/>
  <c r="R11" i="4"/>
  <c r="R283" i="4"/>
  <c r="R195" i="4"/>
  <c r="R245" i="4"/>
  <c r="R272" i="4"/>
  <c r="R237" i="4"/>
  <c r="R242" i="4"/>
  <c r="R96" i="4"/>
  <c r="R223" i="4"/>
  <c r="R123" i="4"/>
  <c r="R65" i="4"/>
  <c r="R300" i="4"/>
  <c r="R224" i="4"/>
  <c r="R127" i="4"/>
  <c r="R273" i="4"/>
  <c r="R205" i="4"/>
  <c r="R240" i="4"/>
  <c r="R141" i="4"/>
  <c r="R82" i="4"/>
  <c r="R60" i="4"/>
  <c r="R250" i="4"/>
  <c r="R57" i="4"/>
  <c r="R114" i="4"/>
  <c r="R13" i="4"/>
  <c r="R66" i="4"/>
  <c r="R94" i="4"/>
  <c r="R185" i="4"/>
  <c r="R187" i="4"/>
  <c r="Z364" i="4"/>
  <c r="Z353" i="4"/>
  <c r="Z354" i="4"/>
  <c r="U2" i="12"/>
  <c r="R119" i="4"/>
  <c r="R271" i="4"/>
  <c r="R56" i="4"/>
  <c r="R348" i="4"/>
  <c r="Q2" i="12"/>
  <c r="O2" i="12"/>
  <c r="N393" i="4"/>
  <c r="N392" i="4"/>
  <c r="M2" i="12"/>
  <c r="K2" i="12"/>
  <c r="J174" i="4"/>
  <c r="J35" i="4"/>
  <c r="J244" i="4"/>
  <c r="J230" i="4"/>
  <c r="J119" i="4"/>
  <c r="J173" i="4"/>
  <c r="J175" i="4"/>
  <c r="J176" i="4"/>
  <c r="J177" i="4"/>
  <c r="J136" i="4"/>
  <c r="J209" i="4"/>
  <c r="J137" i="4"/>
  <c r="J138" i="4"/>
  <c r="J179" i="4"/>
  <c r="J293" i="4"/>
  <c r="J181" i="4"/>
  <c r="J182" i="4"/>
  <c r="J120" i="4"/>
  <c r="J111" i="4"/>
  <c r="J61" i="4"/>
  <c r="J284" i="4"/>
  <c r="J285" i="4"/>
  <c r="J286" i="4"/>
  <c r="J142" i="4"/>
  <c r="J241" i="4"/>
  <c r="J278" i="4"/>
  <c r="J290" i="4"/>
  <c r="J127" i="4"/>
  <c r="J282" i="4"/>
  <c r="J25" i="4"/>
  <c r="J302" i="4"/>
  <c r="J90" i="4"/>
  <c r="J178" i="4"/>
  <c r="J236" i="4"/>
  <c r="J237" i="4"/>
  <c r="J240" i="4"/>
  <c r="J242" i="4"/>
  <c r="J283" i="4"/>
  <c r="J113" i="4"/>
  <c r="J117" i="4"/>
  <c r="J250" i="4"/>
  <c r="J62" i="4"/>
  <c r="J29" i="4"/>
  <c r="J79" i="4"/>
  <c r="J123" i="4"/>
  <c r="J83" i="4"/>
  <c r="J84" i="4"/>
  <c r="J253" i="4"/>
  <c r="J69" i="4"/>
  <c r="J70" i="4"/>
  <c r="J131" i="4"/>
  <c r="J74" i="4"/>
  <c r="J155" i="4"/>
  <c r="J193" i="4"/>
  <c r="J288" i="4"/>
  <c r="J228" i="4"/>
  <c r="J245" i="4"/>
  <c r="J75" i="4"/>
  <c r="J180" i="4"/>
  <c r="J82" i="4"/>
  <c r="J256" i="4"/>
  <c r="J46" i="4"/>
  <c r="J207" i="4"/>
  <c r="J220" i="4"/>
  <c r="J22" i="4"/>
  <c r="J77" i="4"/>
  <c r="J223" i="4"/>
  <c r="J31" i="4"/>
  <c r="J184" i="4"/>
  <c r="J114" i="4"/>
  <c r="J189" i="4"/>
  <c r="J224" i="4"/>
  <c r="J157" i="4"/>
  <c r="J194" i="4"/>
  <c r="J163" i="4"/>
  <c r="J208" i="4"/>
  <c r="J110" i="4"/>
  <c r="J63" i="4"/>
  <c r="J97" i="4"/>
  <c r="J144" i="4"/>
  <c r="J246" i="4"/>
  <c r="J267" i="4"/>
  <c r="J139" i="4"/>
  <c r="J156" i="4"/>
  <c r="J158" i="4"/>
  <c r="J160" i="4"/>
  <c r="J217" i="4"/>
  <c r="J100" i="4"/>
  <c r="J101" i="4"/>
  <c r="J135" i="4"/>
  <c r="J140" i="4"/>
  <c r="J143" i="4"/>
  <c r="J122" i="4"/>
  <c r="J188" i="4"/>
  <c r="J145" i="4"/>
  <c r="J146" i="4"/>
  <c r="J192" i="4"/>
  <c r="J149" i="4"/>
  <c r="J227" i="4"/>
  <c r="J151" i="4"/>
  <c r="J153" i="4"/>
  <c r="J47" i="4"/>
  <c r="J48" i="4"/>
  <c r="J197" i="4"/>
  <c r="J198" i="4"/>
  <c r="J162" i="4"/>
  <c r="J92" i="4"/>
  <c r="J73" i="4"/>
  <c r="J263" i="4"/>
  <c r="J211" i="4"/>
  <c r="J213" i="4"/>
  <c r="J214" i="4"/>
  <c r="J215" i="4"/>
  <c r="J234" i="4"/>
  <c r="J268" i="4"/>
  <c r="J292" i="4"/>
  <c r="J249" i="4"/>
  <c r="J93" i="4"/>
  <c r="J239" i="4"/>
  <c r="J301" i="4"/>
  <c r="J71" i="4"/>
  <c r="J72" i="4"/>
  <c r="J280" i="4"/>
  <c r="J271" i="4"/>
  <c r="J118" i="4"/>
  <c r="J289" i="4"/>
  <c r="J126" i="4"/>
  <c r="J190" i="4"/>
  <c r="J129" i="4"/>
  <c r="J255" i="4"/>
  <c r="J274" i="4"/>
  <c r="J281" i="4"/>
  <c r="J257" i="4"/>
  <c r="J258" i="4"/>
  <c r="J205" i="4"/>
  <c r="J64" i="4"/>
  <c r="J251" i="4"/>
  <c r="J42" i="4"/>
  <c r="J43" i="4"/>
  <c r="J44" i="4"/>
  <c r="J191" i="4"/>
  <c r="J147" i="4"/>
  <c r="J210" i="4"/>
  <c r="J196" i="4"/>
  <c r="J199" i="4"/>
  <c r="J165" i="4"/>
  <c r="J272" i="4"/>
  <c r="J248" i="4"/>
  <c r="J252" i="4"/>
  <c r="J128" i="4"/>
  <c r="J243" i="4"/>
  <c r="J279" i="4"/>
  <c r="J287" i="4"/>
  <c r="J45" i="4"/>
  <c r="J273" i="4"/>
  <c r="J269" i="4"/>
  <c r="J98" i="4"/>
  <c r="J247" i="4"/>
  <c r="J259" i="4"/>
  <c r="J49" i="4"/>
  <c r="J200" i="4"/>
  <c r="J112" i="4"/>
  <c r="J148" i="4"/>
  <c r="J218" i="4"/>
  <c r="J166" i="4"/>
  <c r="J167" i="4"/>
  <c r="J168" i="4"/>
  <c r="J298" i="4"/>
  <c r="J299" i="4"/>
  <c r="J130" i="4"/>
  <c r="J3" i="4"/>
  <c r="J254" i="4"/>
  <c r="J204" i="4"/>
  <c r="J260" i="4"/>
  <c r="J225" i="4"/>
  <c r="J295" i="4"/>
  <c r="J124" i="4"/>
  <c r="J125" i="4"/>
  <c r="J238" i="4"/>
  <c r="J94" i="4"/>
  <c r="J172" i="4"/>
  <c r="J132" i="4"/>
  <c r="J201" i="4"/>
  <c r="J202" i="4"/>
  <c r="J261" i="4"/>
  <c r="J186" i="4"/>
  <c r="J89" i="4"/>
  <c r="J266" i="4"/>
  <c r="J78" i="4"/>
  <c r="J203" i="4"/>
  <c r="J265" i="4"/>
  <c r="J54" i="4"/>
  <c r="J26" i="4"/>
  <c r="J37" i="4"/>
  <c r="J206" i="4"/>
  <c r="J53" i="4"/>
  <c r="J38" i="4"/>
  <c r="J264" i="4"/>
  <c r="J96" i="4"/>
  <c r="J216" i="4"/>
  <c r="J39" i="4"/>
  <c r="J59" i="4"/>
  <c r="J170" i="4"/>
  <c r="J52" i="4"/>
  <c r="J221" i="4"/>
  <c r="J51" i="4"/>
  <c r="J88" i="4"/>
  <c r="J58" i="4"/>
  <c r="J183" i="4"/>
  <c r="J36" i="4"/>
  <c r="J121" i="4"/>
  <c r="J57" i="4"/>
  <c r="J12" i="4"/>
  <c r="J50" i="4"/>
  <c r="J270" i="4"/>
  <c r="J116" i="4"/>
  <c r="J55" i="4"/>
  <c r="J103" i="4"/>
  <c r="J109" i="4"/>
  <c r="J10" i="4"/>
  <c r="J60" i="4"/>
  <c r="J104" i="4"/>
  <c r="J107" i="4"/>
  <c r="J76" i="4"/>
  <c r="J115" i="4"/>
  <c r="J108" i="4"/>
  <c r="J105" i="4"/>
  <c r="I2" i="12"/>
  <c r="H210" i="4"/>
  <c r="H148" i="4"/>
  <c r="G2" i="12"/>
  <c r="F235" i="4"/>
  <c r="F169" i="4"/>
  <c r="F219" i="4"/>
  <c r="F102" i="4"/>
  <c r="F175" i="4"/>
  <c r="F176" i="4"/>
  <c r="F177" i="4"/>
  <c r="F136" i="4"/>
  <c r="F209" i="4"/>
  <c r="F137" i="4"/>
  <c r="F138" i="4"/>
  <c r="F179" i="4"/>
  <c r="F91" i="4"/>
  <c r="F181" i="4"/>
  <c r="F182" i="4"/>
  <c r="F120" i="4"/>
  <c r="F111" i="4"/>
  <c r="F61" i="4"/>
  <c r="F142" i="4"/>
  <c r="F127" i="4"/>
  <c r="F87" i="4"/>
  <c r="F25" i="4"/>
  <c r="F90" i="4"/>
  <c r="F178" i="4"/>
  <c r="F236" i="4"/>
  <c r="F240" i="4"/>
  <c r="F113" i="4"/>
  <c r="F117" i="4"/>
  <c r="F62" i="4"/>
  <c r="F253" i="4"/>
  <c r="F69" i="4"/>
  <c r="F70" i="4"/>
  <c r="F74" i="4"/>
  <c r="F228" i="4"/>
  <c r="F75" i="4"/>
  <c r="F46" i="4"/>
  <c r="F207" i="4"/>
  <c r="F31" i="4"/>
  <c r="F2" i="4"/>
  <c r="F114" i="4"/>
  <c r="F189" i="4"/>
  <c r="F224" i="4"/>
  <c r="F5" i="4"/>
  <c r="F208" i="4"/>
  <c r="F158" i="4"/>
  <c r="F217" i="4"/>
  <c r="F100" i="4"/>
  <c r="F101" i="4"/>
  <c r="F135" i="4"/>
  <c r="F143" i="4"/>
  <c r="F145" i="4"/>
  <c r="F146" i="4"/>
  <c r="F192" i="4"/>
  <c r="F149" i="4"/>
  <c r="F150" i="4"/>
  <c r="F227" i="4"/>
  <c r="F151" i="4"/>
  <c r="F152" i="4"/>
  <c r="F153" i="4"/>
  <c r="F47" i="4"/>
  <c r="F48" i="4"/>
  <c r="F197" i="4"/>
  <c r="F198" i="4"/>
  <c r="F162" i="4"/>
  <c r="F92" i="4"/>
  <c r="F73" i="4"/>
  <c r="F263" i="4"/>
  <c r="F211" i="4"/>
  <c r="F212" i="4"/>
  <c r="F213" i="4"/>
  <c r="F214" i="4"/>
  <c r="F215" i="4"/>
  <c r="F233" i="4"/>
  <c r="F234" i="4"/>
  <c r="F268" i="4"/>
  <c r="F291" i="4"/>
  <c r="F292" i="4"/>
  <c r="F249" i="4"/>
  <c r="F93" i="4"/>
  <c r="F239" i="4"/>
  <c r="F301" i="4"/>
  <c r="F71" i="4"/>
  <c r="F72" i="4"/>
  <c r="F280" i="4"/>
  <c r="F118" i="4"/>
  <c r="F289" i="4"/>
  <c r="F126" i="4"/>
  <c r="F190" i="4"/>
  <c r="F129" i="4"/>
  <c r="F255" i="4"/>
  <c r="F274" i="4"/>
  <c r="F281" i="4"/>
  <c r="F257" i="4"/>
  <c r="F258" i="4"/>
  <c r="F205" i="4"/>
  <c r="F64" i="4"/>
  <c r="F251" i="4"/>
  <c r="F42" i="4"/>
  <c r="F43" i="4"/>
  <c r="F44" i="4"/>
  <c r="F7" i="4"/>
  <c r="F8" i="4"/>
  <c r="F191" i="4"/>
  <c r="F147" i="4"/>
  <c r="F210" i="4"/>
  <c r="F196" i="4"/>
  <c r="F199" i="4"/>
  <c r="F165" i="4"/>
  <c r="F272" i="4"/>
  <c r="F248" i="4"/>
  <c r="F222" i="4"/>
  <c r="F33" i="4"/>
  <c r="F34" i="4"/>
  <c r="F252" i="4"/>
  <c r="F9" i="4"/>
  <c r="F243" i="4"/>
  <c r="F279" i="4"/>
  <c r="F6" i="4"/>
  <c r="F287" i="4"/>
  <c r="F45" i="4"/>
  <c r="F273" i="4"/>
  <c r="F269" i="4"/>
  <c r="F296" i="4"/>
  <c r="F98" i="4"/>
  <c r="F247" i="4"/>
  <c r="F259" i="4"/>
  <c r="F49" i="4"/>
  <c r="F200" i="4"/>
  <c r="F30" i="4"/>
  <c r="F112" i="4"/>
  <c r="F148" i="4"/>
  <c r="F154" i="4"/>
  <c r="F218" i="4"/>
  <c r="F166" i="4"/>
  <c r="F167" i="4"/>
  <c r="F168" i="4"/>
  <c r="F80" i="4"/>
  <c r="F298" i="4"/>
  <c r="F81" i="4"/>
  <c r="F299" i="4"/>
  <c r="F3" i="4"/>
  <c r="F254" i="4"/>
  <c r="F204" i="4"/>
  <c r="F260" i="4"/>
  <c r="F225" i="4"/>
  <c r="F85" i="4"/>
  <c r="F185" i="4"/>
  <c r="F187" i="4"/>
  <c r="F295" i="4"/>
  <c r="F226" i="4"/>
  <c r="F124" i="4"/>
  <c r="F125" i="4"/>
  <c r="F94" i="4"/>
  <c r="F172" i="4"/>
  <c r="F132" i="4"/>
  <c r="F201" i="4"/>
  <c r="F202" i="4"/>
  <c r="F261" i="4"/>
  <c r="F89" i="4"/>
  <c r="F266" i="4"/>
  <c r="F78" i="4"/>
  <c r="F203" i="4"/>
  <c r="F171" i="4"/>
  <c r="F265" i="4"/>
  <c r="F54" i="4"/>
  <c r="F26" i="4"/>
  <c r="F37" i="4"/>
  <c r="F206" i="4"/>
  <c r="F53" i="4"/>
  <c r="F38" i="4"/>
  <c r="F96" i="4"/>
  <c r="F216" i="4"/>
  <c r="F39" i="4"/>
  <c r="F300" i="4"/>
  <c r="F59" i="4"/>
  <c r="F170" i="4"/>
  <c r="F262" i="4"/>
  <c r="F52" i="4"/>
  <c r="F221" i="4"/>
  <c r="F51" i="4"/>
  <c r="F88" i="4"/>
  <c r="F11" i="4"/>
  <c r="F58" i="4"/>
  <c r="F36" i="4"/>
  <c r="F121" i="4"/>
  <c r="F41" i="4"/>
  <c r="F57" i="4"/>
  <c r="F12" i="4"/>
  <c r="F50" i="4"/>
  <c r="F270" i="4"/>
  <c r="F116" i="4"/>
  <c r="F55" i="4"/>
  <c r="F103" i="4"/>
  <c r="F109" i="4"/>
  <c r="F10" i="4"/>
  <c r="F60" i="4"/>
  <c r="F104" i="4"/>
  <c r="F107" i="4"/>
  <c r="F76" i="4"/>
  <c r="F115" i="4"/>
  <c r="F108" i="4"/>
  <c r="F105" i="4"/>
  <c r="F106" i="4"/>
  <c r="F303" i="4"/>
  <c r="F304" i="4"/>
  <c r="F317" i="4"/>
  <c r="F318" i="4"/>
  <c r="F310" i="4"/>
  <c r="F311" i="4"/>
  <c r="F312" i="4"/>
  <c r="F313" i="4"/>
  <c r="F309" i="4"/>
  <c r="F314" i="4"/>
  <c r="F315" i="4"/>
  <c r="F307" i="4"/>
  <c r="F316" i="4"/>
  <c r="F305" i="4"/>
  <c r="F306" i="4"/>
  <c r="F349" i="4"/>
  <c r="F333" i="4"/>
  <c r="F331" i="4"/>
  <c r="F332" i="4"/>
  <c r="F350" i="4"/>
  <c r="F348" i="4"/>
  <c r="F344" i="4"/>
  <c r="F336" i="4"/>
  <c r="F340" i="4"/>
  <c r="F341" i="4"/>
  <c r="F347" i="4"/>
  <c r="F351" i="4"/>
  <c r="F346" i="4"/>
  <c r="F321" i="4"/>
  <c r="F323" i="4"/>
  <c r="F324" i="4"/>
  <c r="F325" i="4"/>
  <c r="F319" i="4"/>
  <c r="F343" i="4"/>
  <c r="F338" i="4"/>
  <c r="F342" i="4"/>
  <c r="F326" i="4"/>
  <c r="F327" i="4"/>
  <c r="F328" i="4"/>
  <c r="F329" i="4"/>
  <c r="F330" i="4"/>
  <c r="F345" i="4"/>
  <c r="F322" i="4"/>
  <c r="F334" i="4"/>
  <c r="F335" i="4"/>
  <c r="F337" i="4"/>
  <c r="F339" i="4"/>
  <c r="F320" i="4"/>
  <c r="F357" i="4"/>
  <c r="F358" i="4"/>
  <c r="F372" i="4"/>
  <c r="F373" i="4"/>
  <c r="F355" i="4"/>
  <c r="F359" i="4"/>
  <c r="F360" i="4"/>
  <c r="F365" i="4"/>
  <c r="F356" i="4"/>
  <c r="F366" i="4"/>
  <c r="F367" i="4"/>
  <c r="F368" i="4"/>
  <c r="F361" i="4"/>
  <c r="F363" i="4"/>
  <c r="F362" i="4"/>
  <c r="F369" i="4"/>
  <c r="F370" i="4"/>
  <c r="F371" i="4"/>
  <c r="F352" i="4"/>
  <c r="F364" i="4"/>
  <c r="F353" i="4"/>
  <c r="F354" i="4"/>
  <c r="F374" i="4"/>
  <c r="F375" i="4"/>
  <c r="F376" i="4"/>
  <c r="F377" i="4"/>
  <c r="F378" i="4"/>
  <c r="F379" i="4"/>
  <c r="F380" i="4"/>
  <c r="F381" i="4"/>
  <c r="F383" i="4"/>
  <c r="F382" i="4"/>
  <c r="F385" i="4"/>
  <c r="F407" i="4"/>
  <c r="F404" i="4"/>
  <c r="F393" i="4"/>
  <c r="F403" i="4"/>
  <c r="F394" i="4"/>
  <c r="F395" i="4"/>
  <c r="F396" i="4"/>
  <c r="F397" i="4"/>
  <c r="F416" i="4"/>
  <c r="F408" i="4"/>
  <c r="F412" i="4"/>
  <c r="F409" i="4"/>
  <c r="F410" i="4"/>
  <c r="F398" i="4"/>
  <c r="F400" i="4"/>
  <c r="F401" i="4"/>
  <c r="F415" i="4"/>
  <c r="F405" i="4"/>
  <c r="F411" i="4"/>
  <c r="F402" i="4"/>
  <c r="F392" i="4"/>
  <c r="F413" i="4"/>
  <c r="F414" i="4"/>
  <c r="F406" i="4"/>
  <c r="F399" i="4"/>
  <c r="E2" i="12"/>
  <c r="C2" i="12"/>
  <c r="E235" i="4"/>
  <c r="E169" i="4"/>
  <c r="E219" i="4"/>
  <c r="E102" i="4"/>
  <c r="E175" i="4"/>
  <c r="E176" i="4"/>
  <c r="E177" i="4"/>
  <c r="E136" i="4"/>
  <c r="E209" i="4"/>
  <c r="E137" i="4"/>
  <c r="E138" i="4"/>
  <c r="E179" i="4"/>
  <c r="E91" i="4"/>
  <c r="E181" i="4"/>
  <c r="E182" i="4"/>
  <c r="E120" i="4"/>
  <c r="E111" i="4"/>
  <c r="E61" i="4"/>
  <c r="E142" i="4"/>
  <c r="E127" i="4"/>
  <c r="E87" i="4"/>
  <c r="E25" i="4"/>
  <c r="E90" i="4"/>
  <c r="E178" i="4"/>
  <c r="E236" i="4"/>
  <c r="E240" i="4"/>
  <c r="E113" i="4"/>
  <c r="E117" i="4"/>
  <c r="E62" i="4"/>
  <c r="E253" i="4"/>
  <c r="E69" i="4"/>
  <c r="E70" i="4"/>
  <c r="E74" i="4"/>
  <c r="E228" i="4"/>
  <c r="E75" i="4"/>
  <c r="E46" i="4"/>
  <c r="E207" i="4"/>
  <c r="E31" i="4"/>
  <c r="E2" i="4"/>
  <c r="E114" i="4"/>
  <c r="E189" i="4"/>
  <c r="E224" i="4"/>
  <c r="E5" i="4"/>
  <c r="E208" i="4"/>
  <c r="E158" i="4"/>
  <c r="E217" i="4"/>
  <c r="E100" i="4"/>
  <c r="E101" i="4"/>
  <c r="E135" i="4"/>
  <c r="E143" i="4"/>
  <c r="E145" i="4"/>
  <c r="E146" i="4"/>
  <c r="E192" i="4"/>
  <c r="E149" i="4"/>
  <c r="E150" i="4"/>
  <c r="E227" i="4"/>
  <c r="E151" i="4"/>
  <c r="E152" i="4"/>
  <c r="E153" i="4"/>
  <c r="E47" i="4"/>
  <c r="E48" i="4"/>
  <c r="E197" i="4"/>
  <c r="E198" i="4"/>
  <c r="E162" i="4"/>
  <c r="E92" i="4"/>
  <c r="E73" i="4"/>
  <c r="E263" i="4"/>
  <c r="E211" i="4"/>
  <c r="E212" i="4"/>
  <c r="E213" i="4"/>
  <c r="E214" i="4"/>
  <c r="E215" i="4"/>
  <c r="E233" i="4"/>
  <c r="E234" i="4"/>
  <c r="E268" i="4"/>
  <c r="E291" i="4"/>
  <c r="E292" i="4"/>
  <c r="E249" i="4"/>
  <c r="E93" i="4"/>
  <c r="E239" i="4"/>
  <c r="E301" i="4"/>
  <c r="E71" i="4"/>
  <c r="E72" i="4"/>
  <c r="E280" i="4"/>
  <c r="E118" i="4"/>
  <c r="E289" i="4"/>
  <c r="E126" i="4"/>
  <c r="E190" i="4"/>
  <c r="E129" i="4"/>
  <c r="E255" i="4"/>
  <c r="E274" i="4"/>
  <c r="E281" i="4"/>
  <c r="E257" i="4"/>
  <c r="E258" i="4"/>
  <c r="E205" i="4"/>
  <c r="E64" i="4"/>
  <c r="E251" i="4"/>
  <c r="E42" i="4"/>
  <c r="E43" i="4"/>
  <c r="E44" i="4"/>
  <c r="E7" i="4"/>
  <c r="E8" i="4"/>
  <c r="E191" i="4"/>
  <c r="E147" i="4"/>
  <c r="E210" i="4"/>
  <c r="E196" i="4"/>
  <c r="E199" i="4"/>
  <c r="E165" i="4"/>
  <c r="E272" i="4"/>
  <c r="E248" i="4"/>
  <c r="E222" i="4"/>
  <c r="E33" i="4"/>
  <c r="E34" i="4"/>
  <c r="E252" i="4"/>
  <c r="E9" i="4"/>
  <c r="E243" i="4"/>
  <c r="E279" i="4"/>
  <c r="E6" i="4"/>
  <c r="E287" i="4"/>
  <c r="E45" i="4"/>
  <c r="E273" i="4"/>
  <c r="E269" i="4"/>
  <c r="E296" i="4"/>
  <c r="E98" i="4"/>
  <c r="E247" i="4"/>
  <c r="E259" i="4"/>
  <c r="E49" i="4"/>
  <c r="E200" i="4"/>
  <c r="E30" i="4"/>
  <c r="E112" i="4"/>
  <c r="E148" i="4"/>
  <c r="E154" i="4"/>
  <c r="E218" i="4"/>
  <c r="E166" i="4"/>
  <c r="E167" i="4"/>
  <c r="E168" i="4"/>
  <c r="E80" i="4"/>
  <c r="E298" i="4"/>
  <c r="E81" i="4"/>
  <c r="E299" i="4"/>
  <c r="E3" i="4"/>
  <c r="E254" i="4"/>
  <c r="E204" i="4"/>
  <c r="E260" i="4"/>
  <c r="E225" i="4"/>
  <c r="E85" i="4"/>
  <c r="E185" i="4"/>
  <c r="E187" i="4"/>
  <c r="E295" i="4"/>
  <c r="E226" i="4"/>
  <c r="E124" i="4"/>
  <c r="E125" i="4"/>
  <c r="E94" i="4"/>
  <c r="E172" i="4"/>
  <c r="E132" i="4"/>
  <c r="E201" i="4"/>
  <c r="E202" i="4"/>
  <c r="E261" i="4"/>
  <c r="E89" i="4"/>
  <c r="E266" i="4"/>
  <c r="E78" i="4"/>
  <c r="E203" i="4"/>
  <c r="E171" i="4"/>
  <c r="E265" i="4"/>
  <c r="E54" i="4"/>
  <c r="E26" i="4"/>
  <c r="E37" i="4"/>
  <c r="E206" i="4"/>
  <c r="E53" i="4"/>
  <c r="E38" i="4"/>
  <c r="E96" i="4"/>
  <c r="E216" i="4"/>
  <c r="E39" i="4"/>
  <c r="E300" i="4"/>
  <c r="E59" i="4"/>
  <c r="E170" i="4"/>
  <c r="E262" i="4"/>
  <c r="E52" i="4"/>
  <c r="E221" i="4"/>
  <c r="E51" i="4"/>
  <c r="E88" i="4"/>
  <c r="E11" i="4"/>
  <c r="E58" i="4"/>
  <c r="E36" i="4"/>
  <c r="E121" i="4"/>
  <c r="E41" i="4"/>
  <c r="E57" i="4"/>
  <c r="E12" i="4"/>
  <c r="E50" i="4"/>
  <c r="E270" i="4"/>
  <c r="E116" i="4"/>
  <c r="E55" i="4"/>
  <c r="E103" i="4"/>
  <c r="E109" i="4"/>
  <c r="E10" i="4"/>
  <c r="E60" i="4"/>
  <c r="E104" i="4"/>
  <c r="E107" i="4"/>
  <c r="E76" i="4"/>
  <c r="E115" i="4"/>
  <c r="E108" i="4"/>
  <c r="E105" i="4"/>
  <c r="E106" i="4"/>
  <c r="E303" i="4"/>
  <c r="E304" i="4"/>
  <c r="E317" i="4"/>
  <c r="E318" i="4"/>
  <c r="E310" i="4"/>
  <c r="E311" i="4"/>
  <c r="E312" i="4"/>
  <c r="E313" i="4"/>
  <c r="E309" i="4"/>
  <c r="E314" i="4"/>
  <c r="E315" i="4"/>
  <c r="E307" i="4"/>
  <c r="E316" i="4"/>
  <c r="E305" i="4"/>
  <c r="E306" i="4"/>
  <c r="E349" i="4"/>
  <c r="E333" i="4"/>
  <c r="E331" i="4"/>
  <c r="E332" i="4"/>
  <c r="E350" i="4"/>
  <c r="E348" i="4"/>
  <c r="E344" i="4"/>
  <c r="E336" i="4"/>
  <c r="E340" i="4"/>
  <c r="E341" i="4"/>
  <c r="E347" i="4"/>
  <c r="E351" i="4"/>
  <c r="E346" i="4"/>
  <c r="E321" i="4"/>
  <c r="E323" i="4"/>
  <c r="E324" i="4"/>
  <c r="E325" i="4"/>
  <c r="E319" i="4"/>
  <c r="E343" i="4"/>
  <c r="E338" i="4"/>
  <c r="E342" i="4"/>
  <c r="E326" i="4"/>
  <c r="E327" i="4"/>
  <c r="E328" i="4"/>
  <c r="E329" i="4"/>
  <c r="E330" i="4"/>
  <c r="E345" i="4"/>
  <c r="E322" i="4"/>
  <c r="E334" i="4"/>
  <c r="E335" i="4"/>
  <c r="E337" i="4"/>
  <c r="E339" i="4"/>
  <c r="E320" i="4"/>
  <c r="E357" i="4"/>
  <c r="E358" i="4"/>
  <c r="E372" i="4"/>
  <c r="E373" i="4"/>
  <c r="E355" i="4"/>
  <c r="E359" i="4"/>
  <c r="E360" i="4"/>
  <c r="E365" i="4"/>
  <c r="E356" i="4"/>
  <c r="E366" i="4"/>
  <c r="E367" i="4"/>
  <c r="E368" i="4"/>
  <c r="E361" i="4"/>
  <c r="E363" i="4"/>
  <c r="E362" i="4"/>
  <c r="E369" i="4"/>
  <c r="E370" i="4"/>
  <c r="E371" i="4"/>
  <c r="E352" i="4"/>
  <c r="E364" i="4"/>
  <c r="E353" i="4"/>
  <c r="E354" i="4"/>
  <c r="E374" i="4"/>
  <c r="E375" i="4"/>
  <c r="E376" i="4"/>
  <c r="E377" i="4"/>
  <c r="E378" i="4"/>
  <c r="E379" i="4"/>
  <c r="E380" i="4"/>
  <c r="E381" i="4"/>
  <c r="E383" i="4"/>
  <c r="E382" i="4"/>
  <c r="E385" i="4"/>
  <c r="E407" i="4"/>
  <c r="E404" i="4"/>
  <c r="E393" i="4"/>
  <c r="E403" i="4"/>
  <c r="E394" i="4"/>
  <c r="E395" i="4"/>
  <c r="E396" i="4"/>
  <c r="E397" i="4"/>
  <c r="E416" i="4"/>
  <c r="E408" i="4"/>
  <c r="E412" i="4"/>
  <c r="E409" i="4"/>
  <c r="E410" i="4"/>
  <c r="E398" i="4"/>
  <c r="E400" i="4"/>
  <c r="E401" i="4"/>
  <c r="E415" i="4"/>
  <c r="E405" i="4"/>
  <c r="E411" i="4"/>
  <c r="E402" i="4"/>
  <c r="E392" i="4"/>
  <c r="E413" i="4"/>
  <c r="E414" i="4"/>
  <c r="E406" i="4"/>
  <c r="E399" i="4"/>
  <c r="D2" i="12"/>
  <c r="F2" i="12"/>
  <c r="I174" i="4"/>
  <c r="I35" i="4"/>
  <c r="I244" i="4"/>
  <c r="I230" i="4"/>
  <c r="I119" i="4"/>
  <c r="I173" i="4"/>
  <c r="I175" i="4"/>
  <c r="I176" i="4"/>
  <c r="I177" i="4"/>
  <c r="I136" i="4"/>
  <c r="I209" i="4"/>
  <c r="I137" i="4"/>
  <c r="I138" i="4"/>
  <c r="I179" i="4"/>
  <c r="I293" i="4"/>
  <c r="I181" i="4"/>
  <c r="I182" i="4"/>
  <c r="I120" i="4"/>
  <c r="I111" i="4"/>
  <c r="I61" i="4"/>
  <c r="I284" i="4"/>
  <c r="I285" i="4"/>
  <c r="I286" i="4"/>
  <c r="I142" i="4"/>
  <c r="I241" i="4"/>
  <c r="I278" i="4"/>
  <c r="I290" i="4"/>
  <c r="I127" i="4"/>
  <c r="I282" i="4"/>
  <c r="I25" i="4"/>
  <c r="I302" i="4"/>
  <c r="I90" i="4"/>
  <c r="I178" i="4"/>
  <c r="I236" i="4"/>
  <c r="I237" i="4"/>
  <c r="I240" i="4"/>
  <c r="I242" i="4"/>
  <c r="I283" i="4"/>
  <c r="I113" i="4"/>
  <c r="I117" i="4"/>
  <c r="I250" i="4"/>
  <c r="I29" i="4"/>
  <c r="I79" i="4"/>
  <c r="I123" i="4"/>
  <c r="I83" i="4"/>
  <c r="I84" i="4"/>
  <c r="I253" i="4"/>
  <c r="I70" i="4"/>
  <c r="I131" i="4"/>
  <c r="I74" i="4"/>
  <c r="I155" i="4"/>
  <c r="I193" i="4"/>
  <c r="I288" i="4"/>
  <c r="I228" i="4"/>
  <c r="I245" i="4"/>
  <c r="I180" i="4"/>
  <c r="I82" i="4"/>
  <c r="I256" i="4"/>
  <c r="I46" i="4"/>
  <c r="I207" i="4"/>
  <c r="I220" i="4"/>
  <c r="I22" i="4"/>
  <c r="I77" i="4"/>
  <c r="I223" i="4"/>
  <c r="I31" i="4"/>
  <c r="I184" i="4"/>
  <c r="I114" i="4"/>
  <c r="I189" i="4"/>
  <c r="I224" i="4"/>
  <c r="I157" i="4"/>
  <c r="I194" i="4"/>
  <c r="I229" i="4"/>
  <c r="I163" i="4"/>
  <c r="I208" i="4"/>
  <c r="I110" i="4"/>
  <c r="I63" i="4"/>
  <c r="I97" i="4"/>
  <c r="I144" i="4"/>
  <c r="I246" i="4"/>
  <c r="I267" i="4"/>
  <c r="I139" i="4"/>
  <c r="I156" i="4"/>
  <c r="I158" i="4"/>
  <c r="I160" i="4"/>
  <c r="I217" i="4"/>
  <c r="I100" i="4"/>
  <c r="I101" i="4"/>
  <c r="I135" i="4"/>
  <c r="I140" i="4"/>
  <c r="I143" i="4"/>
  <c r="I122" i="4"/>
  <c r="I188" i="4"/>
  <c r="I145" i="4"/>
  <c r="I146" i="4"/>
  <c r="I192" i="4"/>
  <c r="I149" i="4"/>
  <c r="I227" i="4"/>
  <c r="I151" i="4"/>
  <c r="I153" i="4"/>
  <c r="I47" i="4"/>
  <c r="I48" i="4"/>
  <c r="I197" i="4"/>
  <c r="I198" i="4"/>
  <c r="I162" i="4"/>
  <c r="I92" i="4"/>
  <c r="I73" i="4"/>
  <c r="I263" i="4"/>
  <c r="I211" i="4"/>
  <c r="I213" i="4"/>
  <c r="I214" i="4"/>
  <c r="I215" i="4"/>
  <c r="I234" i="4"/>
  <c r="I268" i="4"/>
  <c r="I292" i="4"/>
  <c r="I249" i="4"/>
  <c r="I93" i="4"/>
  <c r="I239" i="4"/>
  <c r="I301" i="4"/>
  <c r="I71" i="4"/>
  <c r="I72" i="4"/>
  <c r="I280" i="4"/>
  <c r="I118" i="4"/>
  <c r="I289" i="4"/>
  <c r="I126" i="4"/>
  <c r="I190" i="4"/>
  <c r="I129" i="4"/>
  <c r="I255" i="4"/>
  <c r="I274" i="4"/>
  <c r="I281" i="4"/>
  <c r="I257" i="4"/>
  <c r="I258" i="4"/>
  <c r="I205" i="4"/>
  <c r="I64" i="4"/>
  <c r="I251" i="4"/>
  <c r="I42" i="4"/>
  <c r="I43" i="4"/>
  <c r="I44" i="4"/>
  <c r="I191" i="4"/>
  <c r="I147" i="4"/>
  <c r="I210" i="4"/>
  <c r="I196" i="4"/>
  <c r="I199" i="4"/>
  <c r="I165" i="4"/>
  <c r="I272" i="4"/>
  <c r="I248" i="4"/>
  <c r="I252" i="4"/>
  <c r="I128" i="4"/>
  <c r="I243" i="4"/>
  <c r="I279" i="4"/>
  <c r="I287" i="4"/>
  <c r="I45" i="4"/>
  <c r="I273" i="4"/>
  <c r="I269" i="4"/>
  <c r="I98" i="4"/>
  <c r="I247" i="4"/>
  <c r="I259" i="4"/>
  <c r="I49" i="4"/>
  <c r="I200" i="4"/>
  <c r="I112" i="4"/>
  <c r="I148" i="4"/>
  <c r="I218" i="4"/>
  <c r="I166" i="4"/>
  <c r="I167" i="4"/>
  <c r="I168" i="4"/>
  <c r="I298" i="4"/>
  <c r="I299" i="4"/>
  <c r="I130" i="4"/>
  <c r="I3" i="4"/>
  <c r="I254" i="4"/>
  <c r="I204" i="4"/>
  <c r="I260" i="4"/>
  <c r="I225" i="4"/>
  <c r="I295" i="4"/>
  <c r="I124" i="4"/>
  <c r="I125" i="4"/>
  <c r="I238" i="4"/>
  <c r="I94" i="4"/>
  <c r="I172" i="4"/>
  <c r="I132" i="4"/>
  <c r="I201" i="4"/>
  <c r="I202" i="4"/>
  <c r="I261" i="4"/>
  <c r="I186" i="4"/>
  <c r="I89" i="4"/>
  <c r="I266" i="4"/>
  <c r="I78" i="4"/>
  <c r="I203" i="4"/>
  <c r="I265" i="4"/>
  <c r="I54" i="4"/>
  <c r="I26" i="4"/>
  <c r="I37" i="4"/>
  <c r="I206" i="4"/>
  <c r="I53" i="4"/>
  <c r="I38" i="4"/>
  <c r="I264" i="4"/>
  <c r="I96" i="4"/>
  <c r="I216" i="4"/>
  <c r="I39" i="4"/>
  <c r="I59" i="4"/>
  <c r="I170" i="4"/>
  <c r="I52" i="4"/>
  <c r="I221" i="4"/>
  <c r="I51" i="4"/>
  <c r="I88" i="4"/>
  <c r="I58" i="4"/>
  <c r="I183" i="4"/>
  <c r="I36" i="4"/>
  <c r="I121" i="4"/>
  <c r="I57" i="4"/>
  <c r="I12" i="4"/>
  <c r="I50" i="4"/>
  <c r="I270" i="4"/>
  <c r="I116" i="4"/>
  <c r="I55" i="4"/>
  <c r="I103" i="4"/>
  <c r="I109" i="4"/>
  <c r="I10" i="4"/>
  <c r="I60" i="4"/>
  <c r="I104" i="4"/>
  <c r="I107" i="4"/>
  <c r="I76" i="4"/>
  <c r="I115" i="4"/>
  <c r="I108" i="4"/>
  <c r="I105" i="4"/>
  <c r="H2" i="12"/>
  <c r="J2" i="12"/>
  <c r="M5" i="4"/>
  <c r="M7" i="4"/>
  <c r="M32" i="4"/>
  <c r="M33" i="4"/>
  <c r="M34" i="4"/>
  <c r="M9" i="4"/>
  <c r="M6" i="4"/>
  <c r="M21" i="4"/>
  <c r="M407" i="4"/>
  <c r="M404" i="4"/>
  <c r="M393" i="4"/>
  <c r="M403" i="4"/>
  <c r="M394" i="4"/>
  <c r="M395" i="4"/>
  <c r="M396" i="4"/>
  <c r="M397" i="4"/>
  <c r="M416" i="4"/>
  <c r="M408" i="4"/>
  <c r="M412" i="4"/>
  <c r="M409" i="4"/>
  <c r="M410" i="4"/>
  <c r="M398" i="4"/>
  <c r="M400" i="4"/>
  <c r="M401" i="4"/>
  <c r="M415" i="4"/>
  <c r="M405" i="4"/>
  <c r="M411" i="4"/>
  <c r="M402" i="4"/>
  <c r="M392" i="4"/>
  <c r="M413" i="4"/>
  <c r="M414" i="4"/>
  <c r="M406" i="4"/>
  <c r="M399" i="4"/>
  <c r="L2" i="12"/>
  <c r="N2" i="12"/>
  <c r="Q119" i="4"/>
  <c r="Q271" i="4"/>
  <c r="Q56" i="4"/>
  <c r="P2" i="12"/>
  <c r="R2" i="12"/>
  <c r="V2" i="12"/>
  <c r="Y340" i="4"/>
  <c r="Y354" i="4"/>
  <c r="B390" i="4"/>
  <c r="C390" i="4"/>
  <c r="B389" i="4"/>
  <c r="C389" i="4"/>
  <c r="B387" i="4"/>
  <c r="C387" i="4"/>
  <c r="C391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3" i="6"/>
  <c r="AH283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2" i="6"/>
  <c r="AH272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4" i="6"/>
  <c r="AH284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7" i="6"/>
  <c r="AH297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1" i="6"/>
  <c r="AH261" i="6"/>
  <c r="AG24" i="6"/>
  <c r="AH24" i="6"/>
  <c r="AG235" i="6"/>
  <c r="AH235" i="6"/>
  <c r="AG198" i="6"/>
  <c r="AH198" i="6"/>
  <c r="AG72" i="6"/>
  <c r="AH72" i="6"/>
  <c r="AG262" i="6"/>
  <c r="AH262" i="6"/>
  <c r="AG38" i="6"/>
  <c r="AH38" i="6"/>
  <c r="AG73" i="6"/>
  <c r="AH73" i="6"/>
  <c r="AG74" i="6"/>
  <c r="AH74" i="6"/>
  <c r="AG285" i="6"/>
  <c r="AH285" i="6"/>
  <c r="AG75" i="6"/>
  <c r="AH75" i="6"/>
  <c r="AG236" i="6"/>
  <c r="AH236" i="6"/>
  <c r="AG237" i="6"/>
  <c r="AH237" i="6"/>
  <c r="AG211" i="6"/>
  <c r="AH211" i="6"/>
  <c r="AG273" i="6"/>
  <c r="AH273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3" i="6"/>
  <c r="AH263" i="6"/>
  <c r="AG274" i="6"/>
  <c r="AH274" i="6"/>
  <c r="AG126" i="6"/>
  <c r="AH126" i="6"/>
  <c r="AG144" i="6"/>
  <c r="AH144" i="6"/>
  <c r="AG239" i="6"/>
  <c r="AH239" i="6"/>
  <c r="AG275" i="6"/>
  <c r="AH275" i="6"/>
  <c r="AG57" i="6"/>
  <c r="AH57" i="6"/>
  <c r="AG214" i="6"/>
  <c r="AH214" i="6"/>
  <c r="AG276" i="6"/>
  <c r="AH276" i="6"/>
  <c r="AG286" i="6"/>
  <c r="AH286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4" i="6"/>
  <c r="AH264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7" i="6"/>
  <c r="AH287" i="6"/>
  <c r="AG288" i="6"/>
  <c r="AH288" i="6"/>
  <c r="AG34" i="6"/>
  <c r="AH34" i="6"/>
  <c r="AG178" i="6"/>
  <c r="AH178" i="6"/>
  <c r="AG154" i="6"/>
  <c r="AH154" i="6"/>
  <c r="AG248" i="6"/>
  <c r="AH248" i="6"/>
  <c r="AG277" i="6"/>
  <c r="AH277" i="6"/>
  <c r="AG249" i="6"/>
  <c r="AH249" i="6"/>
  <c r="AG80" i="6"/>
  <c r="AH80" i="6"/>
  <c r="AG250" i="6"/>
  <c r="AH250" i="6"/>
  <c r="AG81" i="6"/>
  <c r="AH81" i="6"/>
  <c r="AG265" i="6"/>
  <c r="AH265" i="6"/>
  <c r="AG162" i="6"/>
  <c r="AH162" i="6"/>
  <c r="AG289" i="6"/>
  <c r="AH289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8" i="6"/>
  <c r="AH278" i="6"/>
  <c r="AG256" i="6"/>
  <c r="AH256" i="6"/>
  <c r="AG257" i="6"/>
  <c r="AH257" i="6"/>
  <c r="AG266" i="6"/>
  <c r="AH266" i="6"/>
  <c r="AG267" i="6"/>
  <c r="AH267" i="6"/>
  <c r="AG268" i="6"/>
  <c r="AH268" i="6"/>
  <c r="AG279" i="6"/>
  <c r="AH279" i="6"/>
  <c r="AG280" i="6"/>
  <c r="AH280" i="6"/>
  <c r="AG281" i="6"/>
  <c r="AH281" i="6"/>
  <c r="AG282" i="6"/>
  <c r="AH282" i="6"/>
  <c r="AG227" i="6"/>
  <c r="AH227" i="6"/>
  <c r="AG157" i="6"/>
  <c r="AH157" i="6"/>
  <c r="AG35" i="6"/>
  <c r="AH35" i="6"/>
  <c r="AG151" i="6"/>
  <c r="AH151" i="6"/>
  <c r="AG290" i="6"/>
  <c r="AH290" i="6"/>
  <c r="AG269" i="6"/>
  <c r="AH269" i="6"/>
  <c r="AG270" i="6"/>
  <c r="AH270" i="6"/>
  <c r="AG122" i="6"/>
  <c r="AH122" i="6"/>
  <c r="AG228" i="6"/>
  <c r="AH228" i="6"/>
  <c r="AG229" i="6"/>
  <c r="AH229" i="6"/>
  <c r="AG230" i="6"/>
  <c r="AH230" i="6"/>
  <c r="AG258" i="6"/>
  <c r="AH258" i="6"/>
  <c r="AG271" i="6"/>
  <c r="AH271" i="6"/>
  <c r="AG231" i="6"/>
  <c r="AH231" i="6"/>
  <c r="AG83" i="6"/>
  <c r="AH83" i="6"/>
  <c r="AG84" i="6"/>
  <c r="AH84" i="6"/>
  <c r="AG63" i="6"/>
  <c r="AH63" i="6"/>
  <c r="AG60" i="6"/>
  <c r="AH60" i="6"/>
  <c r="AG291" i="6"/>
  <c r="AH291" i="6"/>
  <c r="AG292" i="6"/>
  <c r="AH292" i="6"/>
  <c r="AG293" i="6"/>
  <c r="AH293" i="6"/>
  <c r="AG294" i="6"/>
  <c r="AH294" i="6"/>
  <c r="AG295" i="6"/>
  <c r="AH295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6" i="6"/>
  <c r="AH296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8" i="6"/>
  <c r="AH298" i="6"/>
  <c r="AG174" i="6"/>
  <c r="AH174" i="6"/>
  <c r="AG184" i="6"/>
  <c r="AH184" i="6"/>
  <c r="AG185" i="6"/>
  <c r="AH185" i="6"/>
  <c r="AG102" i="6"/>
  <c r="AH1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5" i="6"/>
  <c r="AH315" i="6"/>
  <c r="AG316" i="6"/>
  <c r="AH316" i="6"/>
  <c r="AG317" i="6"/>
  <c r="AH317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3" i="6"/>
  <c r="AH343" i="6"/>
  <c r="AG344" i="6"/>
  <c r="AH344" i="6"/>
  <c r="AG345" i="6"/>
  <c r="AH345" i="6"/>
  <c r="AG350" i="6"/>
  <c r="AH350" i="6"/>
  <c r="AG346" i="6"/>
  <c r="AH346" i="6"/>
  <c r="AG347" i="6"/>
  <c r="AH347" i="6"/>
  <c r="AG351" i="6"/>
  <c r="AH351" i="6"/>
  <c r="AG348" i="6"/>
  <c r="AH348" i="6"/>
  <c r="AG349" i="6"/>
  <c r="AH349" i="6"/>
  <c r="AG365" i="6"/>
  <c r="AH365" i="6"/>
  <c r="AG352" i="6"/>
  <c r="AH352" i="6"/>
  <c r="AG366" i="6"/>
  <c r="AH366" i="6"/>
  <c r="AG353" i="6"/>
  <c r="AH353" i="6"/>
  <c r="AG354" i="6"/>
  <c r="AH354" i="6"/>
  <c r="AG355" i="6"/>
  <c r="AH355" i="6"/>
  <c r="AG356" i="6"/>
  <c r="AH356" i="6"/>
  <c r="AG357" i="6"/>
  <c r="AH357" i="6"/>
  <c r="AG358" i="6"/>
  <c r="AH358" i="6"/>
  <c r="AG359" i="6"/>
  <c r="AH359" i="6"/>
  <c r="AG360" i="6"/>
  <c r="AH360" i="6"/>
  <c r="AG367" i="6"/>
  <c r="AH367" i="6"/>
  <c r="AG368" i="6"/>
  <c r="AH368" i="6"/>
  <c r="AG369" i="6"/>
  <c r="AH369" i="6"/>
  <c r="AG370" i="6"/>
  <c r="AH370" i="6"/>
  <c r="AG371" i="6"/>
  <c r="AH371" i="6"/>
  <c r="AG372" i="6"/>
  <c r="AH372" i="6"/>
  <c r="AG373" i="6"/>
  <c r="AH373" i="6"/>
  <c r="AG361" i="6"/>
  <c r="AH361" i="6"/>
  <c r="AG362" i="6"/>
  <c r="AH362" i="6"/>
  <c r="AG363" i="6"/>
  <c r="AH363" i="6"/>
  <c r="AG364" i="6"/>
  <c r="AH364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2" i="6"/>
  <c r="AH382" i="6"/>
  <c r="AG383" i="6"/>
  <c r="AH383" i="6"/>
  <c r="AG384" i="6"/>
  <c r="AH384" i="6"/>
  <c r="AG388" i="6"/>
  <c r="AH388" i="6"/>
  <c r="AG391" i="6"/>
  <c r="AH391" i="6"/>
  <c r="AG387" i="6"/>
  <c r="AH387" i="6"/>
  <c r="AG390" i="6"/>
  <c r="AH390" i="6"/>
  <c r="AG389" i="6"/>
  <c r="AH389" i="6"/>
  <c r="AG415" i="6"/>
  <c r="AH415" i="6"/>
  <c r="AG393" i="6"/>
  <c r="AH393" i="6"/>
  <c r="AG414" i="6"/>
  <c r="AH414" i="6"/>
  <c r="AG413" i="6"/>
  <c r="AH413" i="6"/>
  <c r="AG396" i="6"/>
  <c r="AH396" i="6"/>
  <c r="AG397" i="6"/>
  <c r="AH397" i="6"/>
  <c r="AG398" i="6"/>
  <c r="AH398" i="6"/>
  <c r="AG399" i="6"/>
  <c r="AH399" i="6"/>
  <c r="AG400" i="6"/>
  <c r="AH400" i="6"/>
  <c r="AG395" i="6"/>
  <c r="AH395" i="6"/>
  <c r="AG411" i="6"/>
  <c r="AH411" i="6"/>
  <c r="AG401" i="6"/>
  <c r="AH401" i="6"/>
  <c r="AG402" i="6"/>
  <c r="AH402" i="6"/>
  <c r="AG403" i="6"/>
  <c r="AH403" i="6"/>
  <c r="AG404" i="6"/>
  <c r="AH404" i="6"/>
  <c r="AG405" i="6"/>
  <c r="AH405" i="6"/>
  <c r="AG406" i="6"/>
  <c r="AH406" i="6"/>
  <c r="AG392" i="6"/>
  <c r="AH392" i="6"/>
  <c r="AG412" i="6"/>
  <c r="AH412" i="6"/>
  <c r="AG407" i="6"/>
  <c r="AH407" i="6"/>
  <c r="AG394" i="6"/>
  <c r="AH394" i="6"/>
  <c r="AG416" i="6"/>
  <c r="AH416" i="6"/>
  <c r="AG408" i="6"/>
  <c r="AH408" i="6"/>
  <c r="AG409" i="6"/>
  <c r="AH409" i="6"/>
  <c r="AG410" i="6"/>
  <c r="AH410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3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2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4" i="6"/>
  <c r="AF234" i="6"/>
  <c r="AF196" i="6"/>
  <c r="AF142" i="6"/>
  <c r="AF175" i="6"/>
  <c r="AF176" i="6"/>
  <c r="AF131" i="6"/>
  <c r="AF12" i="6"/>
  <c r="AF297" i="6"/>
  <c r="AF197" i="6"/>
  <c r="AF209" i="6"/>
  <c r="AF143" i="6"/>
  <c r="AF210" i="6"/>
  <c r="AF132" i="6"/>
  <c r="AF13" i="6"/>
  <c r="AF46" i="6"/>
  <c r="AF261" i="6"/>
  <c r="AF24" i="6"/>
  <c r="AF235" i="6"/>
  <c r="AF198" i="6"/>
  <c r="AF72" i="6"/>
  <c r="AF262" i="6"/>
  <c r="AF38" i="6"/>
  <c r="AF73" i="6"/>
  <c r="AF74" i="6"/>
  <c r="AF285" i="6"/>
  <c r="AF75" i="6"/>
  <c r="AF236" i="6"/>
  <c r="AF237" i="6"/>
  <c r="AF211" i="6"/>
  <c r="AF273" i="6"/>
  <c r="AF212" i="6"/>
  <c r="AF133" i="6"/>
  <c r="AF76" i="6"/>
  <c r="AF213" i="6"/>
  <c r="AF25" i="6"/>
  <c r="AF135" i="6"/>
  <c r="AF238" i="6"/>
  <c r="AF161" i="6"/>
  <c r="AF77" i="6"/>
  <c r="AF263" i="6"/>
  <c r="AF274" i="6"/>
  <c r="AF126" i="6"/>
  <c r="AF144" i="6"/>
  <c r="AF239" i="6"/>
  <c r="AF275" i="6"/>
  <c r="AF57" i="6"/>
  <c r="AF214" i="6"/>
  <c r="AF276" i="6"/>
  <c r="AF286" i="6"/>
  <c r="AF118" i="6"/>
  <c r="AF119" i="6"/>
  <c r="AF14" i="6"/>
  <c r="AF120" i="6"/>
  <c r="AF199" i="6"/>
  <c r="AF153" i="6"/>
  <c r="AF215" i="6"/>
  <c r="AF200" i="6"/>
  <c r="AF26" i="6"/>
  <c r="AF264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7" i="6"/>
  <c r="AF288" i="6"/>
  <c r="AF34" i="6"/>
  <c r="AF178" i="6"/>
  <c r="AF154" i="6"/>
  <c r="AF248" i="6"/>
  <c r="AF277" i="6"/>
  <c r="AF249" i="6"/>
  <c r="AF80" i="6"/>
  <c r="AF250" i="6"/>
  <c r="AF81" i="6"/>
  <c r="AF265" i="6"/>
  <c r="AF162" i="6"/>
  <c r="AF289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8" i="6"/>
  <c r="AF256" i="6"/>
  <c r="AF257" i="6"/>
  <c r="AF266" i="6"/>
  <c r="AF267" i="6"/>
  <c r="AF268" i="6"/>
  <c r="AF279" i="6"/>
  <c r="AF280" i="6"/>
  <c r="AF281" i="6"/>
  <c r="AF282" i="6"/>
  <c r="AF227" i="6"/>
  <c r="AF157" i="6"/>
  <c r="AF35" i="6"/>
  <c r="AF151" i="6"/>
  <c r="AF290" i="6"/>
  <c r="AF269" i="6"/>
  <c r="AF270" i="6"/>
  <c r="AF122" i="6"/>
  <c r="AF228" i="6"/>
  <c r="AF229" i="6"/>
  <c r="AF230" i="6"/>
  <c r="AF258" i="6"/>
  <c r="AF271" i="6"/>
  <c r="AF231" i="6"/>
  <c r="AF83" i="6"/>
  <c r="AF84" i="6"/>
  <c r="AF63" i="6"/>
  <c r="AF60" i="6"/>
  <c r="AF291" i="6"/>
  <c r="AF292" i="6"/>
  <c r="AF293" i="6"/>
  <c r="AF294" i="6"/>
  <c r="AF295" i="6"/>
  <c r="AF171" i="6"/>
  <c r="AF172" i="6"/>
  <c r="AF181" i="6"/>
  <c r="AF158" i="6"/>
  <c r="AF173" i="6"/>
  <c r="AF259" i="6"/>
  <c r="AF296" i="6"/>
  <c r="AF61" i="6"/>
  <c r="AF15" i="6"/>
  <c r="AF16" i="6"/>
  <c r="AF17" i="6"/>
  <c r="AF18" i="6"/>
  <c r="AF19" i="6"/>
  <c r="AF20" i="6"/>
  <c r="AF182" i="6"/>
  <c r="AF36" i="6"/>
  <c r="AF183" i="6"/>
  <c r="AF298" i="6"/>
  <c r="AF174" i="6"/>
  <c r="AF184" i="6"/>
  <c r="AF185" i="6"/>
  <c r="AF1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50" i="6"/>
  <c r="AF346" i="6"/>
  <c r="AF347" i="6"/>
  <c r="AF351" i="6"/>
  <c r="AF348" i="6"/>
  <c r="AF349" i="6"/>
  <c r="AF365" i="6"/>
  <c r="AF352" i="6"/>
  <c r="AF366" i="6"/>
  <c r="AF353" i="6"/>
  <c r="AF354" i="6"/>
  <c r="AF355" i="6"/>
  <c r="AF356" i="6"/>
  <c r="AF357" i="6"/>
  <c r="AF358" i="6"/>
  <c r="AF359" i="6"/>
  <c r="AF360" i="6"/>
  <c r="AF367" i="6"/>
  <c r="AF368" i="6"/>
  <c r="AF369" i="6"/>
  <c r="AF370" i="6"/>
  <c r="AF371" i="6"/>
  <c r="AF372" i="6"/>
  <c r="AF373" i="6"/>
  <c r="AF361" i="6"/>
  <c r="AF362" i="6"/>
  <c r="AF363" i="6"/>
  <c r="AF364" i="6"/>
  <c r="AF374" i="6"/>
  <c r="AF375" i="6"/>
  <c r="AF376" i="6"/>
  <c r="AF377" i="6"/>
  <c r="AF378" i="6"/>
  <c r="AF379" i="6"/>
  <c r="AF380" i="6"/>
  <c r="AF381" i="6"/>
  <c r="AF382" i="6"/>
  <c r="AF383" i="6"/>
  <c r="AF384" i="6"/>
  <c r="AF388" i="6"/>
  <c r="AF391" i="6"/>
  <c r="AF387" i="6"/>
  <c r="AF390" i="6"/>
  <c r="AF389" i="6"/>
  <c r="AF415" i="6"/>
  <c r="AF393" i="6"/>
  <c r="AF414" i="6"/>
  <c r="AF413" i="6"/>
  <c r="AF396" i="6"/>
  <c r="AF397" i="6"/>
  <c r="AF398" i="6"/>
  <c r="AF399" i="6"/>
  <c r="AF400" i="6"/>
  <c r="AF395" i="6"/>
  <c r="AF411" i="6"/>
  <c r="AF401" i="6"/>
  <c r="AF402" i="6"/>
  <c r="AF403" i="6"/>
  <c r="AF404" i="6"/>
  <c r="AF405" i="6"/>
  <c r="AF406" i="6"/>
  <c r="AF392" i="6"/>
  <c r="AF412" i="6"/>
  <c r="AF407" i="6"/>
  <c r="AF394" i="6"/>
  <c r="AF416" i="6"/>
  <c r="AF408" i="6"/>
  <c r="AF409" i="6"/>
  <c r="AF410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3" i="6"/>
  <c r="AC283" i="6"/>
  <c r="AD283" i="6"/>
  <c r="AE283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2" i="6"/>
  <c r="AC272" i="6"/>
  <c r="AD272" i="6"/>
  <c r="AE272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4" i="6"/>
  <c r="AC284" i="6"/>
  <c r="AD284" i="6"/>
  <c r="AE284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7" i="6"/>
  <c r="AC297" i="6"/>
  <c r="AD297" i="6"/>
  <c r="AE297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1" i="6"/>
  <c r="AC261" i="6"/>
  <c r="AD261" i="6"/>
  <c r="AE261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2" i="6"/>
  <c r="AC262" i="6"/>
  <c r="AD262" i="6"/>
  <c r="AE262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5" i="6"/>
  <c r="AC285" i="6"/>
  <c r="AD285" i="6"/>
  <c r="AE285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3" i="6"/>
  <c r="AC273" i="6"/>
  <c r="AD273" i="6"/>
  <c r="AE273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3" i="6"/>
  <c r="AC263" i="6"/>
  <c r="AD263" i="6"/>
  <c r="AE263" i="6"/>
  <c r="AB274" i="6"/>
  <c r="AC274" i="6"/>
  <c r="AD274" i="6"/>
  <c r="AE274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5" i="6"/>
  <c r="AC275" i="6"/>
  <c r="AD275" i="6"/>
  <c r="AE275" i="6"/>
  <c r="AB57" i="6"/>
  <c r="AC57" i="6"/>
  <c r="AD57" i="6"/>
  <c r="AE57" i="6"/>
  <c r="AB214" i="6"/>
  <c r="AC214" i="6"/>
  <c r="AD214" i="6"/>
  <c r="AE214" i="6"/>
  <c r="AB276" i="6"/>
  <c r="AC276" i="6"/>
  <c r="AD276" i="6"/>
  <c r="AE276" i="6"/>
  <c r="AB286" i="6"/>
  <c r="AC286" i="6"/>
  <c r="AD286" i="6"/>
  <c r="AE286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4" i="6"/>
  <c r="AC264" i="6"/>
  <c r="AD264" i="6"/>
  <c r="AE264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7" i="6"/>
  <c r="AC287" i="6"/>
  <c r="AD287" i="6"/>
  <c r="AE287" i="6"/>
  <c r="AB288" i="6"/>
  <c r="AC288" i="6"/>
  <c r="AD288" i="6"/>
  <c r="AE288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7" i="6"/>
  <c r="AC277" i="6"/>
  <c r="AD277" i="6"/>
  <c r="AE277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5" i="6"/>
  <c r="AC265" i="6"/>
  <c r="AD265" i="6"/>
  <c r="AE265" i="6"/>
  <c r="AB162" i="6"/>
  <c r="AC162" i="6"/>
  <c r="AD162" i="6"/>
  <c r="AE162" i="6"/>
  <c r="AB289" i="6"/>
  <c r="AC289" i="6"/>
  <c r="AD289" i="6"/>
  <c r="AE289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8" i="6"/>
  <c r="AC278" i="6"/>
  <c r="AD278" i="6"/>
  <c r="AE278" i="6"/>
  <c r="AB256" i="6"/>
  <c r="AC256" i="6"/>
  <c r="AD256" i="6"/>
  <c r="AE256" i="6"/>
  <c r="AB257" i="6"/>
  <c r="AC257" i="6"/>
  <c r="AD257" i="6"/>
  <c r="AE257" i="6"/>
  <c r="AB266" i="6"/>
  <c r="AC266" i="6"/>
  <c r="AD266" i="6"/>
  <c r="AE266" i="6"/>
  <c r="AB267" i="6"/>
  <c r="AC267" i="6"/>
  <c r="AD267" i="6"/>
  <c r="AE267" i="6"/>
  <c r="AB268" i="6"/>
  <c r="AC268" i="6"/>
  <c r="AD268" i="6"/>
  <c r="AE26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90" i="6"/>
  <c r="AC290" i="6"/>
  <c r="AD290" i="6"/>
  <c r="AE290" i="6"/>
  <c r="AB269" i="6"/>
  <c r="AC269" i="6"/>
  <c r="AD269" i="6"/>
  <c r="AE269" i="6"/>
  <c r="AB270" i="6"/>
  <c r="AC270" i="6"/>
  <c r="AD270" i="6"/>
  <c r="AE270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1" i="6"/>
  <c r="AC271" i="6"/>
  <c r="AD271" i="6"/>
  <c r="AE271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6" i="6"/>
  <c r="AC296" i="6"/>
  <c r="AD296" i="6"/>
  <c r="AE296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8" i="6"/>
  <c r="AC298" i="6"/>
  <c r="AD298" i="6"/>
  <c r="AE298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3" i="6"/>
  <c r="AC343" i="6"/>
  <c r="AD343" i="6"/>
  <c r="AE343" i="6"/>
  <c r="AB344" i="6"/>
  <c r="AC344" i="6"/>
  <c r="AD344" i="6"/>
  <c r="AE344" i="6"/>
  <c r="AB345" i="6"/>
  <c r="AC345" i="6"/>
  <c r="AD345" i="6"/>
  <c r="AE345" i="6"/>
  <c r="AB350" i="6"/>
  <c r="AC350" i="6"/>
  <c r="AD350" i="6"/>
  <c r="AE350" i="6"/>
  <c r="AB346" i="6"/>
  <c r="AC346" i="6"/>
  <c r="AD346" i="6"/>
  <c r="AE346" i="6"/>
  <c r="AB347" i="6"/>
  <c r="AC347" i="6"/>
  <c r="AD347" i="6"/>
  <c r="AE347" i="6"/>
  <c r="AB351" i="6"/>
  <c r="AC351" i="6"/>
  <c r="AD351" i="6"/>
  <c r="AE351" i="6"/>
  <c r="AB348" i="6"/>
  <c r="AC348" i="6"/>
  <c r="AD348" i="6"/>
  <c r="AE348" i="6"/>
  <c r="AB349" i="6"/>
  <c r="AC349" i="6"/>
  <c r="AD349" i="6"/>
  <c r="AE349" i="6"/>
  <c r="AB365" i="6"/>
  <c r="AC365" i="6"/>
  <c r="AD365" i="6"/>
  <c r="AE365" i="6"/>
  <c r="AB352" i="6"/>
  <c r="AC352" i="6"/>
  <c r="AD352" i="6"/>
  <c r="AE352" i="6"/>
  <c r="AB366" i="6"/>
  <c r="AC366" i="6"/>
  <c r="AD366" i="6"/>
  <c r="AE366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61" i="6"/>
  <c r="AC361" i="6"/>
  <c r="AD361" i="6"/>
  <c r="AE361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2" i="6"/>
  <c r="AC382" i="6"/>
  <c r="AD382" i="6"/>
  <c r="AE382" i="6"/>
  <c r="AB383" i="6"/>
  <c r="AC383" i="6"/>
  <c r="AD383" i="6"/>
  <c r="AE383" i="6"/>
  <c r="AB384" i="6"/>
  <c r="AC384" i="6"/>
  <c r="AD384" i="6"/>
  <c r="AE384" i="6"/>
  <c r="AB388" i="6"/>
  <c r="AC388" i="6"/>
  <c r="AD388" i="6"/>
  <c r="AE388" i="6"/>
  <c r="AB391" i="6"/>
  <c r="AC391" i="6"/>
  <c r="AD391" i="6"/>
  <c r="AE391" i="6"/>
  <c r="AB387" i="6"/>
  <c r="AC387" i="6"/>
  <c r="AD387" i="6"/>
  <c r="AE387" i="6"/>
  <c r="AB390" i="6"/>
  <c r="AC390" i="6"/>
  <c r="AD390" i="6"/>
  <c r="AE390" i="6"/>
  <c r="AB389" i="6"/>
  <c r="AC389" i="6"/>
  <c r="AD389" i="6"/>
  <c r="AE389" i="6"/>
  <c r="AB415" i="6"/>
  <c r="AC415" i="6"/>
  <c r="AD415" i="6"/>
  <c r="AE415" i="6"/>
  <c r="AB393" i="6"/>
  <c r="AC393" i="6"/>
  <c r="AD393" i="6"/>
  <c r="AE393" i="6"/>
  <c r="AB414" i="6"/>
  <c r="AC414" i="6"/>
  <c r="AD414" i="6"/>
  <c r="AE414" i="6"/>
  <c r="AB413" i="6"/>
  <c r="AC413" i="6"/>
  <c r="AD413" i="6"/>
  <c r="AE413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395" i="6"/>
  <c r="AC395" i="6"/>
  <c r="AD395" i="6"/>
  <c r="AE395" i="6"/>
  <c r="AB411" i="6"/>
  <c r="AC411" i="6"/>
  <c r="AD411" i="6"/>
  <c r="AE411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406" i="6"/>
  <c r="AC406" i="6"/>
  <c r="AD406" i="6"/>
  <c r="AE406" i="6"/>
  <c r="AB392" i="6"/>
  <c r="AC392" i="6"/>
  <c r="AD392" i="6"/>
  <c r="AE392" i="6"/>
  <c r="AB412" i="6"/>
  <c r="AC412" i="6"/>
  <c r="AD412" i="6"/>
  <c r="AE412" i="6"/>
  <c r="AB407" i="6"/>
  <c r="AC407" i="6"/>
  <c r="AD407" i="6"/>
  <c r="AE407" i="6"/>
  <c r="AB394" i="6"/>
  <c r="AC394" i="6"/>
  <c r="AD394" i="6"/>
  <c r="AE394" i="6"/>
  <c r="AB416" i="6"/>
  <c r="AC416" i="6"/>
  <c r="AD416" i="6"/>
  <c r="AE416" i="6"/>
  <c r="AB408" i="6"/>
  <c r="AC408" i="6"/>
  <c r="AD408" i="6"/>
  <c r="AE408" i="6"/>
  <c r="AB409" i="6"/>
  <c r="AC409" i="6"/>
  <c r="AD409" i="6"/>
  <c r="AE409" i="6"/>
  <c r="AB410" i="6"/>
  <c r="AC410" i="6"/>
  <c r="AD410" i="6"/>
  <c r="AE410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3" i="6"/>
  <c r="W283" i="6"/>
  <c r="X283" i="6"/>
  <c r="Y283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2" i="6"/>
  <c r="W272" i="6"/>
  <c r="X272" i="6"/>
  <c r="Y272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4" i="6"/>
  <c r="W284" i="6"/>
  <c r="X284" i="6"/>
  <c r="Y284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7" i="6"/>
  <c r="W297" i="6"/>
  <c r="X297" i="6"/>
  <c r="Y297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1" i="6"/>
  <c r="W261" i="6"/>
  <c r="X261" i="6"/>
  <c r="Y261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2" i="6"/>
  <c r="W262" i="6"/>
  <c r="X262" i="6"/>
  <c r="Y262" i="6"/>
  <c r="V38" i="6"/>
  <c r="W38" i="6"/>
  <c r="X38" i="6"/>
  <c r="Y38" i="6"/>
  <c r="V73" i="6"/>
  <c r="W73" i="6"/>
  <c r="X73" i="6"/>
  <c r="Y73" i="6"/>
  <c r="V74" i="6"/>
  <c r="W74" i="6"/>
  <c r="X74" i="6"/>
  <c r="Y74" i="6"/>
  <c r="V285" i="6"/>
  <c r="W285" i="6"/>
  <c r="X285" i="6"/>
  <c r="Y285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3" i="6"/>
  <c r="W273" i="6"/>
  <c r="X273" i="6"/>
  <c r="Y273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3" i="6"/>
  <c r="W263" i="6"/>
  <c r="X263" i="6"/>
  <c r="Y263" i="6"/>
  <c r="V274" i="6"/>
  <c r="W274" i="6"/>
  <c r="X274" i="6"/>
  <c r="Y274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5" i="6"/>
  <c r="W275" i="6"/>
  <c r="X275" i="6"/>
  <c r="Y275" i="6"/>
  <c r="V57" i="6"/>
  <c r="W57" i="6"/>
  <c r="X57" i="6"/>
  <c r="Y57" i="6"/>
  <c r="V214" i="6"/>
  <c r="W214" i="6"/>
  <c r="X214" i="6"/>
  <c r="Y214" i="6"/>
  <c r="V276" i="6"/>
  <c r="W276" i="6"/>
  <c r="X276" i="6"/>
  <c r="Y276" i="6"/>
  <c r="V286" i="6"/>
  <c r="W286" i="6"/>
  <c r="X286" i="6"/>
  <c r="Y286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4" i="6"/>
  <c r="W264" i="6"/>
  <c r="X264" i="6"/>
  <c r="Y264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7" i="6"/>
  <c r="W287" i="6"/>
  <c r="X287" i="6"/>
  <c r="Y287" i="6"/>
  <c r="V288" i="6"/>
  <c r="W288" i="6"/>
  <c r="X288" i="6"/>
  <c r="Y288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7" i="6"/>
  <c r="W277" i="6"/>
  <c r="X277" i="6"/>
  <c r="Y277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5" i="6"/>
  <c r="W265" i="6"/>
  <c r="X265" i="6"/>
  <c r="Y265" i="6"/>
  <c r="V162" i="6"/>
  <c r="W162" i="6"/>
  <c r="X162" i="6"/>
  <c r="Y162" i="6"/>
  <c r="V289" i="6"/>
  <c r="W289" i="6"/>
  <c r="X289" i="6"/>
  <c r="Y289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8" i="6"/>
  <c r="W278" i="6"/>
  <c r="X278" i="6"/>
  <c r="Y278" i="6"/>
  <c r="V256" i="6"/>
  <c r="W256" i="6"/>
  <c r="X256" i="6"/>
  <c r="Y256" i="6"/>
  <c r="V257" i="6"/>
  <c r="W257" i="6"/>
  <c r="X257" i="6"/>
  <c r="Y257" i="6"/>
  <c r="V266" i="6"/>
  <c r="W266" i="6"/>
  <c r="X266" i="6"/>
  <c r="Y266" i="6"/>
  <c r="V267" i="6"/>
  <c r="W267" i="6"/>
  <c r="X267" i="6"/>
  <c r="Y267" i="6"/>
  <c r="V268" i="6"/>
  <c r="W268" i="6"/>
  <c r="X268" i="6"/>
  <c r="Y26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90" i="6"/>
  <c r="W290" i="6"/>
  <c r="X290" i="6"/>
  <c r="Y290" i="6"/>
  <c r="V269" i="6"/>
  <c r="W269" i="6"/>
  <c r="X269" i="6"/>
  <c r="Y269" i="6"/>
  <c r="V270" i="6"/>
  <c r="W270" i="6"/>
  <c r="X270" i="6"/>
  <c r="Y270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1" i="6"/>
  <c r="W271" i="6"/>
  <c r="X271" i="6"/>
  <c r="Y271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6" i="6"/>
  <c r="W296" i="6"/>
  <c r="X296" i="6"/>
  <c r="Y296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8" i="6"/>
  <c r="W298" i="6"/>
  <c r="X298" i="6"/>
  <c r="Y298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50" i="6"/>
  <c r="W350" i="6"/>
  <c r="X350" i="6"/>
  <c r="Y350" i="6"/>
  <c r="V346" i="6"/>
  <c r="W346" i="6"/>
  <c r="X346" i="6"/>
  <c r="Y346" i="6"/>
  <c r="V347" i="6"/>
  <c r="W347" i="6"/>
  <c r="X347" i="6"/>
  <c r="Y347" i="6"/>
  <c r="V351" i="6"/>
  <c r="W351" i="6"/>
  <c r="X351" i="6"/>
  <c r="Y351" i="6"/>
  <c r="V348" i="6"/>
  <c r="W348" i="6"/>
  <c r="X348" i="6"/>
  <c r="Y348" i="6"/>
  <c r="V349" i="6"/>
  <c r="W349" i="6"/>
  <c r="X349" i="6"/>
  <c r="Y349" i="6"/>
  <c r="V365" i="6"/>
  <c r="W365" i="6"/>
  <c r="X365" i="6"/>
  <c r="Y365" i="6"/>
  <c r="V352" i="6"/>
  <c r="W352" i="6"/>
  <c r="X352" i="6"/>
  <c r="Y352" i="6"/>
  <c r="V366" i="6"/>
  <c r="W366" i="6"/>
  <c r="X366" i="6"/>
  <c r="Y366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61" i="6"/>
  <c r="W361" i="6"/>
  <c r="X361" i="6"/>
  <c r="Y361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8" i="6"/>
  <c r="W388" i="6"/>
  <c r="X388" i="6"/>
  <c r="Y388" i="6"/>
  <c r="V391" i="6"/>
  <c r="W391" i="6"/>
  <c r="X391" i="6"/>
  <c r="Y391" i="6"/>
  <c r="V387" i="6"/>
  <c r="W387" i="6"/>
  <c r="X387" i="6"/>
  <c r="Y387" i="6"/>
  <c r="V390" i="6"/>
  <c r="W390" i="6"/>
  <c r="X390" i="6"/>
  <c r="Y390" i="6"/>
  <c r="V389" i="6"/>
  <c r="W389" i="6"/>
  <c r="X389" i="6"/>
  <c r="Y389" i="6"/>
  <c r="V415" i="6"/>
  <c r="W415" i="6"/>
  <c r="X415" i="6"/>
  <c r="Y415" i="6"/>
  <c r="V393" i="6"/>
  <c r="W393" i="6"/>
  <c r="X393" i="6"/>
  <c r="Y393" i="6"/>
  <c r="V414" i="6"/>
  <c r="W414" i="6"/>
  <c r="X414" i="6"/>
  <c r="Y414" i="6"/>
  <c r="V413" i="6"/>
  <c r="W413" i="6"/>
  <c r="X413" i="6"/>
  <c r="Y413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395" i="6"/>
  <c r="W395" i="6"/>
  <c r="X395" i="6"/>
  <c r="Y395" i="6"/>
  <c r="V411" i="6"/>
  <c r="W411" i="6"/>
  <c r="X411" i="6"/>
  <c r="Y411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392" i="6"/>
  <c r="W392" i="6"/>
  <c r="X392" i="6"/>
  <c r="Y392" i="6"/>
  <c r="V412" i="6"/>
  <c r="W412" i="6"/>
  <c r="X412" i="6"/>
  <c r="Y412" i="6"/>
  <c r="V407" i="6"/>
  <c r="W407" i="6"/>
  <c r="X407" i="6"/>
  <c r="Y407" i="6"/>
  <c r="V394" i="6"/>
  <c r="W394" i="6"/>
  <c r="X394" i="6"/>
  <c r="Y394" i="6"/>
  <c r="V416" i="6"/>
  <c r="W416" i="6"/>
  <c r="X416" i="6"/>
  <c r="Y416" i="6"/>
  <c r="V408" i="6"/>
  <c r="W408" i="6"/>
  <c r="X408" i="6"/>
  <c r="Y408" i="6"/>
  <c r="V409" i="6"/>
  <c r="W409" i="6"/>
  <c r="X409" i="6"/>
  <c r="Y409" i="6"/>
  <c r="V410" i="6"/>
  <c r="W410" i="6"/>
  <c r="X410" i="6"/>
  <c r="Y410" i="6"/>
  <c r="C413" i="6"/>
  <c r="C155" i="6"/>
  <c r="C116" i="6"/>
  <c r="C115" i="6"/>
  <c r="C394" i="6"/>
  <c r="C329" i="6"/>
  <c r="C396" i="6"/>
  <c r="C404" i="6"/>
  <c r="C406" i="6"/>
  <c r="C134" i="6"/>
  <c r="C117" i="6"/>
  <c r="C289" i="6"/>
  <c r="C6" i="6"/>
  <c r="C34" i="6"/>
  <c r="C7" i="6"/>
  <c r="C393" i="6"/>
  <c r="C412" i="6"/>
  <c r="C175" i="6"/>
  <c r="C392" i="6"/>
  <c r="C283" i="6"/>
  <c r="C179" i="6"/>
  <c r="C224" i="6"/>
  <c r="C339" i="6"/>
  <c r="C129" i="6"/>
  <c r="C5" i="6"/>
  <c r="C4" i="6"/>
  <c r="C3" i="6"/>
  <c r="C344" i="6"/>
  <c r="C401" i="6"/>
  <c r="C409" i="6"/>
  <c r="C2" i="6"/>
  <c r="C114" i="6"/>
  <c r="C287" i="6"/>
  <c r="C337" i="6"/>
  <c r="C10" i="6"/>
  <c r="C376" i="6"/>
  <c r="C381" i="6"/>
  <c r="C374" i="6"/>
  <c r="C363" i="6"/>
  <c r="C416" i="6"/>
  <c r="C30" i="6"/>
  <c r="C153" i="6"/>
  <c r="C411" i="6"/>
  <c r="C40" i="6"/>
  <c r="C45" i="6"/>
  <c r="C395" i="6"/>
  <c r="C11" i="6"/>
  <c r="C200" i="6"/>
  <c r="C255" i="6"/>
  <c r="C362" i="6"/>
  <c r="C27" i="6"/>
  <c r="C415" i="6"/>
  <c r="C397" i="6"/>
  <c r="C399" i="6"/>
  <c r="C402" i="6"/>
  <c r="C403" i="6"/>
  <c r="C405" i="6"/>
  <c r="C410" i="6"/>
  <c r="C276" i="6"/>
  <c r="C288" i="6"/>
  <c r="C407" i="6"/>
  <c r="C274" i="6"/>
  <c r="C335" i="6"/>
  <c r="C29" i="6"/>
  <c r="C408" i="6"/>
  <c r="C26" i="6"/>
  <c r="C77" i="6"/>
  <c r="C86" i="6"/>
  <c r="C44" i="6"/>
  <c r="C19" i="6"/>
  <c r="C154" i="6"/>
  <c r="C39" i="6"/>
  <c r="C17" i="6"/>
  <c r="C135" i="6"/>
  <c r="C285" i="6"/>
  <c r="C286" i="6"/>
  <c r="C24" i="6"/>
  <c r="C256" i="6"/>
  <c r="C307" i="6"/>
  <c r="C400" i="6"/>
  <c r="C61" i="6"/>
  <c r="C296" i="6"/>
  <c r="C16" i="6"/>
  <c r="C18" i="6"/>
  <c r="C251" i="6"/>
  <c r="C12" i="6"/>
  <c r="C371" i="6"/>
  <c r="C414" i="6"/>
  <c r="C261" i="6"/>
  <c r="C388" i="6"/>
  <c r="C230" i="6"/>
  <c r="C364" i="6"/>
  <c r="C80" i="6"/>
  <c r="C238" i="6"/>
  <c r="C227" i="6"/>
  <c r="C131" i="6"/>
  <c r="C15" i="6"/>
  <c r="C25" i="6"/>
  <c r="C43" i="6"/>
  <c r="C20" i="6"/>
  <c r="C326" i="6"/>
  <c r="C398" i="6"/>
  <c r="C259" i="6"/>
  <c r="C68" i="6"/>
  <c r="C267" i="6"/>
  <c r="C306" i="6"/>
  <c r="C315" i="6"/>
  <c r="C305" i="6"/>
  <c r="C333" i="6"/>
  <c r="C160" i="6"/>
  <c r="C161" i="6"/>
  <c r="C235" i="6"/>
  <c r="C277" i="6"/>
  <c r="C35" i="6"/>
  <c r="C233" i="6"/>
  <c r="C378" i="6"/>
  <c r="C327" i="6"/>
  <c r="C232" i="6"/>
  <c r="C37" i="6"/>
  <c r="C189" i="6"/>
  <c r="C192" i="6"/>
  <c r="C221" i="6"/>
  <c r="C193" i="6"/>
  <c r="C194" i="6"/>
  <c r="C236" i="6"/>
  <c r="C178" i="6"/>
  <c r="C66" i="6"/>
  <c r="C282" i="6"/>
  <c r="C213" i="6"/>
  <c r="C151" i="6"/>
  <c r="C97" i="6"/>
  <c r="C141" i="6"/>
  <c r="C290" i="6"/>
  <c r="C268" i="6"/>
  <c r="C237" i="6"/>
  <c r="C248" i="6"/>
  <c r="C246" i="6"/>
  <c r="C191" i="6"/>
  <c r="C99" i="6"/>
  <c r="C214" i="6"/>
  <c r="C64" i="6"/>
  <c r="C391" i="6"/>
  <c r="C350" i="6"/>
  <c r="C132" i="6"/>
  <c r="C266" i="6"/>
  <c r="C212" i="6"/>
  <c r="C102" i="6"/>
  <c r="C106" i="6"/>
  <c r="C165" i="6"/>
  <c r="C185" i="6"/>
  <c r="C264" i="6"/>
  <c r="C100" i="6"/>
  <c r="C258" i="6"/>
  <c r="C159" i="6"/>
  <c r="C88" i="6"/>
  <c r="C42" i="6"/>
  <c r="C41" i="6"/>
  <c r="C121" i="6"/>
  <c r="C57" i="6"/>
  <c r="C70" i="6"/>
  <c r="C309" i="6"/>
  <c r="C176" i="6"/>
  <c r="C110" i="6"/>
  <c r="C111" i="6"/>
  <c r="C81" i="6"/>
  <c r="C188" i="6"/>
  <c r="C74" i="6"/>
  <c r="C252" i="6"/>
  <c r="C389" i="6"/>
  <c r="C73" i="6"/>
  <c r="C14" i="6"/>
  <c r="C390" i="6"/>
  <c r="C38" i="6"/>
  <c r="C250" i="6"/>
  <c r="C162" i="6"/>
  <c r="C108" i="6"/>
  <c r="C109" i="6"/>
  <c r="C107" i="6"/>
  <c r="C163" i="6"/>
  <c r="C317" i="6"/>
  <c r="C328" i="6"/>
  <c r="C271" i="6"/>
  <c r="C112" i="6"/>
  <c r="C180" i="6"/>
  <c r="C229" i="6"/>
  <c r="C228" i="6"/>
  <c r="C280" i="6"/>
  <c r="C265" i="6"/>
  <c r="C76" i="6"/>
  <c r="C90" i="6"/>
  <c r="C249" i="6"/>
  <c r="C103" i="6"/>
  <c r="C95" i="6"/>
  <c r="C279" i="6"/>
  <c r="C245" i="6"/>
  <c r="C257" i="6"/>
  <c r="C150" i="6"/>
  <c r="C136" i="6"/>
  <c r="C152" i="6"/>
  <c r="C156" i="6"/>
  <c r="C101" i="6"/>
  <c r="C56" i="6"/>
  <c r="C89" i="6"/>
  <c r="C91" i="6"/>
  <c r="C223" i="6"/>
  <c r="C368" i="6"/>
  <c r="C130" i="6"/>
  <c r="C59" i="6"/>
  <c r="C65" i="6"/>
  <c r="C93" i="6"/>
  <c r="C262" i="6"/>
  <c r="C96" i="6"/>
  <c r="C71" i="6"/>
  <c r="C216" i="6"/>
  <c r="C148" i="6"/>
  <c r="C312" i="6"/>
  <c r="C332" i="6"/>
  <c r="C284" i="6"/>
  <c r="C137" i="6"/>
  <c r="C75" i="6"/>
  <c r="C92" i="6"/>
  <c r="C263" i="6"/>
  <c r="C149" i="6"/>
  <c r="C316" i="6"/>
  <c r="C367" i="6"/>
  <c r="C270" i="6"/>
  <c r="C172" i="6"/>
  <c r="C203" i="6"/>
  <c r="C69" i="6"/>
  <c r="C124" i="6"/>
  <c r="C145" i="6"/>
  <c r="C94" i="6"/>
  <c r="C208" i="6"/>
  <c r="C123" i="6"/>
  <c r="C375" i="6"/>
  <c r="C325" i="6"/>
  <c r="C254" i="6"/>
  <c r="C243" i="6"/>
  <c r="C207" i="6"/>
  <c r="C273" i="6"/>
  <c r="C31" i="6"/>
  <c r="C138" i="6"/>
  <c r="C298" i="6"/>
  <c r="C173" i="6"/>
  <c r="C105" i="6"/>
  <c r="C205" i="6"/>
  <c r="C308" i="6"/>
  <c r="C98" i="6"/>
  <c r="C170" i="6"/>
  <c r="C169" i="6"/>
  <c r="C383" i="6"/>
  <c r="C53" i="6"/>
  <c r="C127" i="6"/>
  <c r="C84" i="6"/>
  <c r="C379" i="6"/>
  <c r="C60" i="6"/>
  <c r="C278" i="6"/>
  <c r="C247" i="6"/>
  <c r="C304" i="6"/>
  <c r="C311" i="6"/>
  <c r="C324" i="6"/>
  <c r="C79" i="6"/>
  <c r="C292" i="6"/>
  <c r="C222" i="6"/>
  <c r="C126" i="6"/>
  <c r="C133" i="6"/>
  <c r="C125" i="6"/>
  <c r="C33" i="6"/>
  <c r="C128" i="6"/>
  <c r="C272" i="6"/>
  <c r="C275" i="6"/>
  <c r="C240" i="6"/>
  <c r="C204" i="6"/>
  <c r="C171" i="6"/>
  <c r="C164" i="6"/>
  <c r="C330" i="6"/>
  <c r="C373" i="6"/>
  <c r="C369" i="6"/>
  <c r="C372" i="6"/>
  <c r="C142" i="6"/>
  <c r="C241" i="6"/>
  <c r="C67" i="6"/>
  <c r="C85" i="6"/>
  <c r="C199" i="6"/>
  <c r="C206" i="6"/>
  <c r="C113" i="6"/>
  <c r="C174" i="6"/>
  <c r="C303" i="6"/>
  <c r="C58" i="6"/>
  <c r="C253" i="6"/>
  <c r="C291" i="6"/>
  <c r="C146" i="6"/>
  <c r="C234" i="6"/>
  <c r="C87" i="6"/>
  <c r="C340" i="6"/>
  <c r="C183" i="6"/>
  <c r="C244" i="6"/>
  <c r="C177" i="6"/>
  <c r="C104" i="6"/>
  <c r="C239" i="6"/>
  <c r="C47" i="6"/>
  <c r="C158" i="6"/>
  <c r="C63" i="6"/>
  <c r="C36" i="6"/>
  <c r="C334" i="6"/>
  <c r="C167" i="6"/>
  <c r="C82" i="6"/>
  <c r="C294" i="6"/>
  <c r="C32" i="6"/>
  <c r="C119" i="6"/>
  <c r="C182" i="6"/>
  <c r="C83" i="6"/>
  <c r="C215" i="6"/>
  <c r="C358" i="6"/>
  <c r="C293" i="6"/>
  <c r="C226" i="6"/>
  <c r="C72" i="6"/>
  <c r="C197" i="6"/>
  <c r="C184" i="6"/>
  <c r="C211" i="6"/>
  <c r="C361" i="6"/>
  <c r="C62" i="6"/>
  <c r="C202" i="6"/>
  <c r="C147" i="6"/>
  <c r="C382" i="6"/>
  <c r="C157" i="6"/>
  <c r="C359" i="6"/>
  <c r="C338" i="6"/>
  <c r="C23" i="6"/>
  <c r="C201" i="6"/>
  <c r="C295" i="6"/>
  <c r="C21" i="6"/>
  <c r="C242" i="6"/>
  <c r="C186" i="6"/>
  <c r="C122" i="6"/>
  <c r="C166" i="6"/>
  <c r="C387" i="6"/>
  <c r="C8" i="6"/>
  <c r="C231" i="6"/>
  <c r="C51" i="6"/>
  <c r="C220" i="6"/>
  <c r="C22" i="6"/>
  <c r="C352" i="6"/>
  <c r="C218" i="6"/>
  <c r="C348" i="6"/>
  <c r="C310" i="6"/>
  <c r="C181" i="6"/>
  <c r="C196" i="6"/>
  <c r="C144" i="6"/>
  <c r="C118" i="6"/>
  <c r="C356" i="6"/>
  <c r="C219" i="6"/>
  <c r="C28" i="6"/>
  <c r="C209" i="6"/>
  <c r="C54" i="6"/>
  <c r="C55" i="6"/>
  <c r="C48" i="6"/>
  <c r="C313" i="6"/>
  <c r="C314" i="6"/>
  <c r="C187" i="6"/>
  <c r="C195" i="6"/>
  <c r="C336" i="6"/>
  <c r="C357" i="6"/>
  <c r="C190" i="6"/>
  <c r="C9" i="6"/>
  <c r="C52" i="6"/>
  <c r="C78" i="6"/>
  <c r="C349" i="6"/>
  <c r="C269" i="6"/>
  <c r="C120" i="6"/>
  <c r="C377" i="6"/>
  <c r="C50" i="6"/>
  <c r="C49" i="6"/>
  <c r="C143" i="6"/>
  <c r="C366" i="6"/>
  <c r="C198" i="6"/>
  <c r="C13" i="6"/>
  <c r="C380" i="6"/>
  <c r="C365" i="6"/>
  <c r="C319" i="6"/>
  <c r="C384" i="6"/>
  <c r="C46" i="6"/>
  <c r="C320" i="6"/>
  <c r="C321" i="6"/>
  <c r="C346" i="6"/>
  <c r="C347" i="6"/>
  <c r="C210" i="6"/>
  <c r="C217" i="6"/>
  <c r="C343" i="6"/>
  <c r="C360" i="6"/>
  <c r="C297" i="6"/>
  <c r="C342" i="6"/>
  <c r="C323" i="6"/>
  <c r="C341" i="6"/>
  <c r="C322" i="6"/>
  <c r="C370" i="6"/>
  <c r="C345" i="6"/>
  <c r="C353" i="6"/>
  <c r="C351" i="6"/>
  <c r="C354" i="6"/>
  <c r="C355" i="6"/>
  <c r="C168" i="6"/>
  <c r="C281" i="6"/>
  <c r="C331" i="6"/>
  <c r="C225" i="6"/>
  <c r="B331" i="6"/>
  <c r="B281" i="6"/>
  <c r="B168" i="6"/>
  <c r="B355" i="6"/>
  <c r="B354" i="6"/>
  <c r="B351" i="6"/>
  <c r="B353" i="6"/>
  <c r="B345" i="6"/>
  <c r="B370" i="6"/>
  <c r="B322" i="6"/>
  <c r="B341" i="6"/>
  <c r="B323" i="6"/>
  <c r="B342" i="6"/>
  <c r="B297" i="6"/>
  <c r="B360" i="6"/>
  <c r="B343" i="6"/>
  <c r="B217" i="6"/>
  <c r="B210" i="6"/>
  <c r="B347" i="6"/>
  <c r="B346" i="6"/>
  <c r="B321" i="6"/>
  <c r="B320" i="6"/>
  <c r="B46" i="6"/>
  <c r="B384" i="6"/>
  <c r="B319" i="6"/>
  <c r="B365" i="6"/>
  <c r="B380" i="6"/>
  <c r="B13" i="6"/>
  <c r="B198" i="6"/>
  <c r="B366" i="6"/>
  <c r="B143" i="6"/>
  <c r="B49" i="6"/>
  <c r="B50" i="6"/>
  <c r="B377" i="6"/>
  <c r="B120" i="6"/>
  <c r="B269" i="6"/>
  <c r="B349" i="6"/>
  <c r="B78" i="6"/>
  <c r="B52" i="6"/>
  <c r="B9" i="6"/>
  <c r="B190" i="6"/>
  <c r="B357" i="6"/>
  <c r="B336" i="6"/>
  <c r="B195" i="6"/>
  <c r="B314" i="6"/>
  <c r="B313" i="6"/>
  <c r="B48" i="6"/>
  <c r="B55" i="6"/>
  <c r="B54" i="6"/>
  <c r="B209" i="6"/>
  <c r="B28" i="6"/>
  <c r="B219" i="6"/>
  <c r="B356" i="6"/>
  <c r="B118" i="6"/>
  <c r="B144" i="6"/>
  <c r="B196" i="6"/>
  <c r="B181" i="6"/>
  <c r="B310" i="6"/>
  <c r="B348" i="6"/>
  <c r="B218" i="6"/>
  <c r="B352" i="6"/>
  <c r="B22" i="6"/>
  <c r="B220" i="6"/>
  <c r="B51" i="6"/>
  <c r="B231" i="6"/>
  <c r="B8" i="6"/>
  <c r="B387" i="6"/>
  <c r="B166" i="6"/>
  <c r="B122" i="6"/>
  <c r="B186" i="6"/>
  <c r="B242" i="6"/>
  <c r="B21" i="6"/>
  <c r="B295" i="6"/>
  <c r="B201" i="6"/>
  <c r="B23" i="6"/>
  <c r="B338" i="6"/>
  <c r="B359" i="6"/>
  <c r="B157" i="6"/>
  <c r="B382" i="6"/>
  <c r="B147" i="6"/>
  <c r="B202" i="6"/>
  <c r="B62" i="6"/>
  <c r="B361" i="6"/>
  <c r="B211" i="6"/>
  <c r="B184" i="6"/>
  <c r="B197" i="6"/>
  <c r="B72" i="6"/>
  <c r="B226" i="6"/>
  <c r="B293" i="6"/>
  <c r="B358" i="6"/>
  <c r="B215" i="6"/>
  <c r="B83" i="6"/>
  <c r="B182" i="6"/>
  <c r="B119" i="6"/>
  <c r="B32" i="6"/>
  <c r="B294" i="6"/>
  <c r="B82" i="6"/>
  <c r="B167" i="6"/>
  <c r="B334" i="6"/>
  <c r="B36" i="6"/>
  <c r="B63" i="6"/>
  <c r="B158" i="6"/>
  <c r="B47" i="6"/>
  <c r="B239" i="6"/>
  <c r="B104" i="6"/>
  <c r="B177" i="6"/>
  <c r="B244" i="6"/>
  <c r="B183" i="6"/>
  <c r="B340" i="6"/>
  <c r="B87" i="6"/>
  <c r="B234" i="6"/>
  <c r="B146" i="6"/>
  <c r="B291" i="6"/>
  <c r="B253" i="6"/>
  <c r="B58" i="6"/>
  <c r="B303" i="6"/>
  <c r="B174" i="6"/>
  <c r="B113" i="6"/>
  <c r="B206" i="6"/>
  <c r="B199" i="6"/>
  <c r="B85" i="6"/>
  <c r="B67" i="6"/>
  <c r="B241" i="6"/>
  <c r="B142" i="6"/>
  <c r="B372" i="6"/>
  <c r="B369" i="6"/>
  <c r="B373" i="6"/>
  <c r="B330" i="6"/>
  <c r="B164" i="6"/>
  <c r="B171" i="6"/>
  <c r="B204" i="6"/>
  <c r="B240" i="6"/>
  <c r="B275" i="6"/>
  <c r="B272" i="6"/>
  <c r="B128" i="6"/>
  <c r="B33" i="6"/>
  <c r="B125" i="6"/>
  <c r="B133" i="6"/>
  <c r="B126" i="6"/>
  <c r="B222" i="6"/>
  <c r="B292" i="6"/>
  <c r="B79" i="6"/>
  <c r="B324" i="6"/>
  <c r="B311" i="6"/>
  <c r="B304" i="6"/>
  <c r="B247" i="6"/>
  <c r="B278" i="6"/>
  <c r="B60" i="6"/>
  <c r="B379" i="6"/>
  <c r="B84" i="6"/>
  <c r="B127" i="6"/>
  <c r="B53" i="6"/>
  <c r="B383" i="6"/>
  <c r="B169" i="6"/>
  <c r="B170" i="6"/>
  <c r="B98" i="6"/>
  <c r="B308" i="6"/>
  <c r="B205" i="6"/>
  <c r="B105" i="6"/>
  <c r="B173" i="6"/>
  <c r="B298" i="6"/>
  <c r="B138" i="6"/>
  <c r="B31" i="6"/>
  <c r="B273" i="6"/>
  <c r="B207" i="6"/>
  <c r="B243" i="6"/>
  <c r="B254" i="6"/>
  <c r="B325" i="6"/>
  <c r="B375" i="6"/>
  <c r="B123" i="6"/>
  <c r="B208" i="6"/>
  <c r="B94" i="6"/>
  <c r="B145" i="6"/>
  <c r="B124" i="6"/>
  <c r="B69" i="6"/>
  <c r="B203" i="6"/>
  <c r="B172" i="6"/>
  <c r="B270" i="6"/>
  <c r="B367" i="6"/>
  <c r="B316" i="6"/>
  <c r="B149" i="6"/>
  <c r="B263" i="6"/>
  <c r="B92" i="6"/>
  <c r="B75" i="6"/>
  <c r="B137" i="6"/>
  <c r="B284" i="6"/>
  <c r="B332" i="6"/>
  <c r="B312" i="6"/>
  <c r="B148" i="6"/>
  <c r="B216" i="6"/>
  <c r="B71" i="6"/>
  <c r="B96" i="6"/>
  <c r="B262" i="6"/>
  <c r="B93" i="6"/>
  <c r="B65" i="6"/>
  <c r="B59" i="6"/>
  <c r="B130" i="6"/>
  <c r="B368" i="6"/>
  <c r="B223" i="6"/>
  <c r="B91" i="6"/>
  <c r="B89" i="6"/>
  <c r="B56" i="6"/>
  <c r="B101" i="6"/>
  <c r="B156" i="6"/>
  <c r="B152" i="6"/>
  <c r="B136" i="6"/>
  <c r="B150" i="6"/>
  <c r="B257" i="6"/>
  <c r="B245" i="6"/>
  <c r="B279" i="6"/>
  <c r="B95" i="6"/>
  <c r="B103" i="6"/>
  <c r="B249" i="6"/>
  <c r="B90" i="6"/>
  <c r="B76" i="6"/>
  <c r="B265" i="6"/>
  <c r="B280" i="6"/>
  <c r="B228" i="6"/>
  <c r="B229" i="6"/>
  <c r="B180" i="6"/>
  <c r="B112" i="6"/>
  <c r="B328" i="6"/>
  <c r="B317" i="6"/>
  <c r="B163" i="6"/>
  <c r="B107" i="6"/>
  <c r="B109" i="6"/>
  <c r="B108" i="6"/>
  <c r="B162" i="6"/>
  <c r="B250" i="6"/>
  <c r="B38" i="6"/>
  <c r="B390" i="6"/>
  <c r="B14" i="6"/>
  <c r="B73" i="6"/>
  <c r="B389" i="6"/>
  <c r="B252" i="6"/>
  <c r="B74" i="6"/>
  <c r="B81" i="6"/>
  <c r="B111" i="6"/>
  <c r="B110" i="6"/>
  <c r="B176" i="6"/>
  <c r="B309" i="6"/>
  <c r="B70" i="6"/>
  <c r="B57" i="6"/>
  <c r="B121" i="6"/>
  <c r="B41" i="6"/>
  <c r="B42" i="6"/>
  <c r="B88" i="6"/>
  <c r="B159" i="6"/>
  <c r="B258" i="6"/>
  <c r="B100" i="6"/>
  <c r="B264" i="6"/>
  <c r="B185" i="6"/>
  <c r="B165" i="6"/>
  <c r="B106" i="6"/>
  <c r="B102" i="6"/>
  <c r="B212" i="6"/>
  <c r="B266" i="6"/>
  <c r="B132" i="6"/>
  <c r="B350" i="6"/>
  <c r="B391" i="6"/>
  <c r="B64" i="6"/>
  <c r="B214" i="6"/>
  <c r="B99" i="6"/>
  <c r="B191" i="6"/>
  <c r="B246" i="6"/>
  <c r="B248" i="6"/>
  <c r="B237" i="6"/>
  <c r="B268" i="6"/>
  <c r="B290" i="6"/>
  <c r="B141" i="6"/>
  <c r="B97" i="6"/>
  <c r="B151" i="6"/>
  <c r="B213" i="6"/>
  <c r="B282" i="6"/>
  <c r="B178" i="6"/>
  <c r="B236" i="6"/>
  <c r="B194" i="6"/>
  <c r="B193" i="6"/>
  <c r="B221" i="6"/>
  <c r="B192" i="6"/>
  <c r="B189" i="6"/>
  <c r="B37" i="6"/>
  <c r="B232" i="6"/>
  <c r="B327" i="6"/>
  <c r="B378" i="6"/>
  <c r="B233" i="6"/>
  <c r="B35" i="6"/>
  <c r="B277" i="6"/>
  <c r="B235" i="6"/>
  <c r="B161" i="6"/>
  <c r="B160" i="6"/>
  <c r="B333" i="6"/>
  <c r="B305" i="6"/>
  <c r="B315" i="6"/>
  <c r="B306" i="6"/>
  <c r="B267" i="6"/>
  <c r="B68" i="6"/>
  <c r="B259" i="6"/>
  <c r="B398" i="6"/>
  <c r="B326" i="6"/>
  <c r="B20" i="6"/>
  <c r="B43" i="6"/>
  <c r="B25" i="6"/>
  <c r="B15" i="6"/>
  <c r="B131" i="6"/>
  <c r="B227" i="6"/>
  <c r="B238" i="6"/>
  <c r="B80" i="6"/>
  <c r="B364" i="6"/>
  <c r="B230" i="6"/>
  <c r="B388" i="6"/>
  <c r="B261" i="6"/>
  <c r="B414" i="6"/>
  <c r="B371" i="6"/>
  <c r="B12" i="6"/>
  <c r="B251" i="6"/>
  <c r="B18" i="6"/>
  <c r="B16" i="6"/>
  <c r="B296" i="6"/>
  <c r="B61" i="6"/>
  <c r="B400" i="6"/>
  <c r="B307" i="6"/>
  <c r="B256" i="6"/>
  <c r="B24" i="6"/>
  <c r="B286" i="6"/>
  <c r="B285" i="6"/>
  <c r="B135" i="6"/>
  <c r="B17" i="6"/>
  <c r="B39" i="6"/>
  <c r="B154" i="6"/>
  <c r="B19" i="6"/>
  <c r="B44" i="6"/>
  <c r="B86" i="6"/>
  <c r="B77" i="6"/>
  <c r="B26" i="6"/>
  <c r="B408" i="6"/>
  <c r="B29" i="6"/>
  <c r="B335" i="6"/>
  <c r="B274" i="6"/>
  <c r="B407" i="6"/>
  <c r="B288" i="6"/>
  <c r="B276" i="6"/>
  <c r="B410" i="6"/>
  <c r="B405" i="6"/>
  <c r="B403" i="6"/>
  <c r="B402" i="6"/>
  <c r="B399" i="6"/>
  <c r="B397" i="6"/>
  <c r="B415" i="6"/>
  <c r="B27" i="6"/>
  <c r="B362" i="6"/>
  <c r="B255" i="6"/>
  <c r="B200" i="6"/>
  <c r="B11" i="6"/>
  <c r="B395" i="6"/>
  <c r="B45" i="6"/>
  <c r="B40" i="6"/>
  <c r="B411" i="6"/>
  <c r="B153" i="6"/>
  <c r="B30" i="6"/>
  <c r="B416" i="6"/>
  <c r="B363" i="6"/>
  <c r="B374" i="6"/>
  <c r="B381" i="6"/>
  <c r="B376" i="6"/>
  <c r="B10" i="6"/>
  <c r="B337" i="6"/>
  <c r="B287" i="6"/>
  <c r="B114" i="6"/>
  <c r="B2" i="6"/>
  <c r="B409" i="6"/>
  <c r="B401" i="6"/>
  <c r="B344" i="6"/>
  <c r="B3" i="6"/>
  <c r="B4" i="6"/>
  <c r="B5" i="6"/>
  <c r="B129" i="6"/>
  <c r="B339" i="6"/>
  <c r="B224" i="6"/>
  <c r="B179" i="6"/>
  <c r="B283" i="6"/>
  <c r="B392" i="6"/>
  <c r="B175" i="6"/>
  <c r="B412" i="6"/>
  <c r="B393" i="6"/>
  <c r="B7" i="6"/>
  <c r="B34" i="6"/>
  <c r="B6" i="6"/>
  <c r="B289" i="6"/>
  <c r="B117" i="6"/>
  <c r="B134" i="6"/>
  <c r="B406" i="6"/>
  <c r="B404" i="6"/>
  <c r="B396" i="6"/>
  <c r="B329" i="6"/>
  <c r="B394" i="6"/>
  <c r="B115" i="6"/>
  <c r="B116" i="6"/>
  <c r="B155" i="6"/>
  <c r="B413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9" i="5"/>
  <c r="BA117" i="5"/>
  <c r="BA339" i="5"/>
  <c r="BA345" i="5"/>
  <c r="BA337" i="5"/>
  <c r="BA376" i="5"/>
  <c r="BA381" i="5"/>
  <c r="BA374" i="5"/>
  <c r="BA372" i="5"/>
  <c r="BA371" i="5"/>
  <c r="BA335" i="5"/>
  <c r="BA308" i="5"/>
  <c r="BA367" i="5"/>
  <c r="BA387" i="5"/>
  <c r="BA373" i="5"/>
  <c r="BA326" i="5"/>
  <c r="BA306" i="5"/>
  <c r="BA316" i="5"/>
  <c r="BA305" i="5"/>
  <c r="BA333" i="5"/>
  <c r="BA378" i="5"/>
  <c r="BA327" i="5"/>
  <c r="BA388" i="5"/>
  <c r="BA347" i="5"/>
  <c r="BA310" i="5"/>
  <c r="BA391" i="5"/>
  <c r="BA390" i="5"/>
  <c r="BA318" i="5"/>
  <c r="BA328" i="5"/>
  <c r="BA296" i="5"/>
  <c r="BA295" i="5"/>
  <c r="BA364" i="5"/>
  <c r="BA313" i="5"/>
  <c r="BA332" i="5"/>
  <c r="BA317" i="5"/>
  <c r="BA363" i="5"/>
  <c r="BA375" i="5"/>
  <c r="BA325" i="5"/>
  <c r="BA309" i="5"/>
  <c r="BA383" i="5"/>
  <c r="BA379" i="5"/>
  <c r="BA304" i="5"/>
  <c r="BA312" i="5"/>
  <c r="BA324" i="5"/>
  <c r="BA330" i="5"/>
  <c r="BA369" i="5"/>
  <c r="BA365" i="5"/>
  <c r="BA368" i="5"/>
  <c r="BA303" i="5"/>
  <c r="BA341" i="5"/>
  <c r="BA29" i="5"/>
  <c r="BA334" i="5"/>
  <c r="BA360" i="5"/>
  <c r="BA370" i="5"/>
  <c r="BA70" i="5"/>
  <c r="BA382" i="5"/>
  <c r="BA361" i="5"/>
  <c r="BA338" i="5"/>
  <c r="BA389" i="5"/>
  <c r="BA353" i="5"/>
  <c r="BA340" i="5"/>
  <c r="BA311" i="5"/>
  <c r="BA358" i="5"/>
  <c r="BA314" i="5"/>
  <c r="BA315" i="5"/>
  <c r="BA336" i="5"/>
  <c r="BA359" i="5"/>
  <c r="BA351" i="5"/>
  <c r="BA377" i="5"/>
  <c r="BA354" i="5"/>
  <c r="BA380" i="5"/>
  <c r="BA352" i="5"/>
  <c r="BA319" i="5"/>
  <c r="BA384" i="5"/>
  <c r="BA320" i="5"/>
  <c r="BA321" i="5"/>
  <c r="BA348" i="5"/>
  <c r="BA349" i="5"/>
  <c r="BA344" i="5"/>
  <c r="BA362" i="5"/>
  <c r="BA343" i="5"/>
  <c r="BA323" i="5"/>
  <c r="BA342" i="5"/>
  <c r="BA322" i="5"/>
  <c r="BA366" i="5"/>
  <c r="BA346" i="5"/>
  <c r="BA355" i="5"/>
  <c r="BA350" i="5"/>
  <c r="BA356" i="5"/>
  <c r="BA357" i="5"/>
  <c r="BA331" i="5"/>
  <c r="BA395" i="5"/>
  <c r="BF219" i="5"/>
  <c r="BF329" i="5"/>
  <c r="BF331" i="5"/>
  <c r="BF337" i="5"/>
  <c r="BF339" i="5"/>
  <c r="BF345" i="5"/>
  <c r="BF395" i="5"/>
  <c r="BF254" i="5"/>
  <c r="BF263" i="5"/>
  <c r="BF412" i="5"/>
  <c r="BF396" i="5"/>
  <c r="BF406" i="5"/>
  <c r="BF408" i="5"/>
  <c r="BF97" i="5"/>
  <c r="BF161" i="5"/>
  <c r="BF188" i="5"/>
  <c r="BF42" i="5"/>
  <c r="BF47" i="5"/>
  <c r="BF177" i="5"/>
  <c r="BF393" i="5"/>
  <c r="BF409" i="5"/>
  <c r="BF410" i="5"/>
  <c r="BF61" i="5"/>
  <c r="BF117" i="5"/>
  <c r="BF284" i="5"/>
  <c r="BF291" i="5"/>
  <c r="BF39" i="5"/>
  <c r="BF40" i="5"/>
  <c r="BF41" i="5"/>
  <c r="BF102" i="5"/>
  <c r="BF335" i="5"/>
  <c r="BF403" i="5"/>
  <c r="BF415" i="5"/>
  <c r="BF38" i="5"/>
  <c r="BF66" i="5"/>
  <c r="BF175" i="5"/>
  <c r="BF65" i="5"/>
  <c r="BF67" i="5"/>
  <c r="BF372" i="5"/>
  <c r="BF374" i="5"/>
  <c r="BF376" i="5"/>
  <c r="BF381" i="5"/>
  <c r="BF401" i="5"/>
  <c r="BF402" i="5"/>
  <c r="BF413" i="5"/>
  <c r="BF53" i="5"/>
  <c r="BF56" i="5"/>
  <c r="BF59" i="5"/>
  <c r="BF153" i="5"/>
  <c r="BF258" i="5"/>
  <c r="BF371" i="5"/>
  <c r="BF50" i="5"/>
  <c r="BF392" i="5"/>
  <c r="BF397" i="5"/>
  <c r="BF399" i="5"/>
  <c r="BF404" i="5"/>
  <c r="BF405" i="5"/>
  <c r="BF407" i="5"/>
  <c r="BF416" i="5"/>
  <c r="BF148" i="5"/>
  <c r="BF152" i="5"/>
  <c r="BF326" i="5"/>
  <c r="BF176" i="5"/>
  <c r="BF333" i="5"/>
  <c r="BF411" i="5"/>
  <c r="BF142" i="5"/>
  <c r="BF414" i="5"/>
  <c r="BF52" i="5"/>
  <c r="BF264" i="5"/>
  <c r="BF140" i="5"/>
  <c r="BF154" i="5"/>
  <c r="BF327" i="5"/>
  <c r="BF129" i="5"/>
  <c r="BF137" i="5"/>
  <c r="BF149" i="5"/>
  <c r="BF257" i="5"/>
  <c r="BF179" i="5"/>
  <c r="BF245" i="5"/>
  <c r="BF247" i="5"/>
  <c r="BF124" i="5"/>
  <c r="BF256" i="5"/>
  <c r="BF27" i="5"/>
  <c r="BF225" i="5"/>
  <c r="BF308" i="5"/>
  <c r="BF400" i="5"/>
  <c r="BF118" i="5"/>
  <c r="BF209" i="5"/>
  <c r="BF242" i="5"/>
  <c r="BF244" i="5"/>
  <c r="BF246" i="5"/>
  <c r="BF367" i="5"/>
  <c r="BF394" i="5"/>
  <c r="BF123" i="5"/>
  <c r="BF8" i="5"/>
  <c r="BF347" i="5"/>
  <c r="BF373" i="5"/>
  <c r="BF387" i="5"/>
  <c r="BF270" i="5"/>
  <c r="BF138" i="5"/>
  <c r="BF183" i="5"/>
  <c r="BF221" i="5"/>
  <c r="BF241" i="5"/>
  <c r="BF243" i="5"/>
  <c r="BF60" i="5"/>
  <c r="BF255" i="5"/>
  <c r="BF248" i="5"/>
  <c r="BF398" i="5"/>
  <c r="BF74" i="5"/>
  <c r="BF216" i="5"/>
  <c r="BF239" i="5"/>
  <c r="BF305" i="5"/>
  <c r="BF306" i="5"/>
  <c r="BF316" i="5"/>
  <c r="BF105" i="5"/>
  <c r="BF139" i="5"/>
  <c r="BF88" i="5"/>
  <c r="BF15" i="5"/>
  <c r="BF181" i="5"/>
  <c r="BF328" i="5"/>
  <c r="BF378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3" i="5"/>
  <c r="BF114" i="5"/>
  <c r="BF224" i="5"/>
  <c r="BF265" i="5"/>
  <c r="BF10" i="5"/>
  <c r="BF132" i="5"/>
  <c r="BF147" i="5"/>
  <c r="BF173" i="5"/>
  <c r="BF22" i="5"/>
  <c r="BF217" i="5"/>
  <c r="BF388" i="5"/>
  <c r="BF285" i="5"/>
  <c r="BE285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2" i="5"/>
  <c r="BE391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4" i="5"/>
  <c r="BE54" i="5"/>
  <c r="BE265" i="5"/>
  <c r="BE266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7" i="5"/>
  <c r="BE82" i="5"/>
  <c r="BE83" i="5"/>
  <c r="BE84" i="5"/>
  <c r="BE85" i="5"/>
  <c r="BE259" i="5"/>
  <c r="BE260" i="5"/>
  <c r="BE86" i="5"/>
  <c r="BE261" i="5"/>
  <c r="BE253" i="5"/>
  <c r="BE87" i="5"/>
  <c r="BE88" i="5"/>
  <c r="BE89" i="5"/>
  <c r="BE90" i="5"/>
  <c r="BE91" i="5"/>
  <c r="BE92" i="5"/>
  <c r="BE10" i="5"/>
  <c r="BE11" i="5"/>
  <c r="BE93" i="5"/>
  <c r="BE94" i="5"/>
  <c r="BE95" i="5"/>
  <c r="BE262" i="5"/>
  <c r="BE96" i="5"/>
  <c r="BE254" i="5"/>
  <c r="BE263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8" i="5"/>
  <c r="BE269" i="5"/>
  <c r="BE12" i="5"/>
  <c r="BE117" i="5"/>
  <c r="BE13" i="5"/>
  <c r="BE270" i="5"/>
  <c r="BE118" i="5"/>
  <c r="BE271" i="5"/>
  <c r="BE272" i="5"/>
  <c r="BE14" i="5"/>
  <c r="BE119" i="5"/>
  <c r="BE120" i="5"/>
  <c r="BE273" i="5"/>
  <c r="BE121" i="5"/>
  <c r="BE122" i="5"/>
  <c r="BE123" i="5"/>
  <c r="BE124" i="5"/>
  <c r="BE15" i="5"/>
  <c r="BE274" i="5"/>
  <c r="BE125" i="5"/>
  <c r="BE126" i="5"/>
  <c r="BE275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5" i="5"/>
  <c r="BE137" i="5"/>
  <c r="BE138" i="5"/>
  <c r="BE139" i="5"/>
  <c r="BE140" i="5"/>
  <c r="BE141" i="5"/>
  <c r="BE142" i="5"/>
  <c r="BE143" i="5"/>
  <c r="BE144" i="5"/>
  <c r="BE145" i="5"/>
  <c r="BE146" i="5"/>
  <c r="BE276" i="5"/>
  <c r="BE147" i="5"/>
  <c r="BE148" i="5"/>
  <c r="BE149" i="5"/>
  <c r="BE150" i="5"/>
  <c r="BE277" i="5"/>
  <c r="BE278" i="5"/>
  <c r="BE279" i="5"/>
  <c r="BE151" i="5"/>
  <c r="BE152" i="5"/>
  <c r="BE280" i="5"/>
  <c r="BE153" i="5"/>
  <c r="BE154" i="5"/>
  <c r="BE155" i="5"/>
  <c r="BE156" i="5"/>
  <c r="BE157" i="5"/>
  <c r="BE158" i="5"/>
  <c r="BE159" i="5"/>
  <c r="BE160" i="5"/>
  <c r="BE161" i="5"/>
  <c r="BE162" i="5"/>
  <c r="BE256" i="5"/>
  <c r="BE257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1" i="5"/>
  <c r="BE282" i="5"/>
  <c r="BE283" i="5"/>
  <c r="BE193" i="5"/>
  <c r="BE194" i="5"/>
  <c r="BE195" i="5"/>
  <c r="BE284" i="5"/>
  <c r="BE286" i="5"/>
  <c r="BE287" i="5"/>
  <c r="BE5" i="5"/>
  <c r="BE288" i="5"/>
  <c r="BE289" i="5"/>
  <c r="BE290" i="5"/>
  <c r="BE291" i="5"/>
  <c r="BE196" i="5"/>
  <c r="BE197" i="5"/>
  <c r="BE198" i="5"/>
  <c r="BE199" i="5"/>
  <c r="BE293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4" i="5"/>
  <c r="BE210" i="5"/>
  <c r="BE211" i="5"/>
  <c r="BE212" i="5"/>
  <c r="BE258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5" i="5"/>
  <c r="BE296" i="5"/>
  <c r="BE8" i="5"/>
  <c r="BE229" i="5"/>
  <c r="BE230" i="5"/>
  <c r="BE231" i="5"/>
  <c r="BE297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1" i="5"/>
  <c r="BE242" i="5"/>
  <c r="BE243" i="5"/>
  <c r="BE244" i="5"/>
  <c r="BE245" i="5"/>
  <c r="BE246" i="5"/>
  <c r="BE247" i="5"/>
  <c r="BE248" i="5"/>
  <c r="BE249" i="5"/>
  <c r="BE250" i="5"/>
  <c r="BE35" i="5"/>
  <c r="BE298" i="5"/>
  <c r="BE36" i="5"/>
  <c r="BE37" i="5"/>
  <c r="BE251" i="5"/>
  <c r="BE252" i="5"/>
  <c r="BE303" i="5"/>
  <c r="BE304" i="5"/>
  <c r="BE305" i="5"/>
  <c r="BE306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1" i="5"/>
  <c r="BE342" i="5"/>
  <c r="BE343" i="5"/>
  <c r="BE344" i="5"/>
  <c r="BE345" i="5"/>
  <c r="BE346" i="5"/>
  <c r="BE347" i="5"/>
  <c r="BE348" i="5"/>
  <c r="BE349" i="5"/>
  <c r="BE350" i="5"/>
  <c r="BE34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7" i="5"/>
  <c r="BE388" i="5"/>
  <c r="BE389" i="5"/>
  <c r="BE390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292" i="5"/>
  <c r="BC292" i="5"/>
  <c r="BC391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4" i="5"/>
  <c r="BC54" i="5"/>
  <c r="BC265" i="5"/>
  <c r="BC266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7" i="5"/>
  <c r="BC82" i="5"/>
  <c r="BC83" i="5"/>
  <c r="BC84" i="5"/>
  <c r="BC85" i="5"/>
  <c r="BC259" i="5"/>
  <c r="BC260" i="5"/>
  <c r="BC86" i="5"/>
  <c r="BC261" i="5"/>
  <c r="BC253" i="5"/>
  <c r="BC87" i="5"/>
  <c r="BC88" i="5"/>
  <c r="BC89" i="5"/>
  <c r="BC90" i="5"/>
  <c r="BC91" i="5"/>
  <c r="BC92" i="5"/>
  <c r="BC10" i="5"/>
  <c r="BC11" i="5"/>
  <c r="BC93" i="5"/>
  <c r="BC94" i="5"/>
  <c r="BC95" i="5"/>
  <c r="BC262" i="5"/>
  <c r="BC96" i="5"/>
  <c r="BC254" i="5"/>
  <c r="BC263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8" i="5"/>
  <c r="BC269" i="5"/>
  <c r="BC12" i="5"/>
  <c r="BC117" i="5"/>
  <c r="BC13" i="5"/>
  <c r="BC270" i="5"/>
  <c r="BC271" i="5"/>
  <c r="BC272" i="5"/>
  <c r="BC14" i="5"/>
  <c r="BC119" i="5"/>
  <c r="BC120" i="5"/>
  <c r="BC273" i="5"/>
  <c r="BC121" i="5"/>
  <c r="BC122" i="5"/>
  <c r="BC123" i="5"/>
  <c r="BC124" i="5"/>
  <c r="BC15" i="5"/>
  <c r="BC274" i="5"/>
  <c r="BC125" i="5"/>
  <c r="BC126" i="5"/>
  <c r="BC275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5" i="5"/>
  <c r="BC137" i="5"/>
  <c r="BC138" i="5"/>
  <c r="BC139" i="5"/>
  <c r="BC140" i="5"/>
  <c r="BC141" i="5"/>
  <c r="BC142" i="5"/>
  <c r="BC143" i="5"/>
  <c r="BC144" i="5"/>
  <c r="BC145" i="5"/>
  <c r="BC146" i="5"/>
  <c r="BC276" i="5"/>
  <c r="BC147" i="5"/>
  <c r="BC148" i="5"/>
  <c r="BC149" i="5"/>
  <c r="BC150" i="5"/>
  <c r="BC277" i="5"/>
  <c r="BC278" i="5"/>
  <c r="BC279" i="5"/>
  <c r="BC151" i="5"/>
  <c r="BC152" i="5"/>
  <c r="BC280" i="5"/>
  <c r="BC153" i="5"/>
  <c r="BC154" i="5"/>
  <c r="BC155" i="5"/>
  <c r="BC156" i="5"/>
  <c r="BC157" i="5"/>
  <c r="BC158" i="5"/>
  <c r="BC159" i="5"/>
  <c r="BC160" i="5"/>
  <c r="BC161" i="5"/>
  <c r="BC162" i="5"/>
  <c r="BC256" i="5"/>
  <c r="BC257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1" i="5"/>
  <c r="BC282" i="5"/>
  <c r="BC283" i="5"/>
  <c r="BC193" i="5"/>
  <c r="BC194" i="5"/>
  <c r="BC195" i="5"/>
  <c r="BC284" i="5"/>
  <c r="BC285" i="5"/>
  <c r="BC286" i="5"/>
  <c r="BC287" i="5"/>
  <c r="BC5" i="5"/>
  <c r="BC288" i="5"/>
  <c r="BC289" i="5"/>
  <c r="BC290" i="5"/>
  <c r="BC291" i="5"/>
  <c r="BC196" i="5"/>
  <c r="BC197" i="5"/>
  <c r="BC198" i="5"/>
  <c r="BC199" i="5"/>
  <c r="BC293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4" i="5"/>
  <c r="BC210" i="5"/>
  <c r="BC211" i="5"/>
  <c r="BC212" i="5"/>
  <c r="BC258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5" i="5"/>
  <c r="BC296" i="5"/>
  <c r="BC8" i="5"/>
  <c r="BC229" i="5"/>
  <c r="BC230" i="5"/>
  <c r="BC231" i="5"/>
  <c r="BC297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1" i="5"/>
  <c r="BC242" i="5"/>
  <c r="BC243" i="5"/>
  <c r="BC244" i="5"/>
  <c r="BC245" i="5"/>
  <c r="BC246" i="5"/>
  <c r="BC247" i="5"/>
  <c r="BC248" i="5"/>
  <c r="BC249" i="5"/>
  <c r="BC250" i="5"/>
  <c r="BC35" i="5"/>
  <c r="BC298" i="5"/>
  <c r="BC36" i="5"/>
  <c r="BC37" i="5"/>
  <c r="BC251" i="5"/>
  <c r="BC252" i="5"/>
  <c r="BC303" i="5"/>
  <c r="BC304" i="5"/>
  <c r="BC305" i="5"/>
  <c r="BC306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1" i="5"/>
  <c r="BC342" i="5"/>
  <c r="BC343" i="5"/>
  <c r="BC344" i="5"/>
  <c r="BC345" i="5"/>
  <c r="BC346" i="5"/>
  <c r="BC347" i="5"/>
  <c r="BC348" i="5"/>
  <c r="BC349" i="5"/>
  <c r="BC350" i="5"/>
  <c r="BC34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7" i="5"/>
  <c r="BC388" i="5"/>
  <c r="BC389" i="5"/>
  <c r="BC390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B391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4" i="5"/>
  <c r="BB54" i="5"/>
  <c r="BB265" i="5"/>
  <c r="BB266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7" i="5"/>
  <c r="BB82" i="5"/>
  <c r="BB83" i="5"/>
  <c r="BB84" i="5"/>
  <c r="BB85" i="5"/>
  <c r="BB259" i="5"/>
  <c r="BB260" i="5"/>
  <c r="BB86" i="5"/>
  <c r="BB261" i="5"/>
  <c r="BB253" i="5"/>
  <c r="BB87" i="5"/>
  <c r="BB88" i="5"/>
  <c r="BB89" i="5"/>
  <c r="BB90" i="5"/>
  <c r="BB91" i="5"/>
  <c r="BB92" i="5"/>
  <c r="BB10" i="5"/>
  <c r="BB11" i="5"/>
  <c r="BB93" i="5"/>
  <c r="BB94" i="5"/>
  <c r="BB95" i="5"/>
  <c r="BB262" i="5"/>
  <c r="BB96" i="5"/>
  <c r="BB254" i="5"/>
  <c r="BB263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8" i="5"/>
  <c r="BB269" i="5"/>
  <c r="BB12" i="5"/>
  <c r="BB117" i="5"/>
  <c r="BB13" i="5"/>
  <c r="BB270" i="5"/>
  <c r="BB118" i="5"/>
  <c r="BB271" i="5"/>
  <c r="BB272" i="5"/>
  <c r="BB14" i="5"/>
  <c r="BB119" i="5"/>
  <c r="BB120" i="5"/>
  <c r="BB273" i="5"/>
  <c r="BB121" i="5"/>
  <c r="BB122" i="5"/>
  <c r="BB123" i="5"/>
  <c r="BB124" i="5"/>
  <c r="BB15" i="5"/>
  <c r="BB274" i="5"/>
  <c r="BB125" i="5"/>
  <c r="BB126" i="5"/>
  <c r="BB275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5" i="5"/>
  <c r="BB137" i="5"/>
  <c r="BB138" i="5"/>
  <c r="BB139" i="5"/>
  <c r="BB140" i="5"/>
  <c r="BB141" i="5"/>
  <c r="BB142" i="5"/>
  <c r="BB143" i="5"/>
  <c r="BB144" i="5"/>
  <c r="BB145" i="5"/>
  <c r="BB146" i="5"/>
  <c r="BB276" i="5"/>
  <c r="BB147" i="5"/>
  <c r="BB148" i="5"/>
  <c r="BB149" i="5"/>
  <c r="BB150" i="5"/>
  <c r="BB277" i="5"/>
  <c r="BB278" i="5"/>
  <c r="BB279" i="5"/>
  <c r="BB151" i="5"/>
  <c r="BB152" i="5"/>
  <c r="BB280" i="5"/>
  <c r="BB153" i="5"/>
  <c r="BB154" i="5"/>
  <c r="BB155" i="5"/>
  <c r="BB156" i="5"/>
  <c r="BB157" i="5"/>
  <c r="BB158" i="5"/>
  <c r="BB159" i="5"/>
  <c r="BB160" i="5"/>
  <c r="BB161" i="5"/>
  <c r="BB162" i="5"/>
  <c r="BB256" i="5"/>
  <c r="BB257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1" i="5"/>
  <c r="BB282" i="5"/>
  <c r="BB283" i="5"/>
  <c r="BB193" i="5"/>
  <c r="BB194" i="5"/>
  <c r="BB195" i="5"/>
  <c r="BB284" i="5"/>
  <c r="BB285" i="5"/>
  <c r="BB286" i="5"/>
  <c r="BB287" i="5"/>
  <c r="BB5" i="5"/>
  <c r="BB288" i="5"/>
  <c r="BB289" i="5"/>
  <c r="BB290" i="5"/>
  <c r="BB291" i="5"/>
  <c r="BB196" i="5"/>
  <c r="BB197" i="5"/>
  <c r="BB198" i="5"/>
  <c r="BB199" i="5"/>
  <c r="BB293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4" i="5"/>
  <c r="BB210" i="5"/>
  <c r="BB211" i="5"/>
  <c r="BB212" i="5"/>
  <c r="BB258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5" i="5"/>
  <c r="BB296" i="5"/>
  <c r="BB8" i="5"/>
  <c r="BB229" i="5"/>
  <c r="BB230" i="5"/>
  <c r="BB231" i="5"/>
  <c r="BB297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1" i="5"/>
  <c r="BB242" i="5"/>
  <c r="BB243" i="5"/>
  <c r="BB244" i="5"/>
  <c r="BB245" i="5"/>
  <c r="BB246" i="5"/>
  <c r="BB247" i="5"/>
  <c r="BB248" i="5"/>
  <c r="BB249" i="5"/>
  <c r="BB250" i="5"/>
  <c r="BB35" i="5"/>
  <c r="BB298" i="5"/>
  <c r="BB36" i="5"/>
  <c r="BB37" i="5"/>
  <c r="BB251" i="5"/>
  <c r="BB252" i="5"/>
  <c r="BB303" i="5"/>
  <c r="BB304" i="5"/>
  <c r="BB305" i="5"/>
  <c r="BB306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1" i="5"/>
  <c r="BB342" i="5"/>
  <c r="BB343" i="5"/>
  <c r="BB344" i="5"/>
  <c r="BB345" i="5"/>
  <c r="BB346" i="5"/>
  <c r="BB347" i="5"/>
  <c r="BB348" i="5"/>
  <c r="BB349" i="5"/>
  <c r="BB350" i="5"/>
  <c r="BB34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7" i="5"/>
  <c r="BB388" i="5"/>
  <c r="BB389" i="5"/>
  <c r="BB390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292" i="5"/>
  <c r="AI304" i="4"/>
  <c r="AI317" i="4"/>
  <c r="AI318" i="4"/>
  <c r="AI311" i="4"/>
  <c r="AI312" i="4"/>
  <c r="AI313" i="4"/>
  <c r="AI314" i="4"/>
  <c r="AI315" i="4"/>
  <c r="AI307" i="4"/>
  <c r="AI316" i="4"/>
  <c r="AI305" i="4"/>
  <c r="AI306" i="4"/>
  <c r="AI349" i="4"/>
  <c r="AI333" i="4"/>
  <c r="AI331" i="4"/>
  <c r="AI332" i="4"/>
  <c r="AI350" i="4"/>
  <c r="AI348" i="4"/>
  <c r="AI344" i="4"/>
  <c r="AI336" i="4"/>
  <c r="AI340" i="4"/>
  <c r="AI341" i="4"/>
  <c r="AI347" i="4"/>
  <c r="AI351" i="4"/>
  <c r="AI346" i="4"/>
  <c r="AI321" i="4"/>
  <c r="AI323" i="4"/>
  <c r="AI324" i="4"/>
  <c r="AI325" i="4"/>
  <c r="AI319" i="4"/>
  <c r="AI343" i="4"/>
  <c r="AI338" i="4"/>
  <c r="AI342" i="4"/>
  <c r="AI326" i="4"/>
  <c r="AI327" i="4"/>
  <c r="AI328" i="4"/>
  <c r="AI329" i="4"/>
  <c r="AI330" i="4"/>
  <c r="AI345" i="4"/>
  <c r="AI322" i="4"/>
  <c r="AI334" i="4"/>
  <c r="AI335" i="4"/>
  <c r="AI337" i="4"/>
  <c r="AI339" i="4"/>
  <c r="AI320" i="4"/>
  <c r="AI357" i="4"/>
  <c r="AI358" i="4"/>
  <c r="AI372" i="4"/>
  <c r="AI373" i="4"/>
  <c r="AI355" i="4"/>
  <c r="AI359" i="4"/>
  <c r="AI360" i="4"/>
  <c r="AI365" i="4"/>
  <c r="AI356" i="4"/>
  <c r="AI366" i="4"/>
  <c r="AI367" i="4"/>
  <c r="AI368" i="4"/>
  <c r="AI361" i="4"/>
  <c r="AI363" i="4"/>
  <c r="AI362" i="4"/>
  <c r="AI369" i="4"/>
  <c r="AI370" i="4"/>
  <c r="AI371" i="4"/>
  <c r="AI352" i="4"/>
  <c r="AI364" i="4"/>
  <c r="AI353" i="4"/>
  <c r="AI354" i="4"/>
  <c r="AI374" i="4"/>
  <c r="AI375" i="4"/>
  <c r="AI376" i="4"/>
  <c r="AI377" i="4"/>
  <c r="AI378" i="4"/>
  <c r="AI379" i="4"/>
  <c r="AI380" i="4"/>
  <c r="AI381" i="4"/>
  <c r="AI383" i="4"/>
  <c r="AI382" i="4"/>
  <c r="AI385" i="4"/>
  <c r="AI390" i="4"/>
  <c r="AI389" i="4"/>
  <c r="AI388" i="4"/>
  <c r="AI387" i="4"/>
  <c r="AI391" i="4"/>
  <c r="AI407" i="4"/>
  <c r="AI404" i="4"/>
  <c r="AI393" i="4"/>
  <c r="AI403" i="4"/>
  <c r="AI394" i="4"/>
  <c r="AI395" i="4"/>
  <c r="AI396" i="4"/>
  <c r="AI397" i="4"/>
  <c r="AI416" i="4"/>
  <c r="AI408" i="4"/>
  <c r="AI412" i="4"/>
  <c r="AI409" i="4"/>
  <c r="AI410" i="4"/>
  <c r="AI398" i="4"/>
  <c r="AI400" i="4"/>
  <c r="AI401" i="4"/>
  <c r="AI415" i="4"/>
  <c r="AI405" i="4"/>
  <c r="AI411" i="4"/>
  <c r="AI402" i="4"/>
  <c r="AI392" i="4"/>
  <c r="AI413" i="4"/>
  <c r="AI414" i="4"/>
  <c r="AI406" i="4"/>
  <c r="AI399" i="4"/>
  <c r="BF79" i="5"/>
  <c r="I43" i="3"/>
  <c r="E11" i="3"/>
  <c r="E12" i="3"/>
  <c r="E13" i="3"/>
  <c r="E14" i="3"/>
  <c r="E16" i="3"/>
  <c r="E17" i="3"/>
  <c r="E18" i="3"/>
  <c r="E19" i="3"/>
  <c r="E20" i="3"/>
  <c r="E21" i="3"/>
  <c r="E22" i="3"/>
  <c r="E23" i="3"/>
  <c r="E24" i="3"/>
  <c r="E26" i="3"/>
  <c r="E27" i="3"/>
  <c r="E28" i="3"/>
  <c r="E40" i="3"/>
  <c r="E30" i="3"/>
  <c r="E31" i="3"/>
  <c r="E41" i="3"/>
  <c r="E42" i="3"/>
  <c r="E43" i="3"/>
  <c r="E32" i="3"/>
  <c r="E33" i="3"/>
  <c r="E34" i="3"/>
  <c r="E35" i="3"/>
  <c r="E36" i="3"/>
  <c r="E37" i="3"/>
  <c r="E38" i="3"/>
  <c r="E39" i="3"/>
  <c r="E6" i="3"/>
  <c r="I36" i="3"/>
  <c r="I31" i="3"/>
  <c r="I21" i="3"/>
  <c r="I28" i="3"/>
  <c r="AM264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50" i="5"/>
  <c r="AR250" i="5"/>
  <c r="AT250" i="5"/>
  <c r="AU250" i="5"/>
  <c r="AV250" i="5"/>
  <c r="AW250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1" i="5"/>
  <c r="AQ241" i="5"/>
  <c r="AR241" i="5"/>
  <c r="AT241" i="5"/>
  <c r="AU241" i="5"/>
  <c r="AV241" i="5"/>
  <c r="AW241" i="5"/>
  <c r="AP264" i="5"/>
  <c r="AQ264" i="5"/>
  <c r="AR264" i="5"/>
  <c r="AS264" i="5"/>
  <c r="AT264" i="5"/>
  <c r="AU264" i="5"/>
  <c r="AV264" i="5"/>
  <c r="AW264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5" i="5"/>
  <c r="AR265" i="5"/>
  <c r="AS265" i="5"/>
  <c r="AT265" i="5"/>
  <c r="AU265" i="5"/>
  <c r="AV265" i="5"/>
  <c r="AW265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3" i="5"/>
  <c r="AQ273" i="5"/>
  <c r="AR273" i="5"/>
  <c r="AS273" i="5"/>
  <c r="AT273" i="5"/>
  <c r="AU273" i="5"/>
  <c r="AV273" i="5"/>
  <c r="AW273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3" i="5"/>
  <c r="AR253" i="5"/>
  <c r="AS253" i="5"/>
  <c r="AT253" i="5"/>
  <c r="AU253" i="5"/>
  <c r="AV253" i="5"/>
  <c r="AW253" i="5"/>
  <c r="AP104" i="5"/>
  <c r="AQ104" i="5"/>
  <c r="AR104" i="5"/>
  <c r="AT104" i="5"/>
  <c r="AU104" i="5"/>
  <c r="AV104" i="5"/>
  <c r="AW104" i="5"/>
  <c r="AP270" i="5"/>
  <c r="AQ270" i="5"/>
  <c r="AR270" i="5"/>
  <c r="AT270" i="5"/>
  <c r="AU270" i="5"/>
  <c r="AV270" i="5"/>
  <c r="AW27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8" i="5"/>
  <c r="AR298" i="5"/>
  <c r="AS298" i="5"/>
  <c r="AT298" i="5"/>
  <c r="AU298" i="5"/>
  <c r="AV298" i="5"/>
  <c r="AW298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6" i="5"/>
  <c r="AR266" i="5"/>
  <c r="AS266" i="5"/>
  <c r="AT266" i="5"/>
  <c r="AU266" i="5"/>
  <c r="AV266" i="5"/>
  <c r="AW266" i="5"/>
  <c r="AP81" i="5"/>
  <c r="AR81" i="5"/>
  <c r="AT81" i="5"/>
  <c r="AU81" i="5"/>
  <c r="AV81" i="5"/>
  <c r="AW81" i="5"/>
  <c r="AP267" i="5"/>
  <c r="AR267" i="5"/>
  <c r="AT267" i="5"/>
  <c r="AU267" i="5"/>
  <c r="AV267" i="5"/>
  <c r="AW267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9" i="5"/>
  <c r="AR259" i="5"/>
  <c r="AT259" i="5"/>
  <c r="AU259" i="5"/>
  <c r="AV259" i="5"/>
  <c r="AW259" i="5"/>
  <c r="AP260" i="5"/>
  <c r="AR260" i="5"/>
  <c r="AT260" i="5"/>
  <c r="AU260" i="5"/>
  <c r="AV260" i="5"/>
  <c r="AW260" i="5"/>
  <c r="AP86" i="5"/>
  <c r="AR86" i="5"/>
  <c r="AT86" i="5"/>
  <c r="AU86" i="5"/>
  <c r="AV86" i="5"/>
  <c r="AW86" i="5"/>
  <c r="AP261" i="5"/>
  <c r="AR261" i="5"/>
  <c r="AT261" i="5"/>
  <c r="AU261" i="5"/>
  <c r="AV261" i="5"/>
  <c r="AW261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2" i="5"/>
  <c r="AR262" i="5"/>
  <c r="AT262" i="5"/>
  <c r="AU262" i="5"/>
  <c r="AV262" i="5"/>
  <c r="AW262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8" i="5"/>
  <c r="AQ268" i="5"/>
  <c r="AR268" i="5"/>
  <c r="AT268" i="5"/>
  <c r="AU268" i="5"/>
  <c r="AV268" i="5"/>
  <c r="AW268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4" i="5"/>
  <c r="AR284" i="5"/>
  <c r="AT284" i="5"/>
  <c r="AU284" i="5"/>
  <c r="AV284" i="5"/>
  <c r="AW284" i="5"/>
  <c r="AP285" i="5"/>
  <c r="AR285" i="5"/>
  <c r="AT285" i="5"/>
  <c r="AU285" i="5"/>
  <c r="AV285" i="5"/>
  <c r="AW285" i="5"/>
  <c r="AP289" i="5"/>
  <c r="AR289" i="5"/>
  <c r="AT289" i="5"/>
  <c r="AU289" i="5"/>
  <c r="AV289" i="5"/>
  <c r="AW289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3" i="5"/>
  <c r="AR243" i="5"/>
  <c r="AT243" i="5"/>
  <c r="AU243" i="5"/>
  <c r="AV243" i="5"/>
  <c r="AW243" i="5"/>
  <c r="AP245" i="5"/>
  <c r="AR245" i="5"/>
  <c r="AT245" i="5"/>
  <c r="AU245" i="5"/>
  <c r="AV245" i="5"/>
  <c r="AW245" i="5"/>
  <c r="AP252" i="5"/>
  <c r="AR252" i="5"/>
  <c r="AT252" i="5"/>
  <c r="AU252" i="5"/>
  <c r="AV252" i="5"/>
  <c r="AW252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90" i="5"/>
  <c r="AR290" i="5"/>
  <c r="AT290" i="5"/>
  <c r="AU290" i="5"/>
  <c r="AV290" i="5"/>
  <c r="AW290" i="5"/>
  <c r="AP293" i="5"/>
  <c r="AR293" i="5"/>
  <c r="AT293" i="5"/>
  <c r="AU293" i="5"/>
  <c r="AV293" i="5"/>
  <c r="AW293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1" i="5"/>
  <c r="AR281" i="5"/>
  <c r="AT281" i="5"/>
  <c r="AU281" i="5"/>
  <c r="AV281" i="5"/>
  <c r="AW281" i="5"/>
  <c r="AP283" i="5"/>
  <c r="AR283" i="5"/>
  <c r="AT283" i="5"/>
  <c r="AU283" i="5"/>
  <c r="AV283" i="5"/>
  <c r="AW283" i="5"/>
  <c r="AP195" i="5"/>
  <c r="AR195" i="5"/>
  <c r="AT195" i="5"/>
  <c r="AU195" i="5"/>
  <c r="AV195" i="5"/>
  <c r="AW195" i="5"/>
  <c r="AP288" i="5"/>
  <c r="AR288" i="5"/>
  <c r="AT288" i="5"/>
  <c r="AU288" i="5"/>
  <c r="AV288" i="5"/>
  <c r="AW288" i="5"/>
  <c r="AP292" i="5"/>
  <c r="AR292" i="5"/>
  <c r="AT292" i="5"/>
  <c r="AU292" i="5"/>
  <c r="AV292" i="5"/>
  <c r="AW292" i="5"/>
  <c r="AP295" i="5"/>
  <c r="AR295" i="5"/>
  <c r="AT295" i="5"/>
  <c r="AU295" i="5"/>
  <c r="AV295" i="5"/>
  <c r="AW295" i="5"/>
  <c r="AP296" i="5"/>
  <c r="AR296" i="5"/>
  <c r="AT296" i="5"/>
  <c r="AU296" i="5"/>
  <c r="AV296" i="5"/>
  <c r="AW296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80" i="5"/>
  <c r="AR280" i="5"/>
  <c r="AT280" i="5"/>
  <c r="AU280" i="5"/>
  <c r="AV280" i="5"/>
  <c r="AW280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2" i="5"/>
  <c r="AR282" i="5"/>
  <c r="AT282" i="5"/>
  <c r="AU282" i="5"/>
  <c r="AV282" i="5"/>
  <c r="AW282" i="5"/>
  <c r="AP211" i="5"/>
  <c r="AQ211" i="5"/>
  <c r="AR211" i="5"/>
  <c r="AT211" i="5"/>
  <c r="AU211" i="5"/>
  <c r="AV211" i="5"/>
  <c r="AW211" i="5"/>
  <c r="AP258" i="5"/>
  <c r="AR258" i="5"/>
  <c r="AT258" i="5"/>
  <c r="AU258" i="5"/>
  <c r="AV258" i="5"/>
  <c r="AW258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9" i="5"/>
  <c r="AR269" i="5"/>
  <c r="AS269" i="5"/>
  <c r="AT269" i="5"/>
  <c r="AU269" i="5"/>
  <c r="AV269" i="5"/>
  <c r="AW269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6" i="5"/>
  <c r="AR286" i="5"/>
  <c r="AT286" i="5"/>
  <c r="AU286" i="5"/>
  <c r="AV286" i="5"/>
  <c r="AW286" i="5"/>
  <c r="AP176" i="5"/>
  <c r="AR176" i="5"/>
  <c r="AS176" i="5"/>
  <c r="AU176" i="5"/>
  <c r="AP179" i="5"/>
  <c r="AQ179" i="5"/>
  <c r="AR179" i="5"/>
  <c r="AT179" i="5"/>
  <c r="AU179" i="5"/>
  <c r="AV179" i="5"/>
  <c r="AW179" i="5"/>
  <c r="AP287" i="5"/>
  <c r="AR287" i="5"/>
  <c r="AT287" i="5"/>
  <c r="AU287" i="5"/>
  <c r="AV287" i="5"/>
  <c r="AW287" i="5"/>
  <c r="AP244" i="5"/>
  <c r="AR244" i="5"/>
  <c r="AT244" i="5"/>
  <c r="AU244" i="5"/>
  <c r="AV244" i="5"/>
  <c r="AW244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248" i="5"/>
  <c r="AR248" i="5"/>
  <c r="AT248" i="5"/>
  <c r="AU248" i="5"/>
  <c r="AV248" i="5"/>
  <c r="AW248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2" i="5"/>
  <c r="AR242" i="5"/>
  <c r="AT242" i="5"/>
  <c r="AU242" i="5"/>
  <c r="AV242" i="5"/>
  <c r="AW242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5" i="5"/>
  <c r="AR275" i="5"/>
  <c r="AS275" i="5"/>
  <c r="AT275" i="5"/>
  <c r="AU275" i="5"/>
  <c r="AV275" i="5"/>
  <c r="AW275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4" i="5"/>
  <c r="AR274" i="5"/>
  <c r="AT274" i="5"/>
  <c r="AU274" i="5"/>
  <c r="AV274" i="5"/>
  <c r="AW274" i="5"/>
  <c r="AP34" i="5"/>
  <c r="AR34" i="5"/>
  <c r="AU34" i="5"/>
  <c r="AP134" i="5"/>
  <c r="AR134" i="5"/>
  <c r="AS134" i="5"/>
  <c r="AT134" i="5"/>
  <c r="AU134" i="5"/>
  <c r="AV134" i="5"/>
  <c r="AW134" i="5"/>
  <c r="AP272" i="5"/>
  <c r="AQ272" i="5"/>
  <c r="AR272" i="5"/>
  <c r="AS272" i="5"/>
  <c r="AT272" i="5"/>
  <c r="AU272" i="5"/>
  <c r="AV272" i="5"/>
  <c r="AW27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7" i="5"/>
  <c r="AQ277" i="5"/>
  <c r="AR277" i="5"/>
  <c r="AS277" i="5"/>
  <c r="AT277" i="5"/>
  <c r="AU277" i="5"/>
  <c r="AV277" i="5"/>
  <c r="AW277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7" i="5"/>
  <c r="AR297" i="5"/>
  <c r="AT297" i="5"/>
  <c r="AU297" i="5"/>
  <c r="AV297" i="5"/>
  <c r="AW297" i="5"/>
  <c r="AP278" i="5"/>
  <c r="AR278" i="5"/>
  <c r="AT278" i="5"/>
  <c r="AU278" i="5"/>
  <c r="AV278" i="5"/>
  <c r="AW278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1" i="5"/>
  <c r="AR251" i="5"/>
  <c r="AT251" i="5"/>
  <c r="AU251" i="5"/>
  <c r="AV251" i="5"/>
  <c r="AW251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6" i="5"/>
  <c r="AR276" i="5"/>
  <c r="AT276" i="5"/>
  <c r="AU276" i="5"/>
  <c r="AV276" i="5"/>
  <c r="AW276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4" i="5"/>
  <c r="AR294" i="5"/>
  <c r="AT294" i="5"/>
  <c r="AU294" i="5"/>
  <c r="AV294" i="5"/>
  <c r="AW294" i="5"/>
  <c r="AP48" i="5"/>
  <c r="AR48" i="5"/>
  <c r="AT48" i="5"/>
  <c r="AU48" i="5"/>
  <c r="AV48" i="5"/>
  <c r="AW48" i="5"/>
  <c r="AP249" i="5"/>
  <c r="AR249" i="5"/>
  <c r="AT249" i="5"/>
  <c r="AU249" i="5"/>
  <c r="AV249" i="5"/>
  <c r="AW249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5" i="5"/>
  <c r="AR255" i="5"/>
  <c r="AS255" i="5"/>
  <c r="AT255" i="5"/>
  <c r="AU255" i="5"/>
  <c r="AV255" i="5"/>
  <c r="AW255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1" i="5"/>
  <c r="AQ271" i="5"/>
  <c r="AR271" i="5"/>
  <c r="AT271" i="5"/>
  <c r="AU271" i="5"/>
  <c r="AV271" i="5"/>
  <c r="AW271" i="5"/>
  <c r="AP257" i="5"/>
  <c r="AR257" i="5"/>
  <c r="AT257" i="5"/>
  <c r="AU257" i="5"/>
  <c r="AV257" i="5"/>
  <c r="AW257" i="5"/>
  <c r="AP279" i="5"/>
  <c r="AR279" i="5"/>
  <c r="AS279" i="5"/>
  <c r="AT279" i="5"/>
  <c r="AU279" i="5"/>
  <c r="AV279" i="5"/>
  <c r="AW279" i="5"/>
  <c r="AP263" i="5"/>
  <c r="AR263" i="5"/>
  <c r="AT263" i="5"/>
  <c r="AU263" i="5"/>
  <c r="AV263" i="5"/>
  <c r="AW263" i="5"/>
  <c r="AP38" i="5"/>
  <c r="AR38" i="5"/>
  <c r="AT38" i="5"/>
  <c r="AU38" i="5"/>
  <c r="AV38" i="5"/>
  <c r="AW38" i="5"/>
  <c r="AP256" i="5"/>
  <c r="AR256" i="5"/>
  <c r="AT256" i="5"/>
  <c r="AU256" i="5"/>
  <c r="AV256" i="5"/>
  <c r="AW256" i="5"/>
  <c r="AP291" i="5"/>
  <c r="AR291" i="5"/>
  <c r="AT291" i="5"/>
  <c r="AU291" i="5"/>
  <c r="AV291" i="5"/>
  <c r="AW291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4" i="5"/>
  <c r="AR254" i="5"/>
  <c r="AT254" i="5"/>
  <c r="AU254" i="5"/>
  <c r="AV254" i="5"/>
  <c r="AW254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03" i="5"/>
  <c r="AR303" i="5"/>
  <c r="AS303" i="5"/>
  <c r="AT303" i="5"/>
  <c r="AU303" i="5"/>
  <c r="AV303" i="5"/>
  <c r="AW303" i="5"/>
  <c r="AX303" i="5"/>
  <c r="AY303" i="5"/>
  <c r="AZ303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9" i="5"/>
  <c r="AR309" i="5"/>
  <c r="AS309" i="5"/>
  <c r="AT309" i="5"/>
  <c r="AU309" i="5"/>
  <c r="AV309" i="5"/>
  <c r="AW309" i="5"/>
  <c r="AX309" i="5"/>
  <c r="AY309" i="5"/>
  <c r="AZ309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08" i="5"/>
  <c r="AR308" i="5"/>
  <c r="AS308" i="5"/>
  <c r="AT308" i="5"/>
  <c r="AU308" i="5"/>
  <c r="AV308" i="5"/>
  <c r="AW308" i="5"/>
  <c r="AX308" i="5"/>
  <c r="AY308" i="5"/>
  <c r="AZ308" i="5"/>
  <c r="AP313" i="5"/>
  <c r="AR313" i="5"/>
  <c r="AS313" i="5"/>
  <c r="AT313" i="5"/>
  <c r="AU313" i="5"/>
  <c r="AV313" i="5"/>
  <c r="AW313" i="5"/>
  <c r="AX313" i="5"/>
  <c r="AY313" i="5"/>
  <c r="AZ313" i="5"/>
  <c r="AP316" i="5"/>
  <c r="AR316" i="5"/>
  <c r="AS316" i="5"/>
  <c r="AT316" i="5"/>
  <c r="AU316" i="5"/>
  <c r="AV316" i="5"/>
  <c r="AW316" i="5"/>
  <c r="AX316" i="5"/>
  <c r="AY316" i="5"/>
  <c r="AZ316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50" i="5"/>
  <c r="AR350" i="5"/>
  <c r="AS350" i="5"/>
  <c r="AT350" i="5"/>
  <c r="AU350" i="5"/>
  <c r="AV350" i="5"/>
  <c r="AW350" i="5"/>
  <c r="AX350" i="5"/>
  <c r="AY350" i="5"/>
  <c r="AZ350" i="5"/>
  <c r="AP335" i="5"/>
  <c r="AR335" i="5"/>
  <c r="AS335" i="5"/>
  <c r="AT335" i="5"/>
  <c r="AU335" i="5"/>
  <c r="AV335" i="5"/>
  <c r="AW335" i="5"/>
  <c r="AX335" i="5"/>
  <c r="AY335" i="5"/>
  <c r="AZ335" i="5"/>
  <c r="AP348" i="5"/>
  <c r="AR348" i="5"/>
  <c r="AS348" i="5"/>
  <c r="AT348" i="5"/>
  <c r="AU348" i="5"/>
  <c r="AV348" i="5"/>
  <c r="AW348" i="5"/>
  <c r="AX348" i="5"/>
  <c r="AY348" i="5"/>
  <c r="AZ348" i="5"/>
  <c r="AP349" i="5"/>
  <c r="AR349" i="5"/>
  <c r="AS349" i="5"/>
  <c r="AT349" i="5"/>
  <c r="AU349" i="5"/>
  <c r="AV349" i="5"/>
  <c r="AW349" i="5"/>
  <c r="AX349" i="5"/>
  <c r="AY349" i="5"/>
  <c r="AZ349" i="5"/>
  <c r="AP351" i="5"/>
  <c r="AR351" i="5"/>
  <c r="AS351" i="5"/>
  <c r="AT351" i="5"/>
  <c r="AU351" i="5"/>
  <c r="AV351" i="5"/>
  <c r="AW351" i="5"/>
  <c r="AX351" i="5"/>
  <c r="AY351" i="5"/>
  <c r="AZ351" i="5"/>
  <c r="AP338" i="5"/>
  <c r="AR338" i="5"/>
  <c r="AS338" i="5"/>
  <c r="AT338" i="5"/>
  <c r="AU338" i="5"/>
  <c r="AV338" i="5"/>
  <c r="AW338" i="5"/>
  <c r="AX338" i="5"/>
  <c r="AY338" i="5"/>
  <c r="AZ338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33" i="5"/>
  <c r="AR333" i="5"/>
  <c r="AS333" i="5"/>
  <c r="AT333" i="5"/>
  <c r="AU333" i="5"/>
  <c r="AV333" i="5"/>
  <c r="AW333" i="5"/>
  <c r="AX333" i="5"/>
  <c r="AY333" i="5"/>
  <c r="AZ333" i="5"/>
  <c r="AP336" i="5"/>
  <c r="AR336" i="5"/>
  <c r="AS336" i="5"/>
  <c r="AT336" i="5"/>
  <c r="AU336" i="5"/>
  <c r="AV336" i="5"/>
  <c r="AW336" i="5"/>
  <c r="AX336" i="5"/>
  <c r="AY336" i="5"/>
  <c r="AZ336" i="5"/>
  <c r="AP339" i="5"/>
  <c r="AR339" i="5"/>
  <c r="AS339" i="5"/>
  <c r="AT339" i="5"/>
  <c r="AU339" i="5"/>
  <c r="AV339" i="5"/>
  <c r="AW339" i="5"/>
  <c r="AX339" i="5"/>
  <c r="AY339" i="5"/>
  <c r="AZ339" i="5"/>
  <c r="AP341" i="5"/>
  <c r="AR341" i="5"/>
  <c r="AS341" i="5"/>
  <c r="AT341" i="5"/>
  <c r="AU341" i="5"/>
  <c r="AV341" i="5"/>
  <c r="AW341" i="5"/>
  <c r="AX341" i="5"/>
  <c r="AY341" i="5"/>
  <c r="AZ341" i="5"/>
  <c r="AP340" i="5"/>
  <c r="AR340" i="5"/>
  <c r="AS340" i="5"/>
  <c r="AT340" i="5"/>
  <c r="AU340" i="5"/>
  <c r="AV340" i="5"/>
  <c r="AW340" i="5"/>
  <c r="AX340" i="5"/>
  <c r="AY340" i="5"/>
  <c r="AZ340" i="5"/>
  <c r="AP324" i="5"/>
  <c r="AR324" i="5"/>
  <c r="AS324" i="5"/>
  <c r="AT324" i="5"/>
  <c r="AU324" i="5"/>
  <c r="AV324" i="5"/>
  <c r="AW324" i="5"/>
  <c r="AX324" i="5"/>
  <c r="AY324" i="5"/>
  <c r="AZ324" i="5"/>
  <c r="AP326" i="5"/>
  <c r="AR326" i="5"/>
  <c r="AS326" i="5"/>
  <c r="AT326" i="5"/>
  <c r="AU326" i="5"/>
  <c r="AV326" i="5"/>
  <c r="AW326" i="5"/>
  <c r="AX326" i="5"/>
  <c r="AY326" i="5"/>
  <c r="AZ32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2" i="5"/>
  <c r="AR332" i="5"/>
  <c r="AS332" i="5"/>
  <c r="AT332" i="5"/>
  <c r="AU332" i="5"/>
  <c r="AV332" i="5"/>
  <c r="AW332" i="5"/>
  <c r="AX332" i="5"/>
  <c r="AY332" i="5"/>
  <c r="AZ332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37" i="5"/>
  <c r="AR337" i="5"/>
  <c r="AS337" i="5"/>
  <c r="AT337" i="5"/>
  <c r="AU337" i="5"/>
  <c r="AV337" i="5"/>
  <c r="AW337" i="5"/>
  <c r="AX337" i="5"/>
  <c r="AY337" i="5"/>
  <c r="AZ337" i="5"/>
  <c r="AP347" i="5"/>
  <c r="AR347" i="5"/>
  <c r="AS347" i="5"/>
  <c r="AT347" i="5"/>
  <c r="AU347" i="5"/>
  <c r="AV347" i="5"/>
  <c r="AW347" i="5"/>
  <c r="AX347" i="5"/>
  <c r="AY347" i="5"/>
  <c r="AZ347" i="5"/>
  <c r="AP325" i="5"/>
  <c r="AR325" i="5"/>
  <c r="AS325" i="5"/>
  <c r="AT325" i="5"/>
  <c r="AU325" i="5"/>
  <c r="AV325" i="5"/>
  <c r="AW325" i="5"/>
  <c r="AX325" i="5"/>
  <c r="AY325" i="5"/>
  <c r="AZ325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1" i="5"/>
  <c r="AR321" i="5"/>
  <c r="AS321" i="5"/>
  <c r="AT321" i="5"/>
  <c r="AU321" i="5"/>
  <c r="AV321" i="5"/>
  <c r="AW321" i="5"/>
  <c r="AX321" i="5"/>
  <c r="AY321" i="5"/>
  <c r="AZ321" i="5"/>
  <c r="AP319" i="5"/>
  <c r="AR319" i="5"/>
  <c r="AS319" i="5"/>
  <c r="AT319" i="5"/>
  <c r="AU319" i="5"/>
  <c r="AV319" i="5"/>
  <c r="AW319" i="5"/>
  <c r="AX319" i="5"/>
  <c r="AY319" i="5"/>
  <c r="AZ319" i="5"/>
  <c r="AP320" i="5"/>
  <c r="AR320" i="5"/>
  <c r="AS320" i="5"/>
  <c r="AT320" i="5"/>
  <c r="AU320" i="5"/>
  <c r="AV320" i="5"/>
  <c r="AW320" i="5"/>
  <c r="AX320" i="5"/>
  <c r="AY320" i="5"/>
  <c r="AZ320" i="5"/>
  <c r="AP361" i="5"/>
  <c r="AR361" i="5"/>
  <c r="AS361" i="5"/>
  <c r="AT361" i="5"/>
  <c r="AU361" i="5"/>
  <c r="AV361" i="5"/>
  <c r="AW361" i="5"/>
  <c r="AX361" i="5"/>
  <c r="AY361" i="5"/>
  <c r="AZ361" i="5"/>
  <c r="AP352" i="5"/>
  <c r="AR352" i="5"/>
  <c r="AS352" i="5"/>
  <c r="AT352" i="5"/>
  <c r="AU352" i="5"/>
  <c r="AV352" i="5"/>
  <c r="AW352" i="5"/>
  <c r="AX352" i="5"/>
  <c r="AY352" i="5"/>
  <c r="AZ352" i="5"/>
  <c r="AP356" i="5"/>
  <c r="AR356" i="5"/>
  <c r="AS356" i="5"/>
  <c r="AT356" i="5"/>
  <c r="AU356" i="5"/>
  <c r="AV356" i="5"/>
  <c r="AW356" i="5"/>
  <c r="AX356" i="5"/>
  <c r="AY356" i="5"/>
  <c r="AZ356" i="5"/>
  <c r="AP357" i="5"/>
  <c r="AR357" i="5"/>
  <c r="AS357" i="5"/>
  <c r="AT357" i="5"/>
  <c r="AU357" i="5"/>
  <c r="AV357" i="5"/>
  <c r="AW357" i="5"/>
  <c r="AX357" i="5"/>
  <c r="AY357" i="5"/>
  <c r="AZ357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70" i="5"/>
  <c r="AR370" i="5"/>
  <c r="AS370" i="5"/>
  <c r="AT370" i="5"/>
  <c r="AU370" i="5"/>
  <c r="AV370" i="5"/>
  <c r="AW370" i="5"/>
  <c r="AX370" i="5"/>
  <c r="AY370" i="5"/>
  <c r="AZ370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8" i="5"/>
  <c r="AR378" i="5"/>
  <c r="AS378" i="5"/>
  <c r="AT378" i="5"/>
  <c r="AU378" i="5"/>
  <c r="AV378" i="5"/>
  <c r="AW378" i="5"/>
  <c r="AX378" i="5"/>
  <c r="AY378" i="5"/>
  <c r="AZ378" i="5"/>
  <c r="AP379" i="5"/>
  <c r="AR379" i="5"/>
  <c r="AS379" i="5"/>
  <c r="AT379" i="5"/>
  <c r="AU379" i="5"/>
  <c r="AV379" i="5"/>
  <c r="AW379" i="5"/>
  <c r="AX379" i="5"/>
  <c r="AY379" i="5"/>
  <c r="AZ379" i="5"/>
  <c r="AP380" i="5"/>
  <c r="AR380" i="5"/>
  <c r="AS380" i="5"/>
  <c r="AT380" i="5"/>
  <c r="AU380" i="5"/>
  <c r="AV380" i="5"/>
  <c r="AW380" i="5"/>
  <c r="AX380" i="5"/>
  <c r="AY380" i="5"/>
  <c r="AZ380" i="5"/>
  <c r="AP381" i="5"/>
  <c r="AR381" i="5"/>
  <c r="AS381" i="5"/>
  <c r="AT381" i="5"/>
  <c r="AU381" i="5"/>
  <c r="AV381" i="5"/>
  <c r="AW381" i="5"/>
  <c r="AX381" i="5"/>
  <c r="AY381" i="5"/>
  <c r="AZ381" i="5"/>
  <c r="AP383" i="5"/>
  <c r="AR383" i="5"/>
  <c r="AS383" i="5"/>
  <c r="AT383" i="5"/>
  <c r="AU383" i="5"/>
  <c r="AV383" i="5"/>
  <c r="AW383" i="5"/>
  <c r="AX383" i="5"/>
  <c r="AY383" i="5"/>
  <c r="AZ383" i="5"/>
  <c r="AP382" i="5"/>
  <c r="AR382" i="5"/>
  <c r="AS382" i="5"/>
  <c r="AT382" i="5"/>
  <c r="AU382" i="5"/>
  <c r="AV382" i="5"/>
  <c r="AW382" i="5"/>
  <c r="AX382" i="5"/>
  <c r="AY382" i="5"/>
  <c r="AZ382" i="5"/>
  <c r="AP384" i="5"/>
  <c r="AR384" i="5"/>
  <c r="AS384" i="5"/>
  <c r="AT384" i="5"/>
  <c r="AU384" i="5"/>
  <c r="AV384" i="5"/>
  <c r="AW384" i="5"/>
  <c r="AX384" i="5"/>
  <c r="AY384" i="5"/>
  <c r="AZ384" i="5"/>
  <c r="AP388" i="5"/>
  <c r="AQ388" i="5"/>
  <c r="AR388" i="5"/>
  <c r="AS388" i="5"/>
  <c r="AT388" i="5"/>
  <c r="AU388" i="5"/>
  <c r="AV388" i="5"/>
  <c r="AW388" i="5"/>
  <c r="AX388" i="5"/>
  <c r="AY388" i="5"/>
  <c r="AZ388" i="5"/>
  <c r="AP389" i="5"/>
  <c r="AQ389" i="5"/>
  <c r="AR389" i="5"/>
  <c r="AS389" i="5"/>
  <c r="AT389" i="5"/>
  <c r="AU389" i="5"/>
  <c r="AV389" i="5"/>
  <c r="AW389" i="5"/>
  <c r="AX389" i="5"/>
  <c r="AY389" i="5"/>
  <c r="AZ389" i="5"/>
  <c r="AP390" i="5"/>
  <c r="AQ390" i="5"/>
  <c r="AR390" i="5"/>
  <c r="AS390" i="5"/>
  <c r="AT390" i="5"/>
  <c r="AU390" i="5"/>
  <c r="AV390" i="5"/>
  <c r="AW390" i="5"/>
  <c r="AX390" i="5"/>
  <c r="AY390" i="5"/>
  <c r="AZ390" i="5"/>
  <c r="AP387" i="5"/>
  <c r="AQ387" i="5"/>
  <c r="AR387" i="5"/>
  <c r="AS387" i="5"/>
  <c r="AT387" i="5"/>
  <c r="AU387" i="5"/>
  <c r="AV387" i="5"/>
  <c r="AW387" i="5"/>
  <c r="AX387" i="5"/>
  <c r="AY387" i="5"/>
  <c r="AZ387" i="5"/>
  <c r="AP391" i="5"/>
  <c r="AQ391" i="5"/>
  <c r="AR391" i="5"/>
  <c r="AS391" i="5"/>
  <c r="AT391" i="5"/>
  <c r="AU391" i="5"/>
  <c r="AV391" i="5"/>
  <c r="AW391" i="5"/>
  <c r="AX391" i="5"/>
  <c r="AY391" i="5"/>
  <c r="AZ391" i="5"/>
  <c r="AR395" i="5"/>
  <c r="AS395" i="5"/>
  <c r="AT395" i="5"/>
  <c r="AU395" i="5"/>
  <c r="AV395" i="5"/>
  <c r="AW395" i="5"/>
  <c r="AX395" i="5"/>
  <c r="AY395" i="5"/>
  <c r="AR394" i="5"/>
  <c r="AS394" i="5"/>
  <c r="AT394" i="5"/>
  <c r="AU394" i="5"/>
  <c r="AV394" i="5"/>
  <c r="AW394" i="5"/>
  <c r="AX394" i="5"/>
  <c r="AY394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12" i="5"/>
  <c r="AS412" i="5"/>
  <c r="AT412" i="5"/>
  <c r="AU412" i="5"/>
  <c r="AV412" i="5"/>
  <c r="AW412" i="5"/>
  <c r="AX412" i="5"/>
  <c r="AY412" i="5"/>
  <c r="AR413" i="5"/>
  <c r="AS413" i="5"/>
  <c r="AT413" i="5"/>
  <c r="AU413" i="5"/>
  <c r="AV413" i="5"/>
  <c r="AW413" i="5"/>
  <c r="AX413" i="5"/>
  <c r="AY413" i="5"/>
  <c r="AR414" i="5"/>
  <c r="AS414" i="5"/>
  <c r="AT414" i="5"/>
  <c r="AU414" i="5"/>
  <c r="AV414" i="5"/>
  <c r="AW414" i="5"/>
  <c r="AX414" i="5"/>
  <c r="AY414" i="5"/>
  <c r="AR415" i="5"/>
  <c r="AS415" i="5"/>
  <c r="AT415" i="5"/>
  <c r="AU415" i="5"/>
  <c r="AV415" i="5"/>
  <c r="AW415" i="5"/>
  <c r="AX415" i="5"/>
  <c r="AY415" i="5"/>
  <c r="AR416" i="5"/>
  <c r="AS416" i="5"/>
  <c r="AT416" i="5"/>
  <c r="AU416" i="5"/>
  <c r="AV416" i="5"/>
  <c r="AW416" i="5"/>
  <c r="AX416" i="5"/>
  <c r="AY416" i="5"/>
  <c r="AR406" i="5"/>
  <c r="AS406" i="5"/>
  <c r="AT406" i="5"/>
  <c r="AU406" i="5"/>
  <c r="AV406" i="5"/>
  <c r="AW406" i="5"/>
  <c r="AX406" i="5"/>
  <c r="AY406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16" i="4"/>
  <c r="AC27" i="4"/>
  <c r="AC32" i="4"/>
  <c r="AC33" i="4"/>
  <c r="AC13" i="4"/>
  <c r="AC34" i="4"/>
  <c r="AC17" i="4"/>
  <c r="AC19" i="4"/>
  <c r="AC20" i="4"/>
  <c r="AC63" i="4"/>
  <c r="AC30" i="4"/>
  <c r="AC2" i="4"/>
  <c r="AC65" i="4"/>
  <c r="AC272" i="4"/>
  <c r="AC273" i="4"/>
  <c r="AC289" i="4"/>
  <c r="AC205" i="4"/>
  <c r="AC169" i="4"/>
  <c r="AC102" i="4"/>
  <c r="AC176" i="4"/>
  <c r="AC90" i="4"/>
  <c r="AC136" i="4"/>
  <c r="AC178" i="4"/>
  <c r="AC137" i="4"/>
  <c r="AC138" i="4"/>
  <c r="AC179" i="4"/>
  <c r="AC91" i="4"/>
  <c r="AC181" i="4"/>
  <c r="AC182" i="4"/>
  <c r="AC120" i="4"/>
  <c r="AC111" i="4"/>
  <c r="AC236" i="4"/>
  <c r="AC61" i="4"/>
  <c r="AC3" i="4"/>
  <c r="AC31" i="4"/>
  <c r="AC87" i="4"/>
  <c r="AC25" i="4"/>
  <c r="AC175" i="4"/>
  <c r="AC177" i="4"/>
  <c r="AC209" i="4"/>
  <c r="AC40" i="4"/>
  <c r="AC21" i="4"/>
  <c r="AC261" i="4"/>
  <c r="AC295" i="4"/>
  <c r="AC238" i="4"/>
  <c r="AC269" i="4"/>
  <c r="AC240" i="4"/>
  <c r="AC223" i="4"/>
  <c r="AC184" i="4"/>
  <c r="AC278" i="4"/>
  <c r="AC57" i="4"/>
  <c r="AC42" i="4"/>
  <c r="AC43" i="4"/>
  <c r="AC44" i="4"/>
  <c r="AC189" i="4"/>
  <c r="AC253" i="4"/>
  <c r="AC224" i="4"/>
  <c r="AC127" i="4"/>
  <c r="AC70" i="4"/>
  <c r="AC14" i="4"/>
  <c r="AC146" i="4"/>
  <c r="AC192" i="4"/>
  <c r="AC149" i="4"/>
  <c r="AC150" i="4"/>
  <c r="AC227" i="4"/>
  <c r="AC151" i="4"/>
  <c r="AC152" i="4"/>
  <c r="AC153" i="4"/>
  <c r="AC194" i="4"/>
  <c r="AC216" i="4"/>
  <c r="AC45" i="4"/>
  <c r="AC46" i="4"/>
  <c r="AC47" i="4"/>
  <c r="AC48" i="4"/>
  <c r="AC49" i="4"/>
  <c r="AC197" i="4"/>
  <c r="AC198" i="4"/>
  <c r="AC118" i="4"/>
  <c r="AC162" i="4"/>
  <c r="AC100" i="4"/>
  <c r="AC163" i="4"/>
  <c r="AC101" i="4"/>
  <c r="AC50" i="4"/>
  <c r="AC51" i="4"/>
  <c r="AC52" i="4"/>
  <c r="AC58" i="4"/>
  <c r="AC36" i="4"/>
  <c r="AC260" i="4"/>
  <c r="AC89" i="4"/>
  <c r="AC219" i="4"/>
  <c r="AC103" i="4"/>
  <c r="AC104" i="4"/>
  <c r="AC105" i="4"/>
  <c r="AC106" i="4"/>
  <c r="AC107" i="4"/>
  <c r="AC108" i="4"/>
  <c r="AC37" i="4"/>
  <c r="AC38" i="4"/>
  <c r="AC39" i="4"/>
  <c r="AC109" i="4"/>
  <c r="AC60" i="4"/>
  <c r="AC55" i="4"/>
  <c r="AC170" i="4"/>
  <c r="AC171" i="4"/>
  <c r="AC172" i="4"/>
  <c r="AC206" i="4"/>
  <c r="AC207" i="4"/>
  <c r="AC220" i="4"/>
  <c r="AC267" i="4"/>
  <c r="AC135" i="4"/>
  <c r="AC208" i="4"/>
  <c r="AC248" i="4"/>
  <c r="AC302" i="4"/>
  <c r="AC173" i="4"/>
  <c r="AC174" i="4"/>
  <c r="AC221" i="4"/>
  <c r="AC180" i="4"/>
  <c r="AC110" i="4"/>
  <c r="AC293" i="4"/>
  <c r="AC10" i="4"/>
  <c r="AC268" i="4"/>
  <c r="AC291" i="4"/>
  <c r="AC283" i="4"/>
  <c r="AC250" i="4"/>
  <c r="AC237" i="4"/>
  <c r="AC284" i="4"/>
  <c r="AC285" i="4"/>
  <c r="AC286" i="4"/>
  <c r="AC139" i="4"/>
  <c r="AC92" i="4"/>
  <c r="AC93" i="4"/>
  <c r="AC121" i="4"/>
  <c r="AC239" i="4"/>
  <c r="AC76" i="4"/>
  <c r="AC56" i="4"/>
  <c r="AC29" i="4"/>
  <c r="AC140" i="4"/>
  <c r="AC77" i="4"/>
  <c r="AC78" i="4"/>
  <c r="AC141" i="4"/>
  <c r="AC142" i="4"/>
  <c r="AC143" i="4"/>
  <c r="AC241" i="4"/>
  <c r="AC97" i="4"/>
  <c r="AC79" i="4"/>
  <c r="AC64" i="4"/>
  <c r="AC80" i="4"/>
  <c r="AC262" i="4"/>
  <c r="AC113" i="4"/>
  <c r="AC185" i="4"/>
  <c r="AC114" i="4"/>
  <c r="AC290" i="4"/>
  <c r="AC122" i="4"/>
  <c r="AC292" i="4"/>
  <c r="AC123" i="4"/>
  <c r="AC242" i="4"/>
  <c r="AC124" i="4"/>
  <c r="AC81" i="4"/>
  <c r="AC125" i="4"/>
  <c r="AC187" i="4"/>
  <c r="AC251" i="4"/>
  <c r="AC300" i="4"/>
  <c r="AC144" i="4"/>
  <c r="AC252" i="4"/>
  <c r="AC82" i="4"/>
  <c r="AC83" i="4"/>
  <c r="AC84" i="4"/>
  <c r="AC115" i="4"/>
  <c r="AC126" i="4"/>
  <c r="AC116" i="4"/>
  <c r="AC98" i="4"/>
  <c r="AC4" i="4"/>
  <c r="AC145" i="4"/>
  <c r="AC128" i="4"/>
  <c r="AC15" i="4"/>
  <c r="AC24" i="4"/>
  <c r="AC18" i="4"/>
  <c r="AC301" i="4"/>
  <c r="AC71" i="4"/>
  <c r="AC72" i="4"/>
  <c r="AC73" i="4"/>
  <c r="AC190" i="4"/>
  <c r="AC191" i="4"/>
  <c r="AC129" i="4"/>
  <c r="AC243" i="4"/>
  <c r="AC279" i="4"/>
  <c r="AC287" i="4"/>
  <c r="AC130" i="4"/>
  <c r="AC274" i="4"/>
  <c r="AC263" i="4"/>
  <c r="AC280" i="4"/>
  <c r="AC270" i="4"/>
  <c r="AC281" i="4"/>
  <c r="AC131" i="4"/>
  <c r="AC147" i="4"/>
  <c r="AC148" i="4"/>
  <c r="AC210" i="4"/>
  <c r="AC211" i="4"/>
  <c r="AC212" i="4"/>
  <c r="AC213" i="4"/>
  <c r="AC214" i="4"/>
  <c r="AC215" i="4"/>
  <c r="AC265" i="4"/>
  <c r="AC266" i="4"/>
  <c r="AC74" i="4"/>
  <c r="AC155" i="4"/>
  <c r="AC132" i="4"/>
  <c r="AC193" i="4"/>
  <c r="AC156" i="4"/>
  <c r="AC157" i="4"/>
  <c r="AC158" i="4"/>
  <c r="AC256" i="4"/>
  <c r="AC288" i="4"/>
  <c r="AC159" i="4"/>
  <c r="AC160" i="4"/>
  <c r="AC161" i="4"/>
  <c r="AC228" i="4"/>
  <c r="AC229" i="4"/>
  <c r="AC244" i="4"/>
  <c r="AC230" i="4"/>
  <c r="AC282" i="4"/>
  <c r="AC133" i="4"/>
  <c r="AC245" i="4"/>
  <c r="AC246" i="4"/>
  <c r="AC247" i="4"/>
  <c r="AC259" i="4"/>
  <c r="AC117" i="4"/>
  <c r="AC218" i="4"/>
  <c r="AC199" i="4"/>
  <c r="AC200" i="4"/>
  <c r="AC165" i="4"/>
  <c r="AC166" i="4"/>
  <c r="AC167" i="4"/>
  <c r="AC168" i="4"/>
  <c r="AC201" i="4"/>
  <c r="AC202" i="4"/>
  <c r="AC203" i="4"/>
  <c r="AC204" i="4"/>
  <c r="AC53" i="4"/>
  <c r="AC88" i="4"/>
  <c r="AC59" i="4"/>
  <c r="AC54" i="4"/>
  <c r="AC26" i="4"/>
  <c r="AC12" i="4"/>
  <c r="AC22" i="4"/>
  <c r="AC23" i="4"/>
  <c r="AC298" i="4"/>
  <c r="AC41" i="4"/>
  <c r="AC299" i="4"/>
  <c r="AC35" i="4"/>
  <c r="AC254" i="4"/>
  <c r="AC255" i="4"/>
  <c r="AC154" i="4"/>
  <c r="AC196" i="4"/>
  <c r="AC297" i="4"/>
  <c r="AC95" i="4"/>
  <c r="AC294" i="4"/>
  <c r="AC186" i="4"/>
  <c r="AC225" i="4"/>
  <c r="AC226" i="4"/>
  <c r="AC264" i="4"/>
  <c r="AC257" i="4"/>
  <c r="AC258" i="4"/>
  <c r="AC94" i="4"/>
  <c r="AC112" i="4"/>
  <c r="AC66" i="4"/>
  <c r="AC96" i="4"/>
  <c r="AC11" i="4"/>
  <c r="AC188" i="4"/>
  <c r="AC85" i="4"/>
  <c r="AC271" i="4"/>
  <c r="AC217" i="4"/>
  <c r="AC119" i="4"/>
  <c r="AC249" i="4"/>
  <c r="AC7" i="4"/>
  <c r="AC195" i="4"/>
  <c r="AC5" i="4"/>
  <c r="AC6" i="4"/>
  <c r="AC8" i="4"/>
  <c r="AC9" i="4"/>
  <c r="AC231" i="4"/>
  <c r="AC62" i="4"/>
  <c r="AC67" i="4"/>
  <c r="AC68" i="4"/>
  <c r="AC99" i="4"/>
  <c r="AC69" i="4"/>
  <c r="AC233" i="4"/>
  <c r="AC234" i="4"/>
  <c r="AC75" i="4"/>
  <c r="AC222" i="4"/>
  <c r="AC296" i="4"/>
  <c r="AC183" i="4"/>
  <c r="AC318" i="4"/>
  <c r="AC317" i="4"/>
  <c r="AC303" i="4"/>
  <c r="AC304" i="4"/>
  <c r="AC309" i="4"/>
  <c r="AC314" i="4"/>
  <c r="AC315" i="4"/>
  <c r="AC307" i="4"/>
  <c r="AC316" i="4"/>
  <c r="AC310" i="4"/>
  <c r="AC311" i="4"/>
  <c r="AC312" i="4"/>
  <c r="AC313" i="4"/>
  <c r="AC306" i="4"/>
  <c r="AC305" i="4"/>
  <c r="AC334" i="4"/>
  <c r="AC335" i="4"/>
  <c r="AC321" i="4"/>
  <c r="AC322" i="4"/>
  <c r="AC323" i="4"/>
  <c r="AC324" i="4"/>
  <c r="AC325" i="4"/>
  <c r="AC319" i="4"/>
  <c r="AC326" i="4"/>
  <c r="AC327" i="4"/>
  <c r="AC328" i="4"/>
  <c r="AC329" i="4"/>
  <c r="AC336" i="4"/>
  <c r="AC331" i="4"/>
  <c r="AC332" i="4"/>
  <c r="AC333" i="4"/>
  <c r="AC339" i="4"/>
  <c r="AC320" i="4"/>
  <c r="AC337" i="4"/>
  <c r="AC349" i="4"/>
  <c r="AC347" i="4"/>
  <c r="AC345" i="4"/>
  <c r="AC344" i="4"/>
  <c r="AC330" i="4"/>
  <c r="AC346" i="4"/>
  <c r="AC348" i="4"/>
  <c r="AC350" i="4"/>
  <c r="AC338" i="4"/>
  <c r="AC343" i="4"/>
  <c r="AC340" i="4"/>
  <c r="AC341" i="4"/>
  <c r="AC342" i="4"/>
  <c r="AC351" i="4"/>
  <c r="AC358" i="4"/>
  <c r="AC372" i="4"/>
  <c r="AC373" i="4"/>
  <c r="AC352" i="4"/>
  <c r="AC364" i="4"/>
  <c r="AC353" i="4"/>
  <c r="AC357" i="4"/>
  <c r="AC355" i="4"/>
  <c r="AC359" i="4"/>
  <c r="AC360" i="4"/>
  <c r="AC365" i="4"/>
  <c r="AC356" i="4"/>
  <c r="AC366" i="4"/>
  <c r="AC367" i="4"/>
  <c r="AC368" i="4"/>
  <c r="AC354" i="4"/>
  <c r="AC361" i="4"/>
  <c r="AC363" i="4"/>
  <c r="AC362" i="4"/>
  <c r="AC371" i="4"/>
  <c r="AC369" i="4"/>
  <c r="AC370" i="4"/>
  <c r="AC379" i="4"/>
  <c r="AC375" i="4"/>
  <c r="AC383" i="4"/>
  <c r="AC374" i="4"/>
  <c r="AC376" i="4"/>
  <c r="AC378" i="4"/>
  <c r="AC381" i="4"/>
  <c r="AC385" i="4"/>
  <c r="AC377" i="4"/>
  <c r="AC380" i="4"/>
  <c r="AC382" i="4"/>
  <c r="AC387" i="4"/>
  <c r="AC388" i="4"/>
  <c r="AC389" i="4"/>
  <c r="AC390" i="4"/>
  <c r="AC391" i="4"/>
  <c r="AC407" i="4"/>
  <c r="AC405" i="4"/>
  <c r="AC392" i="4"/>
  <c r="AC394" i="4"/>
  <c r="AC395" i="4"/>
  <c r="AC396" i="4"/>
  <c r="AC397" i="4"/>
  <c r="AC398" i="4"/>
  <c r="AC399" i="4"/>
  <c r="AC400" i="4"/>
  <c r="AC401" i="4"/>
  <c r="AC402" i="4"/>
  <c r="AC393" i="4"/>
  <c r="AC403" i="4"/>
  <c r="AC404" i="4"/>
  <c r="AC408" i="4"/>
  <c r="AC412" i="4"/>
  <c r="AC409" i="4"/>
  <c r="AC410" i="4"/>
  <c r="AC415" i="4"/>
  <c r="AC411" i="4"/>
  <c r="AC413" i="4"/>
  <c r="AC414" i="4"/>
  <c r="AC406" i="4"/>
  <c r="AC416" i="4"/>
  <c r="AC235" i="4"/>
  <c r="AD235" i="4"/>
  <c r="BD114" i="5"/>
  <c r="BD195" i="5"/>
  <c r="BD194" i="5"/>
  <c r="BD21" i="5"/>
  <c r="BD170" i="5"/>
  <c r="BD109" i="5"/>
  <c r="BD250" i="5"/>
  <c r="BD117" i="5"/>
  <c r="BD171" i="5"/>
  <c r="BD292" i="5"/>
  <c r="BD227" i="5"/>
  <c r="BD139" i="5"/>
  <c r="BD77" i="5"/>
  <c r="BD241" i="5"/>
  <c r="BD222" i="5"/>
  <c r="BD79" i="5"/>
  <c r="BD173" i="5"/>
  <c r="BD264" i="5"/>
  <c r="BD165" i="5"/>
  <c r="BD166" i="5"/>
  <c r="BD184" i="5"/>
  <c r="BD186" i="5"/>
  <c r="BD187" i="5"/>
  <c r="BD335" i="5"/>
  <c r="BD391" i="5"/>
  <c r="BD387" i="5"/>
  <c r="BD388" i="5"/>
  <c r="BD396" i="5"/>
  <c r="BD412" i="5"/>
  <c r="BD413" i="5"/>
  <c r="BD393" i="5"/>
  <c r="BD51" i="5"/>
  <c r="BD52" i="5"/>
  <c r="BD120" i="5"/>
  <c r="BD50" i="5"/>
  <c r="BD53" i="5"/>
  <c r="BD66" i="5"/>
  <c r="BD122" i="5"/>
  <c r="BD138" i="5"/>
  <c r="BD257" i="5"/>
  <c r="BD169" i="5"/>
  <c r="BD162" i="5"/>
  <c r="BD154" i="5"/>
  <c r="BD168" i="5"/>
  <c r="BD41" i="5"/>
  <c r="BD124" i="5"/>
  <c r="BD42" i="5"/>
  <c r="BD56" i="5"/>
  <c r="BD242" i="5"/>
  <c r="BD55" i="5"/>
  <c r="BD111" i="5"/>
  <c r="BD249" i="5"/>
  <c r="BD48" i="5"/>
  <c r="BD62" i="5"/>
  <c r="BD258" i="5"/>
  <c r="BD121" i="5"/>
  <c r="BD161" i="5"/>
  <c r="BD190" i="5"/>
  <c r="BD192" i="5"/>
  <c r="BD72" i="5"/>
  <c r="BD263" i="5"/>
  <c r="BD85" i="5"/>
  <c r="BD18" i="5"/>
  <c r="BD60" i="5"/>
  <c r="BD262" i="5"/>
  <c r="BD252" i="5"/>
  <c r="BD244" i="5"/>
  <c r="BD247" i="5"/>
  <c r="BD115" i="5"/>
  <c r="BD126" i="5"/>
  <c r="BD17" i="5"/>
  <c r="BD59" i="5"/>
  <c r="BD281" i="5"/>
  <c r="BD246" i="5"/>
  <c r="BD248" i="5"/>
  <c r="BD32" i="5"/>
  <c r="BD65" i="5"/>
  <c r="BD70" i="5"/>
  <c r="BD282" i="5"/>
  <c r="BD37" i="5"/>
  <c r="BD81" i="5"/>
  <c r="BD83" i="5"/>
  <c r="BD254" i="5"/>
  <c r="BD276" i="5"/>
  <c r="BD256" i="5"/>
  <c r="BD22" i="5"/>
  <c r="BD245" i="5"/>
  <c r="BD97" i="5"/>
  <c r="BD207" i="5"/>
  <c r="BD86" i="5"/>
  <c r="BD34" i="5"/>
  <c r="BD38" i="5"/>
  <c r="BD284" i="5"/>
  <c r="BD71" i="5"/>
  <c r="BD23" i="5"/>
  <c r="BD24" i="5"/>
  <c r="BD74" i="5"/>
  <c r="BD94" i="5"/>
  <c r="BD40" i="5"/>
  <c r="BD84" i="5"/>
  <c r="BD10" i="5"/>
  <c r="BD294" i="5"/>
  <c r="BD33" i="5"/>
  <c r="BD167" i="5"/>
  <c r="BD135" i="5"/>
  <c r="BD137" i="5"/>
  <c r="BD238" i="5"/>
  <c r="BD157" i="5"/>
  <c r="BD191" i="5"/>
  <c r="BD288" i="5"/>
  <c r="BD47" i="5"/>
  <c r="BD69" i="5"/>
  <c r="BD80" i="5"/>
  <c r="BD290" i="5"/>
  <c r="BD291" i="5"/>
  <c r="BD293" i="5"/>
  <c r="BD274" i="5"/>
  <c r="BD82" i="5"/>
  <c r="BD2" i="5"/>
  <c r="BD163" i="5"/>
  <c r="BD235" i="5"/>
  <c r="BD193" i="5"/>
  <c r="BD286" i="5"/>
  <c r="BD243" i="5"/>
  <c r="BD236" i="5"/>
  <c r="BD31" i="5"/>
  <c r="BD285" i="5"/>
  <c r="BD63" i="5"/>
  <c r="BD231" i="5"/>
  <c r="BD233" i="5"/>
  <c r="BD259" i="5"/>
  <c r="BD6" i="5"/>
  <c r="BD237" i="5"/>
  <c r="BD76" i="5"/>
  <c r="BD261" i="5"/>
  <c r="BD11" i="5"/>
  <c r="BD16" i="5"/>
  <c r="BD201" i="5"/>
  <c r="BD202" i="5"/>
  <c r="BD39" i="5"/>
  <c r="BD289" i="5"/>
  <c r="BD95" i="5"/>
  <c r="BD36" i="5"/>
  <c r="BD206" i="5"/>
  <c r="BD35" i="5"/>
  <c r="BD67" i="5"/>
  <c r="BD93" i="5"/>
  <c r="BD26" i="5"/>
  <c r="BD25" i="5"/>
  <c r="BD125" i="5"/>
  <c r="BD45" i="5"/>
  <c r="BD296" i="5"/>
  <c r="BD113" i="5"/>
  <c r="BD7" i="5"/>
  <c r="BD44" i="5"/>
  <c r="BD75" i="5"/>
  <c r="BD260" i="5"/>
  <c r="BD234" i="5"/>
  <c r="BD68" i="5"/>
  <c r="BD127" i="5"/>
  <c r="BD203" i="5"/>
  <c r="BD8" i="5"/>
  <c r="BD295" i="5"/>
  <c r="BD196" i="5"/>
  <c r="BD197" i="5"/>
  <c r="BD3" i="5"/>
  <c r="BD58" i="5"/>
  <c r="BD205" i="5"/>
  <c r="BD57" i="5"/>
  <c r="BD204" i="5"/>
  <c r="BD200" i="5"/>
  <c r="BD280" i="5"/>
  <c r="BD149" i="5"/>
  <c r="BD43" i="5"/>
  <c r="BD28" i="5"/>
  <c r="BD99" i="5"/>
  <c r="BD278" i="5"/>
  <c r="BD49" i="5"/>
  <c r="BD283" i="5"/>
  <c r="BD208" i="5"/>
  <c r="BD64" i="5"/>
  <c r="BD100" i="5"/>
  <c r="BD218" i="5"/>
  <c r="BD287" i="5"/>
  <c r="BD143" i="5"/>
  <c r="BD30" i="5"/>
  <c r="BD255" i="5"/>
  <c r="BD142" i="5"/>
  <c r="BD153" i="5"/>
  <c r="BD61" i="5"/>
  <c r="BD92" i="5"/>
  <c r="BD156" i="5"/>
  <c r="BD298" i="5"/>
  <c r="BD177" i="5"/>
  <c r="BD253" i="5"/>
  <c r="BD175" i="5"/>
  <c r="BD188" i="5"/>
  <c r="BD266" i="5"/>
  <c r="BD265" i="5"/>
  <c r="BD279" i="5"/>
  <c r="BD176" i="5"/>
  <c r="BD54" i="5"/>
  <c r="BD133" i="5"/>
  <c r="BD269" i="5"/>
  <c r="BD101" i="5"/>
  <c r="BD29" i="5"/>
  <c r="BD46" i="5"/>
  <c r="BD96" i="5"/>
  <c r="BD251" i="5"/>
  <c r="BD98" i="5"/>
  <c r="BD232" i="5"/>
  <c r="BD267" i="5"/>
  <c r="BD118" i="5"/>
  <c r="BD172" i="5"/>
  <c r="BD297" i="5"/>
  <c r="BD151" i="5"/>
  <c r="BD275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7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8" i="5"/>
  <c r="BD9" i="5"/>
  <c r="BD210" i="5"/>
  <c r="BD141" i="5"/>
  <c r="BD225" i="5"/>
  <c r="BD131" i="5"/>
  <c r="BD220" i="5"/>
  <c r="BD219" i="5"/>
  <c r="BD271" i="5"/>
  <c r="BD12" i="5"/>
  <c r="BD216" i="5"/>
  <c r="BD116" i="5"/>
  <c r="BD13" i="5"/>
  <c r="BD272" i="5"/>
  <c r="BD273" i="5"/>
  <c r="BD123" i="5"/>
  <c r="BD144" i="5"/>
  <c r="BD148" i="5"/>
  <c r="BD277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6" i="5"/>
  <c r="BD318" i="5"/>
  <c r="BD308" i="5"/>
  <c r="BD309" i="5"/>
  <c r="BD304" i="5"/>
  <c r="BD312" i="5"/>
  <c r="BD316" i="5"/>
  <c r="BD317" i="5"/>
  <c r="BD310" i="5"/>
  <c r="BD315" i="5"/>
  <c r="BD305" i="5"/>
  <c r="BD313" i="5"/>
  <c r="BD311" i="5"/>
  <c r="BD303" i="5"/>
  <c r="BD314" i="5"/>
  <c r="BD329" i="5"/>
  <c r="BD328" i="5"/>
  <c r="BD327" i="5"/>
  <c r="BD342" i="5"/>
  <c r="BD344" i="5"/>
  <c r="BD349" i="5"/>
  <c r="BD348" i="5"/>
  <c r="BD350" i="5"/>
  <c r="BD340" i="5"/>
  <c r="BD334" i="5"/>
  <c r="BD324" i="5"/>
  <c r="BD319" i="5"/>
  <c r="BD320" i="5"/>
  <c r="BD321" i="5"/>
  <c r="BD322" i="5"/>
  <c r="BD323" i="5"/>
  <c r="BD325" i="5"/>
  <c r="BD326" i="5"/>
  <c r="BD330" i="5"/>
  <c r="BD331" i="5"/>
  <c r="BD332" i="5"/>
  <c r="BD333" i="5"/>
  <c r="BD336" i="5"/>
  <c r="BD337" i="5"/>
  <c r="BD338" i="5"/>
  <c r="BD339" i="5"/>
  <c r="BD341" i="5"/>
  <c r="BD343" i="5"/>
  <c r="BD345" i="5"/>
  <c r="BD346" i="5"/>
  <c r="BD347" i="5"/>
  <c r="BD351" i="5"/>
  <c r="BD355" i="5"/>
  <c r="BD357" i="5"/>
  <c r="BD356" i="5"/>
  <c r="BD354" i="5"/>
  <c r="BD372" i="5"/>
  <c r="BD371" i="5"/>
  <c r="BD363" i="5"/>
  <c r="BD373" i="5"/>
  <c r="BD364" i="5"/>
  <c r="BD366" i="5"/>
  <c r="BD369" i="5"/>
  <c r="BD367" i="5"/>
  <c r="BD365" i="5"/>
  <c r="BD368" i="5"/>
  <c r="BD353" i="5"/>
  <c r="BD362" i="5"/>
  <c r="BD352" i="5"/>
  <c r="BD361" i="5"/>
  <c r="BD360" i="5"/>
  <c r="BD370" i="5"/>
  <c r="BD359" i="5"/>
  <c r="BD358" i="5"/>
  <c r="BD380" i="5"/>
  <c r="BD377" i="5"/>
  <c r="BD378" i="5"/>
  <c r="BD375" i="5"/>
  <c r="BD384" i="5"/>
  <c r="BD383" i="5"/>
  <c r="BD379" i="5"/>
  <c r="BD376" i="5"/>
  <c r="BD381" i="5"/>
  <c r="BD382" i="5"/>
  <c r="BD374" i="5"/>
  <c r="BD389" i="5"/>
  <c r="BD390" i="5"/>
  <c r="BD392" i="5"/>
  <c r="BD394" i="5"/>
  <c r="BD397" i="5"/>
  <c r="BD398" i="5"/>
  <c r="BD399" i="5"/>
  <c r="BD403" i="5"/>
  <c r="BD404" i="5"/>
  <c r="BD405" i="5"/>
  <c r="BD406" i="5"/>
  <c r="BD407" i="5"/>
  <c r="BD408" i="5"/>
  <c r="BD410" i="5"/>
  <c r="BD411" i="5"/>
  <c r="BD414" i="5"/>
  <c r="BD415" i="5"/>
  <c r="BD416" i="5"/>
  <c r="BD395" i="5"/>
  <c r="BD400" i="5"/>
  <c r="BD409" i="5"/>
  <c r="BD402" i="5"/>
  <c r="BD401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16" i="4"/>
  <c r="AD27" i="4"/>
  <c r="AD32" i="4"/>
  <c r="AD33" i="4"/>
  <c r="AD13" i="4"/>
  <c r="AD34" i="4"/>
  <c r="AD17" i="4"/>
  <c r="AD19" i="4"/>
  <c r="AD20" i="4"/>
  <c r="AD63" i="4"/>
  <c r="AD30" i="4"/>
  <c r="AD2" i="4"/>
  <c r="AD65" i="4"/>
  <c r="AD272" i="4"/>
  <c r="AD273" i="4"/>
  <c r="AD289" i="4"/>
  <c r="AD205" i="4"/>
  <c r="AD169" i="4"/>
  <c r="AD102" i="4"/>
  <c r="AD176" i="4"/>
  <c r="AD90" i="4"/>
  <c r="AD136" i="4"/>
  <c r="AD178" i="4"/>
  <c r="AD137" i="4"/>
  <c r="AD138" i="4"/>
  <c r="AD179" i="4"/>
  <c r="AD91" i="4"/>
  <c r="AD181" i="4"/>
  <c r="AD182" i="4"/>
  <c r="AD120" i="4"/>
  <c r="AD111" i="4"/>
  <c r="AD236" i="4"/>
  <c r="AD61" i="4"/>
  <c r="AD3" i="4"/>
  <c r="AD31" i="4"/>
  <c r="AD87" i="4"/>
  <c r="AD25" i="4"/>
  <c r="AD175" i="4"/>
  <c r="AD177" i="4"/>
  <c r="AD209" i="4"/>
  <c r="AD40" i="4"/>
  <c r="AD21" i="4"/>
  <c r="AD261" i="4"/>
  <c r="AD295" i="4"/>
  <c r="AD238" i="4"/>
  <c r="AD269" i="4"/>
  <c r="AD240" i="4"/>
  <c r="AD223" i="4"/>
  <c r="AD184" i="4"/>
  <c r="AD278" i="4"/>
  <c r="AD57" i="4"/>
  <c r="AD42" i="4"/>
  <c r="AD43" i="4"/>
  <c r="AD44" i="4"/>
  <c r="AD189" i="4"/>
  <c r="AD253" i="4"/>
  <c r="AD224" i="4"/>
  <c r="AD127" i="4"/>
  <c r="AD70" i="4"/>
  <c r="AD14" i="4"/>
  <c r="AD146" i="4"/>
  <c r="AD192" i="4"/>
  <c r="AD149" i="4"/>
  <c r="AD150" i="4"/>
  <c r="AD227" i="4"/>
  <c r="AD151" i="4"/>
  <c r="AD152" i="4"/>
  <c r="AD153" i="4"/>
  <c r="AD194" i="4"/>
  <c r="AD216" i="4"/>
  <c r="AD45" i="4"/>
  <c r="AD46" i="4"/>
  <c r="AD47" i="4"/>
  <c r="AD48" i="4"/>
  <c r="AD49" i="4"/>
  <c r="AD197" i="4"/>
  <c r="AD198" i="4"/>
  <c r="AD118" i="4"/>
  <c r="AD162" i="4"/>
  <c r="AD100" i="4"/>
  <c r="AD163" i="4"/>
  <c r="AD101" i="4"/>
  <c r="AD50" i="4"/>
  <c r="AD51" i="4"/>
  <c r="AD52" i="4"/>
  <c r="AD58" i="4"/>
  <c r="AD36" i="4"/>
  <c r="AD260" i="4"/>
  <c r="AD89" i="4"/>
  <c r="AD219" i="4"/>
  <c r="AD103" i="4"/>
  <c r="AD104" i="4"/>
  <c r="AD105" i="4"/>
  <c r="AD106" i="4"/>
  <c r="AD107" i="4"/>
  <c r="AD108" i="4"/>
  <c r="AD37" i="4"/>
  <c r="AD38" i="4"/>
  <c r="AD39" i="4"/>
  <c r="AD109" i="4"/>
  <c r="AD60" i="4"/>
  <c r="AD55" i="4"/>
  <c r="AD170" i="4"/>
  <c r="AD171" i="4"/>
  <c r="AD172" i="4"/>
  <c r="AD206" i="4"/>
  <c r="AD207" i="4"/>
  <c r="AD220" i="4"/>
  <c r="AD267" i="4"/>
  <c r="AD135" i="4"/>
  <c r="AD208" i="4"/>
  <c r="AD248" i="4"/>
  <c r="AD302" i="4"/>
  <c r="AD173" i="4"/>
  <c r="AD174" i="4"/>
  <c r="AD221" i="4"/>
  <c r="AD180" i="4"/>
  <c r="AD110" i="4"/>
  <c r="AD293" i="4"/>
  <c r="AD10" i="4"/>
  <c r="AD268" i="4"/>
  <c r="AD291" i="4"/>
  <c r="AD283" i="4"/>
  <c r="AD250" i="4"/>
  <c r="AD237" i="4"/>
  <c r="AD284" i="4"/>
  <c r="AD285" i="4"/>
  <c r="AD286" i="4"/>
  <c r="AD139" i="4"/>
  <c r="AD92" i="4"/>
  <c r="AD93" i="4"/>
  <c r="AD121" i="4"/>
  <c r="AD239" i="4"/>
  <c r="AD76" i="4"/>
  <c r="AD56" i="4"/>
  <c r="AD29" i="4"/>
  <c r="AD140" i="4"/>
  <c r="AD77" i="4"/>
  <c r="AD78" i="4"/>
  <c r="AD141" i="4"/>
  <c r="AD142" i="4"/>
  <c r="AD143" i="4"/>
  <c r="AD241" i="4"/>
  <c r="AD97" i="4"/>
  <c r="AD79" i="4"/>
  <c r="AD64" i="4"/>
  <c r="AD80" i="4"/>
  <c r="AD262" i="4"/>
  <c r="AD113" i="4"/>
  <c r="AD185" i="4"/>
  <c r="AD114" i="4"/>
  <c r="AD290" i="4"/>
  <c r="AD122" i="4"/>
  <c r="AD292" i="4"/>
  <c r="AD123" i="4"/>
  <c r="AD242" i="4"/>
  <c r="AD124" i="4"/>
  <c r="AD81" i="4"/>
  <c r="AD125" i="4"/>
  <c r="AD187" i="4"/>
  <c r="AD251" i="4"/>
  <c r="AD300" i="4"/>
  <c r="AD144" i="4"/>
  <c r="AD252" i="4"/>
  <c r="AD82" i="4"/>
  <c r="AD83" i="4"/>
  <c r="AD84" i="4"/>
  <c r="AD115" i="4"/>
  <c r="AD126" i="4"/>
  <c r="AD116" i="4"/>
  <c r="AD98" i="4"/>
  <c r="AD4" i="4"/>
  <c r="AD145" i="4"/>
  <c r="AD128" i="4"/>
  <c r="AD15" i="4"/>
  <c r="AD24" i="4"/>
  <c r="AD18" i="4"/>
  <c r="AD301" i="4"/>
  <c r="AD71" i="4"/>
  <c r="AD72" i="4"/>
  <c r="AD73" i="4"/>
  <c r="AD190" i="4"/>
  <c r="AD191" i="4"/>
  <c r="AD129" i="4"/>
  <c r="AD243" i="4"/>
  <c r="AD279" i="4"/>
  <c r="AD287" i="4"/>
  <c r="AD130" i="4"/>
  <c r="AD274" i="4"/>
  <c r="AD263" i="4"/>
  <c r="AD280" i="4"/>
  <c r="AD270" i="4"/>
  <c r="AD281" i="4"/>
  <c r="AD131" i="4"/>
  <c r="AD147" i="4"/>
  <c r="AD148" i="4"/>
  <c r="AD210" i="4"/>
  <c r="AD211" i="4"/>
  <c r="AD212" i="4"/>
  <c r="AD213" i="4"/>
  <c r="AD214" i="4"/>
  <c r="AD215" i="4"/>
  <c r="AD265" i="4"/>
  <c r="AD266" i="4"/>
  <c r="AD74" i="4"/>
  <c r="AD155" i="4"/>
  <c r="AD132" i="4"/>
  <c r="AD193" i="4"/>
  <c r="AD156" i="4"/>
  <c r="AD157" i="4"/>
  <c r="AD158" i="4"/>
  <c r="AD256" i="4"/>
  <c r="AD288" i="4"/>
  <c r="AD159" i="4"/>
  <c r="AD160" i="4"/>
  <c r="AD161" i="4"/>
  <c r="AD228" i="4"/>
  <c r="AD229" i="4"/>
  <c r="AD244" i="4"/>
  <c r="AD230" i="4"/>
  <c r="AD282" i="4"/>
  <c r="AD133" i="4"/>
  <c r="AD245" i="4"/>
  <c r="AD246" i="4"/>
  <c r="AD247" i="4"/>
  <c r="AD259" i="4"/>
  <c r="AD117" i="4"/>
  <c r="AD218" i="4"/>
  <c r="AD199" i="4"/>
  <c r="AD200" i="4"/>
  <c r="AD165" i="4"/>
  <c r="AD166" i="4"/>
  <c r="AD167" i="4"/>
  <c r="AD168" i="4"/>
  <c r="AD201" i="4"/>
  <c r="AD202" i="4"/>
  <c r="AD203" i="4"/>
  <c r="AD204" i="4"/>
  <c r="AD53" i="4"/>
  <c r="AD88" i="4"/>
  <c r="AD59" i="4"/>
  <c r="AD54" i="4"/>
  <c r="AD26" i="4"/>
  <c r="AD12" i="4"/>
  <c r="AD22" i="4"/>
  <c r="AD23" i="4"/>
  <c r="AD298" i="4"/>
  <c r="AD41" i="4"/>
  <c r="AD299" i="4"/>
  <c r="AD35" i="4"/>
  <c r="AD254" i="4"/>
  <c r="AD255" i="4"/>
  <c r="AD154" i="4"/>
  <c r="AD196" i="4"/>
  <c r="AD297" i="4"/>
  <c r="AD95" i="4"/>
  <c r="AD294" i="4"/>
  <c r="AD186" i="4"/>
  <c r="AD225" i="4"/>
  <c r="AD226" i="4"/>
  <c r="AD264" i="4"/>
  <c r="AD257" i="4"/>
  <c r="AD258" i="4"/>
  <c r="AD94" i="4"/>
  <c r="AD112" i="4"/>
  <c r="AD66" i="4"/>
  <c r="AD96" i="4"/>
  <c r="AD11" i="4"/>
  <c r="AD188" i="4"/>
  <c r="AD85" i="4"/>
  <c r="AD271" i="4"/>
  <c r="AD217" i="4"/>
  <c r="AD119" i="4"/>
  <c r="AD249" i="4"/>
  <c r="AD7" i="4"/>
  <c r="AD195" i="4"/>
  <c r="AD5" i="4"/>
  <c r="AD6" i="4"/>
  <c r="AD8" i="4"/>
  <c r="AD9" i="4"/>
  <c r="AD231" i="4"/>
  <c r="AD62" i="4"/>
  <c r="AD67" i="4"/>
  <c r="AD68" i="4"/>
  <c r="AD99" i="4"/>
  <c r="AD69" i="4"/>
  <c r="AD233" i="4"/>
  <c r="AD234" i="4"/>
  <c r="AD75" i="4"/>
  <c r="AD222" i="4"/>
  <c r="AD296" i="4"/>
  <c r="AD183" i="4"/>
  <c r="AD318" i="4"/>
  <c r="AD317" i="4"/>
  <c r="AD303" i="4"/>
  <c r="AD304" i="4"/>
  <c r="AD309" i="4"/>
  <c r="AD314" i="4"/>
  <c r="AD315" i="4"/>
  <c r="AD307" i="4"/>
  <c r="AD316" i="4"/>
  <c r="AD310" i="4"/>
  <c r="AD311" i="4"/>
  <c r="AD312" i="4"/>
  <c r="AD313" i="4"/>
  <c r="AD306" i="4"/>
  <c r="AD305" i="4"/>
  <c r="AD334" i="4"/>
  <c r="AD335" i="4"/>
  <c r="AD321" i="4"/>
  <c r="AD322" i="4"/>
  <c r="AD323" i="4"/>
  <c r="AD324" i="4"/>
  <c r="AD325" i="4"/>
  <c r="AD319" i="4"/>
  <c r="AD326" i="4"/>
  <c r="AD327" i="4"/>
  <c r="AD328" i="4"/>
  <c r="AD329" i="4"/>
  <c r="AD336" i="4"/>
  <c r="AD331" i="4"/>
  <c r="AD332" i="4"/>
  <c r="AD333" i="4"/>
  <c r="AD339" i="4"/>
  <c r="AD320" i="4"/>
  <c r="AD337" i="4"/>
  <c r="AD349" i="4"/>
  <c r="AD347" i="4"/>
  <c r="AD345" i="4"/>
  <c r="AD344" i="4"/>
  <c r="AD330" i="4"/>
  <c r="AD346" i="4"/>
  <c r="AD348" i="4"/>
  <c r="AD350" i="4"/>
  <c r="AD338" i="4"/>
  <c r="AD343" i="4"/>
  <c r="AD340" i="4"/>
  <c r="AD341" i="4"/>
  <c r="AD342" i="4"/>
  <c r="AD351" i="4"/>
  <c r="AD358" i="4"/>
  <c r="AD372" i="4"/>
  <c r="AD373" i="4"/>
  <c r="AD352" i="4"/>
  <c r="AD364" i="4"/>
  <c r="AD353" i="4"/>
  <c r="AD357" i="4"/>
  <c r="AD355" i="4"/>
  <c r="AD359" i="4"/>
  <c r="AD360" i="4"/>
  <c r="AD365" i="4"/>
  <c r="AD356" i="4"/>
  <c r="AD366" i="4"/>
  <c r="AD367" i="4"/>
  <c r="AD368" i="4"/>
  <c r="AD354" i="4"/>
  <c r="AD361" i="4"/>
  <c r="AD363" i="4"/>
  <c r="AD362" i="4"/>
  <c r="AD371" i="4"/>
  <c r="AD369" i="4"/>
  <c r="AD370" i="4"/>
  <c r="AD379" i="4"/>
  <c r="AD375" i="4"/>
  <c r="AD383" i="4"/>
  <c r="AD374" i="4"/>
  <c r="AD376" i="4"/>
  <c r="AD378" i="4"/>
  <c r="AD381" i="4"/>
  <c r="AD385" i="4"/>
  <c r="AD377" i="4"/>
  <c r="AD380" i="4"/>
  <c r="AD382" i="4"/>
  <c r="AD387" i="4"/>
  <c r="AD388" i="4"/>
  <c r="AD389" i="4"/>
  <c r="AD390" i="4"/>
  <c r="AD391" i="4"/>
  <c r="AD407" i="4"/>
  <c r="AD405" i="4"/>
  <c r="AD392" i="4"/>
  <c r="AD394" i="4"/>
  <c r="AD395" i="4"/>
  <c r="AD396" i="4"/>
  <c r="AD397" i="4"/>
  <c r="AD398" i="4"/>
  <c r="AD399" i="4"/>
  <c r="AD400" i="4"/>
  <c r="AD401" i="4"/>
  <c r="AD402" i="4"/>
  <c r="AD393" i="4"/>
  <c r="AD403" i="4"/>
  <c r="AD404" i="4"/>
  <c r="AD408" i="4"/>
  <c r="AD412" i="4"/>
  <c r="AD409" i="4"/>
  <c r="AD410" i="4"/>
  <c r="AD415" i="4"/>
  <c r="AD411" i="4"/>
  <c r="AD413" i="4"/>
  <c r="AD414" i="4"/>
  <c r="AD406" i="4"/>
  <c r="AD416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66" i="4"/>
  <c r="AE32" i="4"/>
  <c r="AE33" i="4"/>
  <c r="AE34" i="4"/>
  <c r="AE4" i="4"/>
  <c r="AE250" i="4"/>
  <c r="AE237" i="4"/>
  <c r="AE242" i="4"/>
  <c r="AE300" i="4"/>
  <c r="AE85" i="4"/>
  <c r="AE89" i="4"/>
  <c r="AE205" i="4"/>
  <c r="AE109" i="4"/>
  <c r="AE283" i="4"/>
  <c r="AE183" i="4"/>
  <c r="AE94" i="4"/>
  <c r="AE96" i="4"/>
  <c r="AE80" i="4"/>
  <c r="AE81" i="4"/>
  <c r="AE296" i="4"/>
  <c r="AE35" i="4"/>
  <c r="AE15" i="4"/>
  <c r="AE24" i="4"/>
  <c r="AE16" i="4"/>
  <c r="AE197" i="4"/>
  <c r="AE162" i="4"/>
  <c r="AE58" i="4"/>
  <c r="AE260" i="4"/>
  <c r="AE54" i="4"/>
  <c r="AE103" i="4"/>
  <c r="AE104" i="4"/>
  <c r="AE105" i="4"/>
  <c r="AE106" i="4"/>
  <c r="AE107" i="4"/>
  <c r="AE108" i="4"/>
  <c r="AE170" i="4"/>
  <c r="AE171" i="4"/>
  <c r="AE172" i="4"/>
  <c r="AE10" i="4"/>
  <c r="AE95" i="4"/>
  <c r="AE185" i="4"/>
  <c r="AE187" i="4"/>
  <c r="AE251" i="4"/>
  <c r="AE115" i="4"/>
  <c r="AE42" i="4"/>
  <c r="AE195" i="4"/>
  <c r="AE233" i="4"/>
  <c r="AE234" i="4"/>
  <c r="AE218" i="4"/>
  <c r="AE199" i="4"/>
  <c r="AE200" i="4"/>
  <c r="AE165" i="4"/>
  <c r="AE166" i="4"/>
  <c r="AE167" i="4"/>
  <c r="AE168" i="4"/>
  <c r="AE12" i="4"/>
  <c r="AE36" i="4"/>
  <c r="AE272" i="4"/>
  <c r="AE37" i="4"/>
  <c r="AE38" i="4"/>
  <c r="AE39" i="4"/>
  <c r="AE206" i="4"/>
  <c r="AE40" i="4"/>
  <c r="AE21" i="4"/>
  <c r="AE62" i="4"/>
  <c r="AE56" i="4"/>
  <c r="AE78" i="4"/>
  <c r="AE298" i="4"/>
  <c r="AE112" i="4"/>
  <c r="AE184" i="4"/>
  <c r="AE64" i="4"/>
  <c r="AE262" i="4"/>
  <c r="AE11" i="4"/>
  <c r="AE290" i="4"/>
  <c r="AE186" i="4"/>
  <c r="AE299" i="4"/>
  <c r="AE126" i="4"/>
  <c r="AE116" i="4"/>
  <c r="AE67" i="4"/>
  <c r="AE68" i="4"/>
  <c r="AE99" i="4"/>
  <c r="AE43" i="4"/>
  <c r="AE44" i="4"/>
  <c r="AE69" i="4"/>
  <c r="AE147" i="4"/>
  <c r="AE148" i="4"/>
  <c r="AE210" i="4"/>
  <c r="AE211" i="4"/>
  <c r="AE212" i="4"/>
  <c r="AE213" i="4"/>
  <c r="AE154" i="4"/>
  <c r="AE214" i="4"/>
  <c r="AE215" i="4"/>
  <c r="AE132" i="4"/>
  <c r="AE216" i="4"/>
  <c r="AE201" i="4"/>
  <c r="AE75" i="4"/>
  <c r="AE204" i="4"/>
  <c r="AE50" i="4"/>
  <c r="AE51" i="4"/>
  <c r="AE52" i="4"/>
  <c r="AE273" i="4"/>
  <c r="AE60" i="4"/>
  <c r="AE55" i="4"/>
  <c r="AE76" i="4"/>
  <c r="AE41" i="4"/>
  <c r="AE57" i="4"/>
  <c r="AE145" i="4"/>
  <c r="AE128" i="4"/>
  <c r="AE14" i="4"/>
  <c r="AE217" i="4"/>
  <c r="AE45" i="4"/>
  <c r="AE46" i="4"/>
  <c r="AE47" i="4"/>
  <c r="AE49" i="4"/>
  <c r="AE88" i="4"/>
  <c r="AE289" i="4"/>
  <c r="AE293" i="4"/>
  <c r="AE139" i="4"/>
  <c r="AE92" i="4"/>
  <c r="AE93" i="4"/>
  <c r="AE269" i="4"/>
  <c r="AE222" i="4"/>
  <c r="AE140" i="4"/>
  <c r="AE30" i="4"/>
  <c r="AE2" i="4"/>
  <c r="AE17" i="4"/>
  <c r="AE18" i="4"/>
  <c r="AE19" i="4"/>
  <c r="AE20" i="4"/>
  <c r="AE146" i="4"/>
  <c r="AE192" i="4"/>
  <c r="AE130" i="4"/>
  <c r="AE227" i="4"/>
  <c r="AE151" i="4"/>
  <c r="AE152" i="4"/>
  <c r="AE153" i="4"/>
  <c r="AE256" i="4"/>
  <c r="AE48" i="4"/>
  <c r="AE198" i="4"/>
  <c r="AE118" i="4"/>
  <c r="AE100" i="4"/>
  <c r="AE53" i="4"/>
  <c r="AE59" i="4"/>
  <c r="AE26" i="4"/>
  <c r="AE5" i="4"/>
  <c r="AE221" i="4"/>
  <c r="AE61" i="4"/>
  <c r="AE291" i="4"/>
  <c r="AE238" i="4"/>
  <c r="AE121" i="4"/>
  <c r="AE22" i="4"/>
  <c r="AE23" i="4"/>
  <c r="AE297" i="4"/>
  <c r="AE292" i="4"/>
  <c r="AE124" i="4"/>
  <c r="AE125" i="4"/>
  <c r="AE6" i="4"/>
  <c r="AE7" i="4"/>
  <c r="AE8" i="4"/>
  <c r="AE9" i="4"/>
  <c r="AE301" i="4"/>
  <c r="AE71" i="4"/>
  <c r="AE72" i="4"/>
  <c r="AE73" i="4"/>
  <c r="AE190" i="4"/>
  <c r="AE191" i="4"/>
  <c r="AE129" i="4"/>
  <c r="AE274" i="4"/>
  <c r="AE263" i="4"/>
  <c r="AE280" i="4"/>
  <c r="AE270" i="4"/>
  <c r="AE149" i="4"/>
  <c r="AE150" i="4"/>
  <c r="AE133" i="4"/>
  <c r="AE196" i="4"/>
  <c r="AE101" i="4"/>
  <c r="AE202" i="4"/>
  <c r="AE203" i="4"/>
  <c r="AE229" i="4"/>
  <c r="AE244" i="4"/>
  <c r="AE230" i="4"/>
  <c r="AE302" i="4"/>
  <c r="AE173" i="4"/>
  <c r="AE174" i="4"/>
  <c r="AE110" i="4"/>
  <c r="AE240" i="4"/>
  <c r="AE77" i="4"/>
  <c r="AE241" i="4"/>
  <c r="AE252" i="4"/>
  <c r="AE82" i="4"/>
  <c r="AE243" i="4"/>
  <c r="AE131" i="4"/>
  <c r="AE231" i="4"/>
  <c r="AE282" i="4"/>
  <c r="AE257" i="4"/>
  <c r="AE258" i="4"/>
  <c r="AE228" i="4"/>
  <c r="AE248" i="4"/>
  <c r="AE261" i="4"/>
  <c r="AE13" i="4"/>
  <c r="AE254" i="4"/>
  <c r="AE255" i="4"/>
  <c r="AE279" i="4"/>
  <c r="AE287" i="4"/>
  <c r="AE247" i="4"/>
  <c r="AE284" i="4"/>
  <c r="AE239" i="4"/>
  <c r="AE114" i="4"/>
  <c r="AE278" i="4"/>
  <c r="AE188" i="4"/>
  <c r="AE98" i="4"/>
  <c r="AE265" i="4"/>
  <c r="AE266" i="4"/>
  <c r="AE74" i="4"/>
  <c r="AE267" i="4"/>
  <c r="AE285" i="4"/>
  <c r="AE286" i="4"/>
  <c r="AE97" i="4"/>
  <c r="AE122" i="4"/>
  <c r="AE294" i="4"/>
  <c r="AE225" i="4"/>
  <c r="AE226" i="4"/>
  <c r="AE264" i="4"/>
  <c r="AE155" i="4"/>
  <c r="AE156" i="4"/>
  <c r="AE157" i="4"/>
  <c r="AE246" i="4"/>
  <c r="AE169" i="4"/>
  <c r="AE207" i="4"/>
  <c r="AE220" i="4"/>
  <c r="AE135" i="4"/>
  <c r="AE208" i="4"/>
  <c r="AE180" i="4"/>
  <c r="AE91" i="4"/>
  <c r="AE141" i="4"/>
  <c r="AE223" i="4"/>
  <c r="AE142" i="4"/>
  <c r="AE79" i="4"/>
  <c r="AE123" i="4"/>
  <c r="AE65" i="4"/>
  <c r="AE144" i="4"/>
  <c r="AE189" i="4"/>
  <c r="AE224" i="4"/>
  <c r="AE158" i="4"/>
  <c r="AE194" i="4"/>
  <c r="AE159" i="4"/>
  <c r="AE160" i="4"/>
  <c r="AE161" i="4"/>
  <c r="AE25" i="4"/>
  <c r="AE175" i="4"/>
  <c r="AE90" i="4"/>
  <c r="AE177" i="4"/>
  <c r="AE136" i="4"/>
  <c r="AE178" i="4"/>
  <c r="AE209" i="4"/>
  <c r="AE138" i="4"/>
  <c r="AE219" i="4"/>
  <c r="AE102" i="4"/>
  <c r="AE181" i="4"/>
  <c r="AE182" i="4"/>
  <c r="AE120" i="4"/>
  <c r="AE111" i="4"/>
  <c r="AE236" i="4"/>
  <c r="AE295" i="4"/>
  <c r="AE249" i="4"/>
  <c r="AE268" i="4"/>
  <c r="AE63" i="4"/>
  <c r="AE113" i="4"/>
  <c r="AE83" i="4"/>
  <c r="AE84" i="4"/>
  <c r="AE253" i="4"/>
  <c r="AE259" i="4"/>
  <c r="AE117" i="4"/>
  <c r="AE163" i="4"/>
  <c r="AE119" i="4"/>
  <c r="AE87" i="4"/>
  <c r="AE176" i="4"/>
  <c r="AE137" i="4"/>
  <c r="AE179" i="4"/>
  <c r="AE27" i="4"/>
  <c r="AE143" i="4"/>
  <c r="AE127" i="4"/>
  <c r="AE70" i="4"/>
  <c r="AE193" i="4"/>
  <c r="AE271" i="4"/>
  <c r="AE245" i="4"/>
  <c r="AE31" i="4"/>
  <c r="AE29" i="4"/>
  <c r="AE288" i="4"/>
  <c r="AE281" i="4"/>
  <c r="AE315" i="4"/>
  <c r="AE309" i="4"/>
  <c r="AE314" i="4"/>
  <c r="AE307" i="4"/>
  <c r="AE316" i="4"/>
  <c r="AE303" i="4"/>
  <c r="AE304" i="4"/>
  <c r="AE317" i="4"/>
  <c r="AE318" i="4"/>
  <c r="AE306" i="4"/>
  <c r="AE310" i="4"/>
  <c r="AE311" i="4"/>
  <c r="AE312" i="4"/>
  <c r="AE313" i="4"/>
  <c r="AE305" i="4"/>
  <c r="AE322" i="4"/>
  <c r="AE345" i="4"/>
  <c r="AE321" i="4"/>
  <c r="AE323" i="4"/>
  <c r="AE324" i="4"/>
  <c r="AE325" i="4"/>
  <c r="AE347" i="4"/>
  <c r="AE344" i="4"/>
  <c r="AE350" i="4"/>
  <c r="AE326" i="4"/>
  <c r="AE327" i="4"/>
  <c r="AE328" i="4"/>
  <c r="AE329" i="4"/>
  <c r="AE330" i="4"/>
  <c r="AE331" i="4"/>
  <c r="AE332" i="4"/>
  <c r="AE333" i="4"/>
  <c r="AE346" i="4"/>
  <c r="AE348" i="4"/>
  <c r="AE334" i="4"/>
  <c r="AE335" i="4"/>
  <c r="AE343" i="4"/>
  <c r="AE340" i="4"/>
  <c r="AE338" i="4"/>
  <c r="AE341" i="4"/>
  <c r="AE342" i="4"/>
  <c r="AE336" i="4"/>
  <c r="AE349" i="4"/>
  <c r="AE339" i="4"/>
  <c r="AE320" i="4"/>
  <c r="AE337" i="4"/>
  <c r="AE351" i="4"/>
  <c r="AE319" i="4"/>
  <c r="AE355" i="4"/>
  <c r="AE356" i="4"/>
  <c r="AE358" i="4"/>
  <c r="AE357" i="4"/>
  <c r="AE361" i="4"/>
  <c r="AE363" i="4"/>
  <c r="AE362" i="4"/>
  <c r="AE371" i="4"/>
  <c r="AE354" i="4"/>
  <c r="AE369" i="4"/>
  <c r="AE370" i="4"/>
  <c r="AE359" i="4"/>
  <c r="AE360" i="4"/>
  <c r="AE372" i="4"/>
  <c r="AE373" i="4"/>
  <c r="AE364" i="4"/>
  <c r="AE352" i="4"/>
  <c r="AE353" i="4"/>
  <c r="AE365" i="4"/>
  <c r="AE366" i="4"/>
  <c r="AE367" i="4"/>
  <c r="AE368" i="4"/>
  <c r="AE378" i="4"/>
  <c r="AE379" i="4"/>
  <c r="AE382" i="4"/>
  <c r="AE376" i="4"/>
  <c r="AE377" i="4"/>
  <c r="AE380" i="4"/>
  <c r="AE381" i="4"/>
  <c r="AE375" i="4"/>
  <c r="AE383" i="4"/>
  <c r="AE374" i="4"/>
  <c r="AE385" i="4"/>
  <c r="AE391" i="4"/>
  <c r="AE387" i="4"/>
  <c r="AE390" i="4"/>
  <c r="AE388" i="4"/>
  <c r="AE389" i="4"/>
  <c r="AE399" i="4"/>
  <c r="AE403" i="4"/>
  <c r="AE404" i="4"/>
  <c r="AE407" i="4"/>
  <c r="AE408" i="4"/>
  <c r="AE412" i="4"/>
  <c r="AE409" i="4"/>
  <c r="AE415" i="4"/>
  <c r="AE405" i="4"/>
  <c r="AE393" i="4"/>
  <c r="AE394" i="4"/>
  <c r="AE395" i="4"/>
  <c r="AE396" i="4"/>
  <c r="AE397" i="4"/>
  <c r="AE416" i="4"/>
  <c r="AE410" i="4"/>
  <c r="AE398" i="4"/>
  <c r="AE400" i="4"/>
  <c r="AE401" i="4"/>
  <c r="AE411" i="4"/>
  <c r="AE402" i="4"/>
  <c r="AE392" i="4"/>
  <c r="AE413" i="4"/>
  <c r="AE414" i="4"/>
  <c r="AE406" i="4"/>
  <c r="AE3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8" i="4"/>
  <c r="AG389" i="4"/>
  <c r="AG391" i="4"/>
  <c r="AG390" i="4"/>
  <c r="AG387" i="4"/>
  <c r="AG393" i="4"/>
  <c r="AG403" i="4"/>
  <c r="AG404" i="4"/>
  <c r="AG407" i="4"/>
  <c r="AG394" i="4"/>
  <c r="AG395" i="4"/>
  <c r="AG396" i="4"/>
  <c r="AG397" i="4"/>
  <c r="AG416" i="4"/>
  <c r="AG408" i="4"/>
  <c r="AG412" i="4"/>
  <c r="AG409" i="4"/>
  <c r="AG410" i="4"/>
  <c r="AG398" i="4"/>
  <c r="AG399" i="4"/>
  <c r="AG400" i="4"/>
  <c r="AG401" i="4"/>
  <c r="AG415" i="4"/>
  <c r="AG405" i="4"/>
  <c r="AG411" i="4"/>
  <c r="AG402" i="4"/>
  <c r="AG392" i="4"/>
  <c r="AG413" i="4"/>
  <c r="AG414" i="4"/>
  <c r="AG406" i="4"/>
  <c r="AJ303" i="4"/>
  <c r="AJ304" i="4"/>
  <c r="AJ317" i="4"/>
  <c r="AJ318" i="4"/>
  <c r="AJ309" i="4"/>
  <c r="AJ310" i="4"/>
  <c r="AJ311" i="4"/>
  <c r="AJ312" i="4"/>
  <c r="AJ313" i="4"/>
  <c r="AJ314" i="4"/>
  <c r="AJ305" i="4"/>
  <c r="AJ306" i="4"/>
  <c r="AJ315" i="4"/>
  <c r="AJ307" i="4"/>
  <c r="AJ316" i="4"/>
  <c r="AJ339" i="4"/>
  <c r="AJ320" i="4"/>
  <c r="AJ337" i="4"/>
  <c r="AJ334" i="4"/>
  <c r="AJ335" i="4"/>
  <c r="AJ321" i="4"/>
  <c r="AJ322" i="4"/>
  <c r="AJ323" i="4"/>
  <c r="AJ324" i="4"/>
  <c r="AJ325" i="4"/>
  <c r="AJ319" i="4"/>
  <c r="AJ343" i="4"/>
  <c r="AJ340" i="4"/>
  <c r="AJ338" i="4"/>
  <c r="AJ341" i="4"/>
  <c r="AJ342" i="4"/>
  <c r="AJ349" i="4"/>
  <c r="AJ347" i="4"/>
  <c r="AJ345" i="4"/>
  <c r="AJ344" i="4"/>
  <c r="AJ351" i="4"/>
  <c r="AJ326" i="4"/>
  <c r="AJ327" i="4"/>
  <c r="AJ328" i="4"/>
  <c r="AJ329" i="4"/>
  <c r="AJ336" i="4"/>
  <c r="AJ331" i="4"/>
  <c r="AJ332" i="4"/>
  <c r="AJ333" i="4"/>
  <c r="AJ346" i="4"/>
  <c r="AJ348" i="4"/>
  <c r="AJ350" i="4"/>
  <c r="AJ330" i="4"/>
  <c r="AJ358" i="4"/>
  <c r="AJ369" i="4"/>
  <c r="AJ370" i="4"/>
  <c r="AJ371" i="4"/>
  <c r="AJ372" i="4"/>
  <c r="AJ373" i="4"/>
  <c r="AJ352" i="4"/>
  <c r="AJ364" i="4"/>
  <c r="AJ353" i="4"/>
  <c r="AJ357" i="4"/>
  <c r="AJ355" i="4"/>
  <c r="AJ359" i="4"/>
  <c r="AJ360" i="4"/>
  <c r="AJ365" i="4"/>
  <c r="AJ356" i="4"/>
  <c r="AJ366" i="4"/>
  <c r="AJ367" i="4"/>
  <c r="AJ368" i="4"/>
  <c r="AJ354" i="4"/>
  <c r="AJ361" i="4"/>
  <c r="AJ363" i="4"/>
  <c r="AJ362" i="4"/>
  <c r="AJ374" i="4"/>
  <c r="AJ375" i="4"/>
  <c r="AJ376" i="4"/>
  <c r="AJ377" i="4"/>
  <c r="AJ378" i="4"/>
  <c r="AJ379" i="4"/>
  <c r="AJ380" i="4"/>
  <c r="AJ381" i="4"/>
  <c r="AJ382" i="4"/>
  <c r="AJ383" i="4"/>
  <c r="AJ385" i="4"/>
  <c r="AJ388" i="4"/>
  <c r="AJ389" i="4"/>
  <c r="AJ391" i="4"/>
  <c r="AJ390" i="4"/>
  <c r="AJ387" i="4"/>
  <c r="AJ393" i="4"/>
  <c r="AJ403" i="4"/>
  <c r="AJ404" i="4"/>
  <c r="AJ407" i="4"/>
  <c r="AJ394" i="4"/>
  <c r="AJ395" i="4"/>
  <c r="AJ396" i="4"/>
  <c r="AJ397" i="4"/>
  <c r="AJ416" i="4"/>
  <c r="AJ408" i="4"/>
  <c r="AJ412" i="4"/>
  <c r="AJ409" i="4"/>
  <c r="AJ410" i="4"/>
  <c r="AJ398" i="4"/>
  <c r="AJ399" i="4"/>
  <c r="AJ400" i="4"/>
  <c r="AJ401" i="4"/>
  <c r="AJ415" i="4"/>
  <c r="AJ405" i="4"/>
  <c r="AJ411" i="4"/>
  <c r="AJ402" i="4"/>
  <c r="AJ392" i="4"/>
  <c r="AJ413" i="4"/>
  <c r="AJ414" i="4"/>
  <c r="AJ406" i="4"/>
  <c r="AG260" i="4"/>
  <c r="AG38" i="4"/>
  <c r="AG39" i="4"/>
  <c r="AG170" i="4"/>
  <c r="AG171" i="4"/>
  <c r="AG172" i="4"/>
  <c r="AG206" i="4"/>
  <c r="AG261" i="4"/>
  <c r="AG295" i="4"/>
  <c r="AG56" i="4"/>
  <c r="AG124" i="4"/>
  <c r="AG126" i="4"/>
  <c r="AG233" i="4"/>
  <c r="AG234" i="4"/>
  <c r="AG218" i="4"/>
  <c r="AG103" i="4"/>
  <c r="AG104" i="4"/>
  <c r="AG107" i="4"/>
  <c r="AG115" i="4"/>
  <c r="AG78" i="4"/>
  <c r="AG262" i="4"/>
  <c r="AG94" i="4"/>
  <c r="AG95" i="4"/>
  <c r="AG40" i="4"/>
  <c r="AG21" i="4"/>
  <c r="AG30" i="4"/>
  <c r="AG33" i="4"/>
  <c r="AG42" i="4"/>
  <c r="AG43" i="4"/>
  <c r="AG44" i="4"/>
  <c r="AG105" i="4"/>
  <c r="AG106" i="4"/>
  <c r="AG108" i="4"/>
  <c r="AG116" i="4"/>
  <c r="AG57" i="4"/>
  <c r="AG12" i="4"/>
  <c r="AG60" i="4"/>
  <c r="AG55" i="4"/>
  <c r="AG10" i="4"/>
  <c r="AG185" i="4"/>
  <c r="AG186" i="4"/>
  <c r="AG66" i="4"/>
  <c r="AG125" i="4"/>
  <c r="AG296" i="4"/>
  <c r="AG210" i="4"/>
  <c r="AG211" i="4"/>
  <c r="AG213" i="4"/>
  <c r="AG154" i="4"/>
  <c r="AG214" i="4"/>
  <c r="AG215" i="4"/>
  <c r="AG147" i="4"/>
  <c r="AG148" i="4"/>
  <c r="AG212" i="4"/>
  <c r="AG50" i="4"/>
  <c r="AG51" i="4"/>
  <c r="AG52" i="4"/>
  <c r="AG58" i="4"/>
  <c r="AG36" i="4"/>
  <c r="AG54" i="4"/>
  <c r="AG89" i="4"/>
  <c r="AG26" i="4"/>
  <c r="AG37" i="4"/>
  <c r="AG109" i="4"/>
  <c r="AG3" i="4"/>
  <c r="AG96" i="4"/>
  <c r="AG217" i="4"/>
  <c r="AG199" i="4"/>
  <c r="AG200" i="4"/>
  <c r="AG165" i="4"/>
  <c r="AG166" i="4"/>
  <c r="AG167" i="4"/>
  <c r="AG168" i="4"/>
  <c r="AG32" i="4"/>
  <c r="AG34" i="4"/>
  <c r="AG45" i="4"/>
  <c r="AG46" i="4"/>
  <c r="AG47" i="4"/>
  <c r="AG48" i="4"/>
  <c r="AG49" i="4"/>
  <c r="AG5" i="4"/>
  <c r="AG6" i="4"/>
  <c r="AG7" i="4"/>
  <c r="AG9" i="4"/>
  <c r="AG272" i="4"/>
  <c r="AG273" i="4"/>
  <c r="AG289" i="4"/>
  <c r="AG205" i="4"/>
  <c r="AG62" i="4"/>
  <c r="AG68" i="4"/>
  <c r="AG69" i="4"/>
  <c r="AG8" i="4"/>
  <c r="AG271" i="4"/>
  <c r="AG75" i="4"/>
  <c r="AG53" i="4"/>
  <c r="AG88" i="4"/>
  <c r="AG59" i="4"/>
  <c r="AG298" i="4"/>
  <c r="AG11" i="4"/>
  <c r="AG299" i="4"/>
  <c r="AG99" i="4"/>
  <c r="AG92" i="4"/>
  <c r="AG93" i="4"/>
  <c r="AG240" i="4"/>
  <c r="AG63" i="4"/>
  <c r="AG98" i="4"/>
  <c r="AG145" i="4"/>
  <c r="AG146" i="4"/>
  <c r="AG153" i="4"/>
  <c r="AG118" i="4"/>
  <c r="AG100" i="4"/>
  <c r="AG201" i="4"/>
  <c r="AG101" i="4"/>
  <c r="AG204" i="4"/>
  <c r="AG249" i="4"/>
  <c r="AG268" i="4"/>
  <c r="AG238" i="4"/>
  <c r="AG139" i="4"/>
  <c r="AG22" i="4"/>
  <c r="AG278" i="4"/>
  <c r="AG127" i="4"/>
  <c r="AG35" i="4"/>
  <c r="AG17" i="4"/>
  <c r="AG19" i="4"/>
  <c r="AG20" i="4"/>
  <c r="AG71" i="4"/>
  <c r="AG227" i="4"/>
  <c r="AG74" i="4"/>
  <c r="AG302" i="4"/>
  <c r="AG269" i="4"/>
  <c r="AG151" i="4"/>
  <c r="AG152" i="4"/>
  <c r="AG197" i="4"/>
  <c r="AG198" i="4"/>
  <c r="AG202" i="4"/>
  <c r="AG203" i="4"/>
  <c r="AG128" i="4"/>
  <c r="AG192" i="4"/>
  <c r="AG149" i="4"/>
  <c r="AG150" i="4"/>
  <c r="AG282" i="4"/>
  <c r="AG216" i="4"/>
  <c r="AG162" i="4"/>
  <c r="AG250" i="4"/>
  <c r="AG237" i="4"/>
  <c r="AG143" i="4"/>
  <c r="AG2" i="4"/>
  <c r="AG13" i="4"/>
  <c r="AG242" i="4"/>
  <c r="AG65" i="4"/>
  <c r="AG189" i="4"/>
  <c r="AG253" i="4"/>
  <c r="AG224" i="4"/>
  <c r="AG15" i="4"/>
  <c r="AG256" i="4"/>
  <c r="AG228" i="4"/>
  <c r="AG229" i="4"/>
  <c r="AG244" i="4"/>
  <c r="AG230" i="4"/>
  <c r="AG248" i="4"/>
  <c r="AG221" i="4"/>
  <c r="AG291" i="4"/>
  <c r="AG121" i="4"/>
  <c r="AG222" i="4"/>
  <c r="AG297" i="4"/>
  <c r="AG112" i="4"/>
  <c r="AG64" i="4"/>
  <c r="AG80" i="4"/>
  <c r="AG292" i="4"/>
  <c r="AG81" i="4"/>
  <c r="AG187" i="4"/>
  <c r="AG251" i="4"/>
  <c r="AG300" i="4"/>
  <c r="AG252" i="4"/>
  <c r="AG72" i="4"/>
  <c r="AG73" i="4"/>
  <c r="AG190" i="4"/>
  <c r="AG191" i="4"/>
  <c r="AG129" i="4"/>
  <c r="AG243" i="4"/>
  <c r="AG279" i="4"/>
  <c r="AG287" i="4"/>
  <c r="AG130" i="4"/>
  <c r="AG274" i="4"/>
  <c r="AG263" i="4"/>
  <c r="AG280" i="4"/>
  <c r="AG270" i="4"/>
  <c r="AG281" i="4"/>
  <c r="AG265" i="4"/>
  <c r="AG266" i="4"/>
  <c r="AG132" i="4"/>
  <c r="AG257" i="4"/>
  <c r="AG258" i="4"/>
  <c r="AG196" i="4"/>
  <c r="AG247" i="4"/>
  <c r="AG239" i="4"/>
  <c r="AG140" i="4"/>
  <c r="AG77" i="4"/>
  <c r="AG294" i="4"/>
  <c r="AG301" i="4"/>
  <c r="AG254" i="4"/>
  <c r="AG255" i="4"/>
  <c r="AG225" i="4"/>
  <c r="AG226" i="4"/>
  <c r="AG264" i="4"/>
  <c r="AG231" i="4"/>
  <c r="AG85" i="4"/>
  <c r="AG31" i="4"/>
  <c r="AG141" i="4"/>
  <c r="AG122" i="4"/>
  <c r="AG188" i="4"/>
  <c r="AG144" i="4"/>
  <c r="AG159" i="4"/>
  <c r="AG160" i="4"/>
  <c r="AG161" i="4"/>
  <c r="AG133" i="4"/>
  <c r="AG246" i="4"/>
  <c r="AG119" i="4"/>
  <c r="AG27" i="4"/>
  <c r="AG169" i="4"/>
  <c r="AG102" i="4"/>
  <c r="AG175" i="4"/>
  <c r="AG176" i="4"/>
  <c r="AG90" i="4"/>
  <c r="AG177" i="4"/>
  <c r="AG136" i="4"/>
  <c r="AG178" i="4"/>
  <c r="AG209" i="4"/>
  <c r="AG137" i="4"/>
  <c r="AG138" i="4"/>
  <c r="AG179" i="4"/>
  <c r="AG235" i="4"/>
  <c r="AG91" i="4"/>
  <c r="AG181" i="4"/>
  <c r="AG182" i="4"/>
  <c r="AG61" i="4"/>
  <c r="AG76" i="4"/>
  <c r="AG23" i="4"/>
  <c r="AG25" i="4"/>
  <c r="AG219" i="4"/>
  <c r="AG207" i="4"/>
  <c r="AG220" i="4"/>
  <c r="AG267" i="4"/>
  <c r="AG135" i="4"/>
  <c r="AG208" i="4"/>
  <c r="AG173" i="4"/>
  <c r="AG293" i="4"/>
  <c r="AG142" i="4"/>
  <c r="AG241" i="4"/>
  <c r="AG97" i="4"/>
  <c r="AG113" i="4"/>
  <c r="AG290" i="4"/>
  <c r="AG67" i="4"/>
  <c r="AG14" i="4"/>
  <c r="AG16" i="4"/>
  <c r="AG18" i="4"/>
  <c r="AG131" i="4"/>
  <c r="AG259" i="4"/>
  <c r="AG117" i="4"/>
  <c r="AG174" i="4"/>
  <c r="AG120" i="4"/>
  <c r="AG111" i="4"/>
  <c r="AG236" i="4"/>
  <c r="AG284" i="4"/>
  <c r="AG285" i="4"/>
  <c r="AG286" i="4"/>
  <c r="AG70" i="4"/>
  <c r="AG183" i="4"/>
  <c r="AG41" i="4"/>
  <c r="AG87" i="4"/>
  <c r="AG180" i="4"/>
  <c r="AG110" i="4"/>
  <c r="AG29" i="4"/>
  <c r="AG223" i="4"/>
  <c r="AG79" i="4"/>
  <c r="AG184" i="4"/>
  <c r="AG114" i="4"/>
  <c r="AG123" i="4"/>
  <c r="AG82" i="4"/>
  <c r="AG83" i="4"/>
  <c r="AG84" i="4"/>
  <c r="AG4" i="4"/>
  <c r="AG24" i="4"/>
  <c r="AG155" i="4"/>
  <c r="AG193" i="4"/>
  <c r="AG156" i="4"/>
  <c r="AG157" i="4"/>
  <c r="AG158" i="4"/>
  <c r="AG194" i="4"/>
  <c r="AG288" i="4"/>
  <c r="AG195" i="4"/>
  <c r="AG245" i="4"/>
  <c r="AG163" i="4"/>
  <c r="AG303" i="4"/>
  <c r="AG304" i="4"/>
  <c r="AG317" i="4"/>
  <c r="AG318" i="4"/>
  <c r="AG309" i="4"/>
  <c r="AG310" i="4"/>
  <c r="AG311" i="4"/>
  <c r="AG312" i="4"/>
  <c r="AG313" i="4"/>
  <c r="AG314" i="4"/>
  <c r="AG305" i="4"/>
  <c r="AG306" i="4"/>
  <c r="AG315" i="4"/>
  <c r="AG307" i="4"/>
  <c r="AG316" i="4"/>
  <c r="AG339" i="4"/>
  <c r="AG320" i="4"/>
  <c r="AG337" i="4"/>
  <c r="AG334" i="4"/>
  <c r="AG335" i="4"/>
  <c r="AG321" i="4"/>
  <c r="AG322" i="4"/>
  <c r="AG323" i="4"/>
  <c r="AG324" i="4"/>
  <c r="AG325" i="4"/>
  <c r="AG319" i="4"/>
  <c r="AG343" i="4"/>
  <c r="AG340" i="4"/>
  <c r="AG338" i="4"/>
  <c r="AG341" i="4"/>
  <c r="AG342" i="4"/>
  <c r="AG349" i="4"/>
  <c r="AG347" i="4"/>
  <c r="AG345" i="4"/>
  <c r="AG344" i="4"/>
  <c r="AG351" i="4"/>
  <c r="AG326" i="4"/>
  <c r="AG327" i="4"/>
  <c r="AG328" i="4"/>
  <c r="AG329" i="4"/>
  <c r="AG336" i="4"/>
  <c r="AG331" i="4"/>
  <c r="AG332" i="4"/>
  <c r="AG333" i="4"/>
  <c r="AG346" i="4"/>
  <c r="AG348" i="4"/>
  <c r="AG350" i="4"/>
  <c r="AG330" i="4"/>
  <c r="AG358" i="4"/>
  <c r="AG369" i="4"/>
  <c r="AG370" i="4"/>
  <c r="AG371" i="4"/>
  <c r="AG372" i="4"/>
  <c r="AG373" i="4"/>
  <c r="AG352" i="4"/>
  <c r="AG364" i="4"/>
  <c r="AG353" i="4"/>
  <c r="AG357" i="4"/>
  <c r="AG355" i="4"/>
  <c r="AG359" i="4"/>
  <c r="AG360" i="4"/>
  <c r="AG365" i="4"/>
  <c r="AG356" i="4"/>
  <c r="AG366" i="4"/>
  <c r="AG367" i="4"/>
  <c r="AG368" i="4"/>
  <c r="AG354" i="4"/>
  <c r="AG361" i="4"/>
  <c r="AG363" i="4"/>
  <c r="AG362" i="4"/>
  <c r="AG374" i="4"/>
  <c r="AG375" i="4"/>
  <c r="AG376" i="4"/>
  <c r="AG377" i="4"/>
  <c r="AG378" i="4"/>
  <c r="AG379" i="4"/>
  <c r="AG380" i="4"/>
  <c r="AG381" i="4"/>
  <c r="AG382" i="4"/>
  <c r="AG383" i="4"/>
  <c r="AG385" i="4"/>
  <c r="AG283" i="4"/>
  <c r="B298" i="5"/>
  <c r="AM298" i="5"/>
  <c r="AQ298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85" i="2"/>
  <c r="AP84" i="2"/>
  <c r="AP86" i="2"/>
  <c r="AP91" i="2"/>
  <c r="AP88" i="2"/>
  <c r="AP87" i="2"/>
  <c r="AP89" i="2"/>
  <c r="AP90" i="2"/>
  <c r="AP92" i="2"/>
  <c r="AP94" i="2"/>
  <c r="AP93" i="2"/>
  <c r="AP95" i="2"/>
  <c r="AP96" i="2"/>
  <c r="AQ85" i="2"/>
  <c r="AQ84" i="2"/>
  <c r="AQ86" i="2"/>
  <c r="AQ91" i="2"/>
  <c r="AQ88" i="2"/>
  <c r="AQ87" i="2"/>
  <c r="AQ89" i="2"/>
  <c r="AQ90" i="2"/>
  <c r="AQ92" i="2"/>
  <c r="AQ94" i="2"/>
  <c r="AQ93" i="2"/>
  <c r="AQ95" i="2"/>
  <c r="AQ96" i="2"/>
  <c r="AR85" i="2"/>
  <c r="AR84" i="2"/>
  <c r="AR86" i="2"/>
  <c r="AR91" i="2"/>
  <c r="AR88" i="2"/>
  <c r="AR87" i="2"/>
  <c r="AR89" i="2"/>
  <c r="AR90" i="2"/>
  <c r="AR92" i="2"/>
  <c r="AR94" i="2"/>
  <c r="AR93" i="2"/>
  <c r="AR95" i="2"/>
  <c r="AR96" i="2"/>
  <c r="AS85" i="2"/>
  <c r="AS84" i="2"/>
  <c r="AS86" i="2"/>
  <c r="AS91" i="2"/>
  <c r="AS88" i="2"/>
  <c r="AS87" i="2"/>
  <c r="AS89" i="2"/>
  <c r="AS90" i="2"/>
  <c r="AS92" i="2"/>
  <c r="AS94" i="2"/>
  <c r="AS93" i="2"/>
  <c r="AS95" i="2"/>
  <c r="AS96" i="2"/>
  <c r="AT85" i="2"/>
  <c r="AT84" i="2"/>
  <c r="AT86" i="2"/>
  <c r="AT91" i="2"/>
  <c r="AT88" i="2"/>
  <c r="AT87" i="2"/>
  <c r="AT89" i="2"/>
  <c r="AT90" i="2"/>
  <c r="AT92" i="2"/>
  <c r="AT94" i="2"/>
  <c r="AT93" i="2"/>
  <c r="AT95" i="2"/>
  <c r="AT96" i="2"/>
  <c r="AU85" i="2"/>
  <c r="AU84" i="2"/>
  <c r="AU86" i="2"/>
  <c r="AU91" i="2"/>
  <c r="AU88" i="2"/>
  <c r="AU87" i="2"/>
  <c r="AU89" i="2"/>
  <c r="AU90" i="2"/>
  <c r="AU92" i="2"/>
  <c r="AU94" i="2"/>
  <c r="AU93" i="2"/>
  <c r="AU95" i="2"/>
  <c r="AU96" i="2"/>
  <c r="AV85" i="2"/>
  <c r="AV84" i="2"/>
  <c r="AV86" i="2"/>
  <c r="AV91" i="2"/>
  <c r="AV88" i="2"/>
  <c r="AV87" i="2"/>
  <c r="AV89" i="2"/>
  <c r="AV90" i="2"/>
  <c r="AV92" i="2"/>
  <c r="AV94" i="2"/>
  <c r="AV93" i="2"/>
  <c r="AV95" i="2"/>
  <c r="AV96" i="2"/>
  <c r="AW85" i="2"/>
  <c r="AW84" i="2"/>
  <c r="AW86" i="2"/>
  <c r="AW91" i="2"/>
  <c r="AW88" i="2"/>
  <c r="AW87" i="2"/>
  <c r="AW89" i="2"/>
  <c r="AW90" i="2"/>
  <c r="AW92" i="2"/>
  <c r="AW94" i="2"/>
  <c r="AW93" i="2"/>
  <c r="AW95" i="2"/>
  <c r="AW96" i="2"/>
  <c r="AX85" i="2"/>
  <c r="AX84" i="2"/>
  <c r="AX86" i="2"/>
  <c r="AX91" i="2"/>
  <c r="AX88" i="2"/>
  <c r="AX87" i="2"/>
  <c r="AX89" i="2"/>
  <c r="AX90" i="2"/>
  <c r="AX92" i="2"/>
  <c r="AX94" i="2"/>
  <c r="AX93" i="2"/>
  <c r="AX95" i="2"/>
  <c r="AX96" i="2"/>
  <c r="AY85" i="2"/>
  <c r="AY84" i="2"/>
  <c r="AY86" i="2"/>
  <c r="AY91" i="2"/>
  <c r="AY88" i="2"/>
  <c r="AY87" i="2"/>
  <c r="AY89" i="2"/>
  <c r="AY90" i="2"/>
  <c r="AY92" i="2"/>
  <c r="AY94" i="2"/>
  <c r="AY93" i="2"/>
  <c r="AY95" i="2"/>
  <c r="AY96" i="2"/>
  <c r="AZ85" i="2"/>
  <c r="AZ84" i="2"/>
  <c r="AZ86" i="2"/>
  <c r="AZ91" i="2"/>
  <c r="AZ88" i="2"/>
  <c r="AZ87" i="2"/>
  <c r="AZ89" i="2"/>
  <c r="AZ90" i="2"/>
  <c r="AZ92" i="2"/>
  <c r="AZ94" i="2"/>
  <c r="AZ93" i="2"/>
  <c r="AZ95" i="2"/>
  <c r="AZ96" i="2"/>
  <c r="BA85" i="2"/>
  <c r="BA84" i="2"/>
  <c r="BA86" i="2"/>
  <c r="BA91" i="2"/>
  <c r="BA88" i="2"/>
  <c r="BA87" i="2"/>
  <c r="BA89" i="2"/>
  <c r="BA90" i="2"/>
  <c r="BA92" i="2"/>
  <c r="BA94" i="2"/>
  <c r="BA93" i="2"/>
  <c r="BA95" i="2"/>
  <c r="BA96" i="2"/>
  <c r="BB85" i="2"/>
  <c r="BB84" i="2"/>
  <c r="BB86" i="2"/>
  <c r="BB91" i="2"/>
  <c r="BB88" i="2"/>
  <c r="BB87" i="2"/>
  <c r="BB89" i="2"/>
  <c r="BB90" i="2"/>
  <c r="BB92" i="2"/>
  <c r="BB94" i="2"/>
  <c r="BB93" i="2"/>
  <c r="BB95" i="2"/>
  <c r="BB96" i="2"/>
  <c r="BC85" i="2"/>
  <c r="BC84" i="2"/>
  <c r="BC86" i="2"/>
  <c r="BC91" i="2"/>
  <c r="BC88" i="2"/>
  <c r="BC87" i="2"/>
  <c r="BC89" i="2"/>
  <c r="BC90" i="2"/>
  <c r="BC92" i="2"/>
  <c r="BC94" i="2"/>
  <c r="BC93" i="2"/>
  <c r="BC95" i="2"/>
  <c r="BC96" i="2"/>
  <c r="BD85" i="2"/>
  <c r="BD84" i="2"/>
  <c r="BD86" i="2"/>
  <c r="BD91" i="2"/>
  <c r="BD88" i="2"/>
  <c r="BD87" i="2"/>
  <c r="BD89" i="2"/>
  <c r="BD90" i="2"/>
  <c r="BD92" i="2"/>
  <c r="BD94" i="2"/>
  <c r="BD93" i="2"/>
  <c r="BD95" i="2"/>
  <c r="BD96" i="2"/>
  <c r="BE91" i="2"/>
  <c r="BE88" i="2"/>
  <c r="BE87" i="2"/>
  <c r="BE89" i="2"/>
  <c r="BE90" i="2"/>
  <c r="BE92" i="2"/>
  <c r="BE94" i="2"/>
  <c r="BE93" i="2"/>
  <c r="BE95" i="2"/>
  <c r="BF91" i="2"/>
  <c r="BF88" i="2"/>
  <c r="BF87" i="2"/>
  <c r="BF89" i="2"/>
  <c r="BF90" i="2"/>
  <c r="BF92" i="2"/>
  <c r="BF94" i="2"/>
  <c r="BF93" i="2"/>
  <c r="BF95" i="2"/>
  <c r="BG91" i="2"/>
  <c r="BG88" i="2"/>
  <c r="BG87" i="2"/>
  <c r="BG89" i="2"/>
  <c r="BG90" i="2"/>
  <c r="BG92" i="2"/>
  <c r="BG94" i="2"/>
  <c r="BG93" i="2"/>
  <c r="BG95" i="2"/>
  <c r="BH91" i="2"/>
  <c r="BH88" i="2"/>
  <c r="BH87" i="2"/>
  <c r="BH89" i="2"/>
  <c r="BH90" i="2"/>
  <c r="BH92" i="2"/>
  <c r="BH94" i="2"/>
  <c r="BH93" i="2"/>
  <c r="BH95" i="2"/>
  <c r="BI91" i="2"/>
  <c r="BI88" i="2"/>
  <c r="BI87" i="2"/>
  <c r="BI89" i="2"/>
  <c r="BI90" i="2"/>
  <c r="BI92" i="2"/>
  <c r="BI94" i="2"/>
  <c r="BI93" i="2"/>
  <c r="BI95" i="2"/>
  <c r="BJ91" i="2"/>
  <c r="BJ88" i="2"/>
  <c r="BJ87" i="2"/>
  <c r="BJ89" i="2"/>
  <c r="BJ90" i="2"/>
  <c r="BJ92" i="2"/>
  <c r="BJ94" i="2"/>
  <c r="BJ93" i="2"/>
  <c r="BJ95" i="2"/>
  <c r="BK91" i="2"/>
  <c r="BK88" i="2"/>
  <c r="BK87" i="2"/>
  <c r="BK89" i="2"/>
  <c r="BK90" i="2"/>
  <c r="BK92" i="2"/>
  <c r="BK94" i="2"/>
  <c r="BK93" i="2"/>
  <c r="BK95" i="2"/>
  <c r="BL91" i="2"/>
  <c r="BL88" i="2"/>
  <c r="BL87" i="2"/>
  <c r="BL89" i="2"/>
  <c r="BL90" i="2"/>
  <c r="BL92" i="2"/>
  <c r="BL94" i="2"/>
  <c r="BL93" i="2"/>
  <c r="BL95" i="2"/>
  <c r="AO85" i="2"/>
  <c r="AO84" i="2"/>
  <c r="AO86" i="2"/>
  <c r="AO91" i="2"/>
  <c r="AO88" i="2"/>
  <c r="AO87" i="2"/>
  <c r="AO89" i="2"/>
  <c r="AO90" i="2"/>
  <c r="AO92" i="2"/>
  <c r="AO94" i="2"/>
  <c r="AO93" i="2"/>
  <c r="AO95" i="2"/>
  <c r="AO96" i="2"/>
  <c r="B58" i="5"/>
  <c r="AM58" i="5"/>
  <c r="AQ58" i="5"/>
  <c r="B270" i="5"/>
  <c r="B294" i="5"/>
  <c r="B281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2" i="5"/>
  <c r="B37" i="5"/>
  <c r="B22" i="5"/>
  <c r="B24" i="5"/>
  <c r="B14" i="5"/>
  <c r="B288" i="5"/>
  <c r="B232" i="5"/>
  <c r="B290" i="5"/>
  <c r="B291" i="5"/>
  <c r="B286" i="5"/>
  <c r="B9" i="5"/>
  <c r="B274" i="5"/>
  <c r="B231" i="5"/>
  <c r="B6" i="5"/>
  <c r="B5" i="5"/>
  <c r="B35" i="5"/>
  <c r="B289" i="5"/>
  <c r="B36" i="5"/>
  <c r="B26" i="5"/>
  <c r="B25" i="5"/>
  <c r="B7" i="5"/>
  <c r="B296" i="5"/>
  <c r="B8" i="5"/>
  <c r="B295" i="5"/>
  <c r="B3" i="5"/>
  <c r="B280" i="5"/>
  <c r="B28" i="5"/>
  <c r="B283" i="5"/>
  <c r="B269" i="5"/>
  <c r="B287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1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50" i="5"/>
  <c r="B164" i="5"/>
  <c r="B165" i="5"/>
  <c r="B166" i="5"/>
  <c r="B27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2" i="5"/>
  <c r="B87" i="5"/>
  <c r="B213" i="5"/>
  <c r="B181" i="5"/>
  <c r="B215" i="5"/>
  <c r="B55" i="5"/>
  <c r="B106" i="5"/>
  <c r="B107" i="5"/>
  <c r="B108" i="5"/>
  <c r="B111" i="5"/>
  <c r="B249" i="5"/>
  <c r="B48" i="5"/>
  <c r="B62" i="5"/>
  <c r="B121" i="5"/>
  <c r="B161" i="5"/>
  <c r="B190" i="5"/>
  <c r="B159" i="5"/>
  <c r="B160" i="5"/>
  <c r="B72" i="5"/>
  <c r="B85" i="5"/>
  <c r="B192" i="5"/>
  <c r="B73" i="5"/>
  <c r="B252" i="5"/>
  <c r="B92" i="5"/>
  <c r="B214" i="5"/>
  <c r="B60" i="5"/>
  <c r="B244" i="5"/>
  <c r="B247" i="5"/>
  <c r="B115" i="5"/>
  <c r="B119" i="5"/>
  <c r="B126" i="5"/>
  <c r="B246" i="5"/>
  <c r="B248" i="5"/>
  <c r="B59" i="5"/>
  <c r="B221" i="5"/>
  <c r="B65" i="5"/>
  <c r="B70" i="5"/>
  <c r="B130" i="5"/>
  <c r="B81" i="5"/>
  <c r="B83" i="5"/>
  <c r="B86" i="5"/>
  <c r="B179" i="5"/>
  <c r="B209" i="5"/>
  <c r="B211" i="5"/>
  <c r="B245" i="5"/>
  <c r="B254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1" i="5"/>
  <c r="B82" i="5"/>
  <c r="B157" i="5"/>
  <c r="B191" i="5"/>
  <c r="B47" i="5"/>
  <c r="B177" i="5"/>
  <c r="B235" i="5"/>
  <c r="B163" i="5"/>
  <c r="B243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7" i="5"/>
  <c r="B255" i="5"/>
  <c r="B42" i="5"/>
  <c r="B258" i="5"/>
  <c r="B134" i="5"/>
  <c r="B253" i="5"/>
  <c r="B263" i="5"/>
  <c r="B256" i="5"/>
  <c r="B40" i="5"/>
  <c r="B80" i="5"/>
  <c r="B147" i="5"/>
  <c r="B193" i="5"/>
  <c r="B76" i="5"/>
  <c r="B45" i="5"/>
  <c r="B113" i="5"/>
  <c r="B101" i="5"/>
  <c r="B143" i="5"/>
  <c r="B262" i="5"/>
  <c r="B259" i="5"/>
  <c r="B261" i="5"/>
  <c r="B260" i="5"/>
  <c r="B264" i="5"/>
  <c r="B292" i="5"/>
  <c r="B276" i="5"/>
  <c r="B297" i="5"/>
  <c r="B265" i="5"/>
  <c r="B267" i="5"/>
  <c r="B266" i="5"/>
  <c r="B278" i="5"/>
  <c r="B277" i="5"/>
  <c r="B273" i="5"/>
  <c r="B275" i="5"/>
  <c r="B285" i="5"/>
  <c r="B284" i="5"/>
  <c r="B293" i="5"/>
  <c r="B272" i="5"/>
  <c r="B268" i="5"/>
  <c r="B279" i="5"/>
  <c r="B303" i="5"/>
  <c r="B304" i="5"/>
  <c r="B305" i="5"/>
  <c r="B306" i="5"/>
  <c r="B308" i="5"/>
  <c r="B309" i="5"/>
  <c r="B310" i="5"/>
  <c r="B311" i="5"/>
  <c r="B312" i="5"/>
  <c r="B313" i="5"/>
  <c r="B314" i="5"/>
  <c r="B315" i="5"/>
  <c r="B316" i="5"/>
  <c r="B317" i="5"/>
  <c r="B318" i="5"/>
  <c r="B335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6" i="5"/>
  <c r="B337" i="5"/>
  <c r="B338" i="5"/>
  <c r="B339" i="5"/>
  <c r="B341" i="5"/>
  <c r="B342" i="5"/>
  <c r="B343" i="5"/>
  <c r="B344" i="5"/>
  <c r="B345" i="5"/>
  <c r="B346" i="5"/>
  <c r="B347" i="5"/>
  <c r="B348" i="5"/>
  <c r="B349" i="5"/>
  <c r="B350" i="5"/>
  <c r="B34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8" i="5"/>
  <c r="B374" i="5"/>
  <c r="B375" i="5"/>
  <c r="B376" i="5"/>
  <c r="B377" i="5"/>
  <c r="B379" i="5"/>
  <c r="B380" i="5"/>
  <c r="B381" i="5"/>
  <c r="B382" i="5"/>
  <c r="B383" i="5"/>
  <c r="B384" i="5"/>
  <c r="B387" i="5"/>
  <c r="B388" i="5"/>
  <c r="B391" i="5"/>
  <c r="B389" i="5"/>
  <c r="B390" i="5"/>
  <c r="B395" i="5"/>
  <c r="B410" i="5"/>
  <c r="B413" i="5"/>
  <c r="B392" i="5"/>
  <c r="B396" i="5"/>
  <c r="B397" i="5"/>
  <c r="B398" i="5"/>
  <c r="B399" i="5"/>
  <c r="B405" i="5"/>
  <c r="B406" i="5"/>
  <c r="B407" i="5"/>
  <c r="B408" i="5"/>
  <c r="B412" i="5"/>
  <c r="B393" i="5"/>
  <c r="B394" i="5"/>
  <c r="B403" i="5"/>
  <c r="B404" i="5"/>
  <c r="B411" i="5"/>
  <c r="B414" i="5"/>
  <c r="B415" i="5"/>
  <c r="B416" i="5"/>
  <c r="B400" i="5"/>
  <c r="B409" i="5"/>
  <c r="B402" i="5"/>
  <c r="B401" i="5"/>
  <c r="B34" i="5"/>
  <c r="AA51" i="4"/>
  <c r="AA52" i="4"/>
  <c r="AA260" i="4"/>
  <c r="AA58" i="4"/>
  <c r="AA36" i="4"/>
  <c r="AA53" i="4"/>
  <c r="AA54" i="4"/>
  <c r="AA88" i="4"/>
  <c r="AA59" i="4"/>
  <c r="AA89" i="4"/>
  <c r="AA26" i="4"/>
  <c r="AA272" i="4"/>
  <c r="AA273" i="4"/>
  <c r="AA289" i="4"/>
  <c r="AA205" i="4"/>
  <c r="AA27" i="4"/>
  <c r="AA169" i="4"/>
  <c r="AA219" i="4"/>
  <c r="AA102" i="4"/>
  <c r="AA103" i="4"/>
  <c r="AA104" i="4"/>
  <c r="AA105" i="4"/>
  <c r="AA106" i="4"/>
  <c r="AA107" i="4"/>
  <c r="AA108" i="4"/>
  <c r="AA5" i="4"/>
  <c r="AA37" i="4"/>
  <c r="AA38" i="4"/>
  <c r="AA39" i="4"/>
  <c r="AA109" i="4"/>
  <c r="AA60" i="4"/>
  <c r="AA55" i="4"/>
  <c r="AA170" i="4"/>
  <c r="AA171" i="4"/>
  <c r="AA172" i="4"/>
  <c r="AA206" i="4"/>
  <c r="AA207" i="4"/>
  <c r="AA220" i="4"/>
  <c r="AA267" i="4"/>
  <c r="AA135" i="4"/>
  <c r="AA208" i="4"/>
  <c r="AA248" i="4"/>
  <c r="AA302" i="4"/>
  <c r="AA173" i="4"/>
  <c r="AA174" i="4"/>
  <c r="AA221" i="4"/>
  <c r="AA175" i="4"/>
  <c r="AA176" i="4"/>
  <c r="AA90" i="4"/>
  <c r="AA177" i="4"/>
  <c r="AA136" i="4"/>
  <c r="AA178" i="4"/>
  <c r="AA209" i="4"/>
  <c r="AA137" i="4"/>
  <c r="AA138" i="4"/>
  <c r="AA179" i="4"/>
  <c r="AA235" i="4"/>
  <c r="AA180" i="4"/>
  <c r="AA110" i="4"/>
  <c r="AA293" i="4"/>
  <c r="AA40" i="4"/>
  <c r="AA21" i="4"/>
  <c r="AA91" i="4"/>
  <c r="AA181" i="4"/>
  <c r="AA182" i="4"/>
  <c r="AA120" i="4"/>
  <c r="AA111" i="4"/>
  <c r="AA236" i="4"/>
  <c r="AA61" i="4"/>
  <c r="AA261" i="4"/>
  <c r="AA10" i="4"/>
  <c r="AA12" i="4"/>
  <c r="AA295" i="4"/>
  <c r="AA249" i="4"/>
  <c r="AA268" i="4"/>
  <c r="AA291" i="4"/>
  <c r="AA283" i="4"/>
  <c r="AA250" i="4"/>
  <c r="AA237" i="4"/>
  <c r="AA238" i="4"/>
  <c r="AA284" i="4"/>
  <c r="AA285" i="4"/>
  <c r="AA286" i="4"/>
  <c r="AA62" i="4"/>
  <c r="AA139" i="4"/>
  <c r="AA92" i="4"/>
  <c r="AA93" i="4"/>
  <c r="AA121" i="4"/>
  <c r="AA239" i="4"/>
  <c r="AA269" i="4"/>
  <c r="AA76" i="4"/>
  <c r="AA56" i="4"/>
  <c r="AA29" i="4"/>
  <c r="AA222" i="4"/>
  <c r="AA22" i="4"/>
  <c r="AA240" i="4"/>
  <c r="AA23" i="4"/>
  <c r="AA63" i="4"/>
  <c r="AA3" i="4"/>
  <c r="AA183" i="4"/>
  <c r="AA297" i="4"/>
  <c r="AA140" i="4"/>
  <c r="AA77" i="4"/>
  <c r="AA94" i="4"/>
  <c r="AA78" i="4"/>
  <c r="AA96" i="4"/>
  <c r="AA95" i="4"/>
  <c r="AA141" i="4"/>
  <c r="AA298" i="4"/>
  <c r="AA223" i="4"/>
  <c r="AA112" i="4"/>
  <c r="AA142" i="4"/>
  <c r="AA143" i="4"/>
  <c r="AA30" i="4"/>
  <c r="AA31" i="4"/>
  <c r="AA241" i="4"/>
  <c r="AA32" i="4"/>
  <c r="AA97" i="4"/>
  <c r="AA79" i="4"/>
  <c r="AA184" i="4"/>
  <c r="AA64" i="4"/>
  <c r="AA2" i="4"/>
  <c r="AA80" i="4"/>
  <c r="AA262" i="4"/>
  <c r="AA113" i="4"/>
  <c r="AA185" i="4"/>
  <c r="AA11" i="4"/>
  <c r="AA33" i="4"/>
  <c r="AA114" i="4"/>
  <c r="AA278" i="4"/>
  <c r="AA290" i="4"/>
  <c r="AA122" i="4"/>
  <c r="AA13" i="4"/>
  <c r="AA292" i="4"/>
  <c r="AA294" i="4"/>
  <c r="AA123" i="4"/>
  <c r="AA242" i="4"/>
  <c r="AA124" i="4"/>
  <c r="AA81" i="4"/>
  <c r="AA65" i="4"/>
  <c r="AA34" i="4"/>
  <c r="AA186" i="4"/>
  <c r="AA66" i="4"/>
  <c r="AA125" i="4"/>
  <c r="AA41" i="4"/>
  <c r="AA187" i="4"/>
  <c r="AA188" i="4"/>
  <c r="AA251" i="4"/>
  <c r="AA300" i="4"/>
  <c r="AA299" i="4"/>
  <c r="AA144" i="4"/>
  <c r="AA296" i="4"/>
  <c r="AA252" i="4"/>
  <c r="AA82" i="4"/>
  <c r="AA83" i="4"/>
  <c r="AA84" i="4"/>
  <c r="AA115" i="4"/>
  <c r="AA126" i="4"/>
  <c r="AA116" i="4"/>
  <c r="AA57" i="4"/>
  <c r="AA98" i="4"/>
  <c r="AA67" i="4"/>
  <c r="AA68" i="4"/>
  <c r="AA99" i="4"/>
  <c r="AA42" i="4"/>
  <c r="AA43" i="4"/>
  <c r="AA44" i="4"/>
  <c r="AA189" i="4"/>
  <c r="AA253" i="4"/>
  <c r="AA224" i="4"/>
  <c r="AA69" i="4"/>
  <c r="AA127" i="4"/>
  <c r="AA70" i="4"/>
  <c r="AA35" i="4"/>
  <c r="AA4" i="4"/>
  <c r="AA6" i="4"/>
  <c r="AA7" i="4"/>
  <c r="AA8" i="4"/>
  <c r="AA145" i="4"/>
  <c r="AA128" i="4"/>
  <c r="AA14" i="4"/>
  <c r="AA15" i="4"/>
  <c r="AA24" i="4"/>
  <c r="AA16" i="4"/>
  <c r="AA17" i="4"/>
  <c r="AA18" i="4"/>
  <c r="AA19" i="4"/>
  <c r="AA20" i="4"/>
  <c r="AA9" i="4"/>
  <c r="AA301" i="4"/>
  <c r="AA71" i="4"/>
  <c r="AA72" i="4"/>
  <c r="AA73" i="4"/>
  <c r="AA190" i="4"/>
  <c r="AA191" i="4"/>
  <c r="AA129" i="4"/>
  <c r="AA243" i="4"/>
  <c r="AA254" i="4"/>
  <c r="AA255" i="4"/>
  <c r="AA146" i="4"/>
  <c r="AA192" i="4"/>
  <c r="AA279" i="4"/>
  <c r="AA287" i="4"/>
  <c r="AA130" i="4"/>
  <c r="AA274" i="4"/>
  <c r="AA263" i="4"/>
  <c r="AA280" i="4"/>
  <c r="AA270" i="4"/>
  <c r="AA281" i="4"/>
  <c r="AA225" i="4"/>
  <c r="AA226" i="4"/>
  <c r="AA264" i="4"/>
  <c r="AA131" i="4"/>
  <c r="AA147" i="4"/>
  <c r="AA148" i="4"/>
  <c r="AA210" i="4"/>
  <c r="AA149" i="4"/>
  <c r="AA150" i="4"/>
  <c r="AA227" i="4"/>
  <c r="AA151" i="4"/>
  <c r="AA152" i="4"/>
  <c r="AA153" i="4"/>
  <c r="AA211" i="4"/>
  <c r="AA212" i="4"/>
  <c r="AA213" i="4"/>
  <c r="AA154" i="4"/>
  <c r="AA214" i="4"/>
  <c r="AA215" i="4"/>
  <c r="AA265" i="4"/>
  <c r="AA266" i="4"/>
  <c r="AA74" i="4"/>
  <c r="AA155" i="4"/>
  <c r="AA132" i="4"/>
  <c r="AA193" i="4"/>
  <c r="AA156" i="4"/>
  <c r="AA157" i="4"/>
  <c r="AA158" i="4"/>
  <c r="AA256" i="4"/>
  <c r="AA161" i="4"/>
  <c r="AA228" i="4"/>
  <c r="AA229" i="4"/>
  <c r="AA244" i="4"/>
  <c r="AA230" i="4"/>
  <c r="AA231" i="4"/>
  <c r="AA282" i="4"/>
  <c r="AA216" i="4"/>
  <c r="AA85" i="4"/>
  <c r="AA194" i="4"/>
  <c r="AA271" i="4"/>
  <c r="AA133" i="4"/>
  <c r="AA217" i="4"/>
  <c r="AA195" i="4"/>
  <c r="AA257" i="4"/>
  <c r="AA258" i="4"/>
  <c r="AA196" i="4"/>
  <c r="AA233" i="4"/>
  <c r="AA246" i="4"/>
  <c r="AA247" i="4"/>
  <c r="AA259" i="4"/>
  <c r="AA117" i="4"/>
  <c r="AA288" i="4"/>
  <c r="AA234" i="4"/>
  <c r="AA45" i="4"/>
  <c r="AA46" i="4"/>
  <c r="AA47" i="4"/>
  <c r="AA48" i="4"/>
  <c r="AA49" i="4"/>
  <c r="AA197" i="4"/>
  <c r="AA198" i="4"/>
  <c r="AA118" i="4"/>
  <c r="AA162" i="4"/>
  <c r="AA159" i="4"/>
  <c r="AA160" i="4"/>
  <c r="AA100" i="4"/>
  <c r="AA163" i="4"/>
  <c r="AA119" i="4"/>
  <c r="AA218" i="4"/>
  <c r="AA245" i="4"/>
  <c r="AA199" i="4"/>
  <c r="AA200" i="4"/>
  <c r="AA165" i="4"/>
  <c r="AA166" i="4"/>
  <c r="AA167" i="4"/>
  <c r="AA168" i="4"/>
  <c r="AA201" i="4"/>
  <c r="AA75" i="4"/>
  <c r="AA101" i="4"/>
  <c r="AA87" i="4"/>
  <c r="AA202" i="4"/>
  <c r="AA203" i="4"/>
  <c r="AA204" i="4"/>
  <c r="AA25" i="4"/>
  <c r="AA303" i="4"/>
  <c r="AA304" i="4"/>
  <c r="AA317" i="4"/>
  <c r="AA318" i="4"/>
  <c r="AA309" i="4"/>
  <c r="AA310" i="4"/>
  <c r="AA311" i="4"/>
  <c r="AA312" i="4"/>
  <c r="AA313" i="4"/>
  <c r="AA314" i="4"/>
  <c r="AA305" i="4"/>
  <c r="AA306" i="4"/>
  <c r="AA315" i="4"/>
  <c r="AA307" i="4"/>
  <c r="AA316" i="4"/>
  <c r="AA339" i="4"/>
  <c r="AA320" i="4"/>
  <c r="AA337" i="4"/>
  <c r="AA334" i="4"/>
  <c r="AA335" i="4"/>
  <c r="AA321" i="4"/>
  <c r="AA322" i="4"/>
  <c r="AA323" i="4"/>
  <c r="AA324" i="4"/>
  <c r="AA325" i="4"/>
  <c r="AA319" i="4"/>
  <c r="AA343" i="4"/>
  <c r="AA340" i="4"/>
  <c r="AA338" i="4"/>
  <c r="AA341" i="4"/>
  <c r="AA342" i="4"/>
  <c r="AA349" i="4"/>
  <c r="AA347" i="4"/>
  <c r="AA345" i="4"/>
  <c r="AA344" i="4"/>
  <c r="AA350" i="4"/>
  <c r="AA351" i="4"/>
  <c r="AA326" i="4"/>
  <c r="AA327" i="4"/>
  <c r="AA328" i="4"/>
  <c r="AA329" i="4"/>
  <c r="AA336" i="4"/>
  <c r="AA330" i="4"/>
  <c r="AA331" i="4"/>
  <c r="AA332" i="4"/>
  <c r="AA333" i="4"/>
  <c r="AA346" i="4"/>
  <c r="AA348" i="4"/>
  <c r="AA358" i="4"/>
  <c r="AA369" i="4"/>
  <c r="AA354" i="4"/>
  <c r="AA370" i="4"/>
  <c r="AA371" i="4"/>
  <c r="AA372" i="4"/>
  <c r="AA373" i="4"/>
  <c r="AA352" i="4"/>
  <c r="AA364" i="4"/>
  <c r="AA353" i="4"/>
  <c r="AA357" i="4"/>
  <c r="AA355" i="4"/>
  <c r="AA359" i="4"/>
  <c r="AA360" i="4"/>
  <c r="AA365" i="4"/>
  <c r="AA356" i="4"/>
  <c r="AA366" i="4"/>
  <c r="AA367" i="4"/>
  <c r="AA361" i="4"/>
  <c r="AA363" i="4"/>
  <c r="AA368" i="4"/>
  <c r="AA362" i="4"/>
  <c r="AA374" i="4"/>
  <c r="AA375" i="4"/>
  <c r="AA376" i="4"/>
  <c r="AA377" i="4"/>
  <c r="AA378" i="4"/>
  <c r="AA379" i="4"/>
  <c r="AA380" i="4"/>
  <c r="AA381" i="4"/>
  <c r="AA382" i="4"/>
  <c r="AA383" i="4"/>
  <c r="AA385" i="4"/>
  <c r="AA391" i="4"/>
  <c r="AA390" i="4"/>
  <c r="AA389" i="4"/>
  <c r="AA388" i="4"/>
  <c r="AA387" i="4"/>
  <c r="AA393" i="4"/>
  <c r="AA403" i="4"/>
  <c r="AA404" i="4"/>
  <c r="AA407" i="4"/>
  <c r="AA394" i="4"/>
  <c r="AA395" i="4"/>
  <c r="AA396" i="4"/>
  <c r="AA397" i="4"/>
  <c r="AA416" i="4"/>
  <c r="AA408" i="4"/>
  <c r="AA412" i="4"/>
  <c r="AA409" i="4"/>
  <c r="AA410" i="4"/>
  <c r="AA398" i="4"/>
  <c r="AA399" i="4"/>
  <c r="AA400" i="4"/>
  <c r="AA401" i="4"/>
  <c r="AA415" i="4"/>
  <c r="AA405" i="4"/>
  <c r="AA411" i="4"/>
  <c r="AA402" i="4"/>
  <c r="AA392" i="4"/>
  <c r="AA413" i="4"/>
  <c r="AA414" i="4"/>
  <c r="AA406" i="4"/>
  <c r="AA50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1" i="3"/>
  <c r="B12" i="3"/>
  <c r="B13" i="3"/>
  <c r="B14" i="3"/>
  <c r="B16" i="3"/>
  <c r="B17" i="3"/>
  <c r="B18" i="3"/>
  <c r="B19" i="3"/>
  <c r="B20" i="3"/>
  <c r="B21" i="3"/>
  <c r="B22" i="3"/>
  <c r="B23" i="3"/>
  <c r="B24" i="3"/>
  <c r="B26" i="3"/>
  <c r="B27" i="3"/>
  <c r="B28" i="3"/>
  <c r="B40" i="3"/>
  <c r="B30" i="3"/>
  <c r="B31" i="3"/>
  <c r="B41" i="3"/>
  <c r="B42" i="3"/>
  <c r="B43" i="3"/>
  <c r="B32" i="3"/>
  <c r="B33" i="3"/>
  <c r="B34" i="3"/>
  <c r="B35" i="3"/>
  <c r="B36" i="3"/>
  <c r="B37" i="3"/>
  <c r="B38" i="3"/>
  <c r="B39" i="3"/>
  <c r="C6" i="3"/>
  <c r="C11" i="3"/>
  <c r="C12" i="3"/>
  <c r="C13" i="3"/>
  <c r="C14" i="3"/>
  <c r="C16" i="3"/>
  <c r="C17" i="3"/>
  <c r="C18" i="3"/>
  <c r="C19" i="3"/>
  <c r="C20" i="3"/>
  <c r="C21" i="3"/>
  <c r="C22" i="3"/>
  <c r="C23" i="3"/>
  <c r="C24" i="3"/>
  <c r="C26" i="3"/>
  <c r="C27" i="3"/>
  <c r="C28" i="3"/>
  <c r="C40" i="3"/>
  <c r="C30" i="3"/>
  <c r="C31" i="3"/>
  <c r="C41" i="3"/>
  <c r="C42" i="3"/>
  <c r="C43" i="3"/>
  <c r="C32" i="3"/>
  <c r="C33" i="3"/>
  <c r="C34" i="3"/>
  <c r="C35" i="3"/>
  <c r="C36" i="3"/>
  <c r="C37" i="3"/>
  <c r="C38" i="3"/>
  <c r="C39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4" i="5"/>
  <c r="AM325" i="5"/>
  <c r="AM335" i="5"/>
  <c r="AM337" i="5"/>
  <c r="AM339" i="5"/>
  <c r="AM345" i="5"/>
  <c r="AM79" i="5"/>
  <c r="AM348" i="5"/>
  <c r="AM349" i="5"/>
  <c r="AM350" i="5"/>
  <c r="AM88" i="5"/>
  <c r="AM89" i="5"/>
  <c r="AM10" i="5"/>
  <c r="AM11" i="5"/>
  <c r="AM96" i="5"/>
  <c r="AM97" i="5"/>
  <c r="AM98" i="5"/>
  <c r="AM103" i="5"/>
  <c r="AM109" i="5"/>
  <c r="AM378" i="5"/>
  <c r="AM387" i="5"/>
  <c r="AM112" i="5"/>
  <c r="AM2" i="5"/>
  <c r="AM388" i="5"/>
  <c r="AM12" i="5"/>
  <c r="AM117" i="5"/>
  <c r="AM13" i="5"/>
  <c r="AM270" i="5"/>
  <c r="AM14" i="5"/>
  <c r="AM355" i="5"/>
  <c r="AM356" i="5"/>
  <c r="AM273" i="5"/>
  <c r="AM15" i="5"/>
  <c r="AM275" i="5"/>
  <c r="AM358" i="5"/>
  <c r="AM127" i="5"/>
  <c r="AM129" i="5"/>
  <c r="AM130" i="5"/>
  <c r="AM132" i="5"/>
  <c r="AM133" i="5"/>
  <c r="AM4" i="5"/>
  <c r="AM136" i="5"/>
  <c r="AM255" i="5"/>
  <c r="AM137" i="5"/>
  <c r="AM139" i="5"/>
  <c r="AM140" i="5"/>
  <c r="AM276" i="5"/>
  <c r="AM149" i="5"/>
  <c r="AM150" i="5"/>
  <c r="AM277" i="5"/>
  <c r="AM278" i="5"/>
  <c r="AM279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4" i="5"/>
  <c r="AM27" i="5"/>
  <c r="AM223" i="5"/>
  <c r="AM227" i="5"/>
  <c r="AM228" i="5"/>
  <c r="AM394" i="5"/>
  <c r="AM395" i="5"/>
  <c r="AM396" i="5"/>
  <c r="AM397" i="5"/>
  <c r="AM398" i="5"/>
  <c r="AM399" i="5"/>
  <c r="AM400" i="5"/>
  <c r="AM402" i="5"/>
  <c r="AM403" i="5"/>
  <c r="AM404" i="5"/>
  <c r="AM405" i="5"/>
  <c r="AM406" i="5"/>
  <c r="AM407" i="5"/>
  <c r="AM408" i="5"/>
  <c r="AM409" i="5"/>
  <c r="AM241" i="5"/>
  <c r="AM411" i="5"/>
  <c r="AM412" i="5"/>
  <c r="AM414" i="5"/>
  <c r="AM415" i="5"/>
  <c r="AM416" i="5"/>
  <c r="AM250" i="5"/>
  <c r="AM36" i="5"/>
  <c r="AM37" i="5"/>
  <c r="AM251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5" i="5"/>
  <c r="AM266" i="5"/>
  <c r="AM55" i="5"/>
  <c r="AM56" i="5"/>
  <c r="AM57" i="5"/>
  <c r="AM59" i="5"/>
  <c r="AM60" i="5"/>
  <c r="AM62" i="5"/>
  <c r="AM63" i="5"/>
  <c r="AM64" i="5"/>
  <c r="AM68" i="5"/>
  <c r="AM70" i="5"/>
  <c r="AM71" i="5"/>
  <c r="AM319" i="5"/>
  <c r="AM320" i="5"/>
  <c r="AM321" i="5"/>
  <c r="AM322" i="5"/>
  <c r="AM323" i="5"/>
  <c r="AM326" i="5"/>
  <c r="AM327" i="5"/>
  <c r="AM328" i="5"/>
  <c r="AM329" i="5"/>
  <c r="AM330" i="5"/>
  <c r="AM331" i="5"/>
  <c r="AM332" i="5"/>
  <c r="AM333" i="5"/>
  <c r="AM334" i="5"/>
  <c r="AM336" i="5"/>
  <c r="AM338" i="5"/>
  <c r="AM341" i="5"/>
  <c r="AM342" i="5"/>
  <c r="AM343" i="5"/>
  <c r="AM344" i="5"/>
  <c r="AM72" i="5"/>
  <c r="AM9" i="5"/>
  <c r="AM73" i="5"/>
  <c r="AM346" i="5"/>
  <c r="AM74" i="5"/>
  <c r="AM75" i="5"/>
  <c r="AM76" i="5"/>
  <c r="AM77" i="5"/>
  <c r="AM78" i="5"/>
  <c r="AM303" i="5"/>
  <c r="AM304" i="5"/>
  <c r="AM352" i="5"/>
  <c r="AM80" i="5"/>
  <c r="AM81" i="5"/>
  <c r="AM267" i="5"/>
  <c r="AM82" i="5"/>
  <c r="AM83" i="5"/>
  <c r="AM84" i="5"/>
  <c r="AM85" i="5"/>
  <c r="AM259" i="5"/>
  <c r="AM260" i="5"/>
  <c r="AM86" i="5"/>
  <c r="AM261" i="5"/>
  <c r="AM253" i="5"/>
  <c r="AM347" i="5"/>
  <c r="AM87" i="5"/>
  <c r="AM90" i="5"/>
  <c r="AM91" i="5"/>
  <c r="AM305" i="5"/>
  <c r="AM306" i="5"/>
  <c r="AM92" i="5"/>
  <c r="AM93" i="5"/>
  <c r="AM94" i="5"/>
  <c r="AM95" i="5"/>
  <c r="AM262" i="5"/>
  <c r="AM254" i="5"/>
  <c r="AM263" i="5"/>
  <c r="AM99" i="5"/>
  <c r="AM100" i="5"/>
  <c r="AM101" i="5"/>
  <c r="AM102" i="5"/>
  <c r="AM104" i="5"/>
  <c r="AM105" i="5"/>
  <c r="AM106" i="5"/>
  <c r="AM107" i="5"/>
  <c r="AM108" i="5"/>
  <c r="AM374" i="5"/>
  <c r="AM375" i="5"/>
  <c r="AM376" i="5"/>
  <c r="AM377" i="5"/>
  <c r="AM379" i="5"/>
  <c r="AM380" i="5"/>
  <c r="AM381" i="5"/>
  <c r="AM382" i="5"/>
  <c r="AM383" i="5"/>
  <c r="AM353" i="5"/>
  <c r="AM354" i="5"/>
  <c r="AM110" i="5"/>
  <c r="AM111" i="5"/>
  <c r="AM113" i="5"/>
  <c r="AM308" i="5"/>
  <c r="AM114" i="5"/>
  <c r="AM309" i="5"/>
  <c r="AM310" i="5"/>
  <c r="AM311" i="5"/>
  <c r="AM312" i="5"/>
  <c r="AM115" i="5"/>
  <c r="AM116" i="5"/>
  <c r="AM340" i="5"/>
  <c r="AM268" i="5"/>
  <c r="AM269" i="5"/>
  <c r="AM389" i="5"/>
  <c r="AM271" i="5"/>
  <c r="AM272" i="5"/>
  <c r="AM119" i="5"/>
  <c r="AM120" i="5"/>
  <c r="AM390" i="5"/>
  <c r="AM121" i="5"/>
  <c r="AM122" i="5"/>
  <c r="AM123" i="5"/>
  <c r="AM124" i="5"/>
  <c r="AM274" i="5"/>
  <c r="AM357" i="5"/>
  <c r="AM125" i="5"/>
  <c r="AM126" i="5"/>
  <c r="AM359" i="5"/>
  <c r="AM360" i="5"/>
  <c r="AM361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80" i="5"/>
  <c r="AM154" i="5"/>
  <c r="AM155" i="5"/>
  <c r="AM156" i="5"/>
  <c r="AM351" i="5"/>
  <c r="AM362" i="5"/>
  <c r="AM363" i="5"/>
  <c r="AM364" i="5"/>
  <c r="AM365" i="5"/>
  <c r="AM366" i="5"/>
  <c r="AM367" i="5"/>
  <c r="AM368" i="5"/>
  <c r="AM369" i="5"/>
  <c r="AM157" i="5"/>
  <c r="AM159" i="5"/>
  <c r="AM160" i="5"/>
  <c r="AM161" i="5"/>
  <c r="AM162" i="5"/>
  <c r="AM256" i="5"/>
  <c r="AM257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1" i="5"/>
  <c r="AM282" i="5"/>
  <c r="AM283" i="5"/>
  <c r="AM193" i="5"/>
  <c r="AM284" i="5"/>
  <c r="AM285" i="5"/>
  <c r="AM286" i="5"/>
  <c r="AM287" i="5"/>
  <c r="AM5" i="5"/>
  <c r="AM288" i="5"/>
  <c r="AM289" i="5"/>
  <c r="AM290" i="5"/>
  <c r="AM291" i="5"/>
  <c r="AM199" i="5"/>
  <c r="AM293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8" i="5"/>
  <c r="AM213" i="5"/>
  <c r="AM214" i="5"/>
  <c r="AM215" i="5"/>
  <c r="AM216" i="5"/>
  <c r="AM217" i="5"/>
  <c r="AM313" i="5"/>
  <c r="AM218" i="5"/>
  <c r="AM28" i="5"/>
  <c r="AM219" i="5"/>
  <c r="AM220" i="5"/>
  <c r="AM221" i="5"/>
  <c r="AM222" i="5"/>
  <c r="AM224" i="5"/>
  <c r="AM225" i="5"/>
  <c r="AM226" i="5"/>
  <c r="AM295" i="5"/>
  <c r="AM296" i="5"/>
  <c r="AM8" i="5"/>
  <c r="AM229" i="5"/>
  <c r="AM230" i="5"/>
  <c r="AM314" i="5"/>
  <c r="AM315" i="5"/>
  <c r="AM231" i="5"/>
  <c r="AM370" i="5"/>
  <c r="AM297" i="5"/>
  <c r="AM232" i="5"/>
  <c r="AM29" i="5"/>
  <c r="AM30" i="5"/>
  <c r="AM31" i="5"/>
  <c r="AM32" i="5"/>
  <c r="AM33" i="5"/>
  <c r="AM233" i="5"/>
  <c r="AM34" i="5"/>
  <c r="AM316" i="5"/>
  <c r="AM384" i="5"/>
  <c r="AM234" i="5"/>
  <c r="AM235" i="5"/>
  <c r="AM236" i="5"/>
  <c r="AM237" i="5"/>
  <c r="AM238" i="5"/>
  <c r="AM239" i="5"/>
  <c r="AM392" i="5"/>
  <c r="AM393" i="5"/>
  <c r="AM401" i="5"/>
  <c r="AM410" i="5"/>
  <c r="AM413" i="5"/>
  <c r="AM242" i="5"/>
  <c r="AM243" i="5"/>
  <c r="AM244" i="5"/>
  <c r="AM245" i="5"/>
  <c r="AM246" i="5"/>
  <c r="AM247" i="5"/>
  <c r="AM248" i="5"/>
  <c r="AM391" i="5"/>
  <c r="AM249" i="5"/>
  <c r="AM371" i="5"/>
  <c r="AM372" i="5"/>
  <c r="AM373" i="5"/>
  <c r="AM35" i="5"/>
  <c r="AM317" i="5"/>
  <c r="AM318" i="5"/>
  <c r="AM252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8" i="5"/>
  <c r="AP408" i="5"/>
  <c r="AQ407" i="5"/>
  <c r="AP407" i="5"/>
  <c r="AQ392" i="5"/>
  <c r="AP392" i="5"/>
  <c r="AQ393" i="5"/>
  <c r="AP393" i="5"/>
  <c r="AQ384" i="5"/>
  <c r="AQ383" i="5"/>
  <c r="AQ382" i="5"/>
  <c r="AQ381" i="5"/>
  <c r="AQ380" i="5"/>
  <c r="AQ379" i="5"/>
  <c r="AQ377" i="5"/>
  <c r="AQ376" i="5"/>
  <c r="AQ375" i="5"/>
  <c r="AQ374" i="5"/>
  <c r="AQ369" i="5"/>
  <c r="AQ368" i="5"/>
  <c r="AQ367" i="5"/>
  <c r="AQ366" i="5"/>
  <c r="AQ365" i="5"/>
  <c r="AQ364" i="5"/>
  <c r="AQ363" i="5"/>
  <c r="AQ354" i="5"/>
  <c r="AQ352" i="5"/>
  <c r="AQ373" i="5"/>
  <c r="AQ372" i="5"/>
  <c r="AQ371" i="5"/>
  <c r="AQ370" i="5"/>
  <c r="AQ362" i="5"/>
  <c r="AQ361" i="5"/>
  <c r="AQ360" i="5"/>
  <c r="AQ359" i="5"/>
  <c r="AQ358" i="5"/>
  <c r="AQ357" i="5"/>
  <c r="AQ356" i="5"/>
  <c r="AQ355" i="5"/>
  <c r="AQ353" i="5"/>
  <c r="AQ351" i="5"/>
  <c r="AQ340" i="5"/>
  <c r="AQ350" i="5"/>
  <c r="AQ349" i="5"/>
  <c r="AQ348" i="5"/>
  <c r="AQ347" i="5"/>
  <c r="AQ346" i="5"/>
  <c r="AQ345" i="5"/>
  <c r="AQ344" i="5"/>
  <c r="AQ343" i="5"/>
  <c r="AQ342" i="5"/>
  <c r="AQ341" i="5"/>
  <c r="AQ339" i="5"/>
  <c r="AQ338" i="5"/>
  <c r="AQ337" i="5"/>
  <c r="AQ336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6" i="5"/>
  <c r="AQ305" i="5"/>
  <c r="AQ304" i="5"/>
  <c r="AQ303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8" i="5"/>
  <c r="AQ258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8" i="5"/>
  <c r="AS87" i="5"/>
  <c r="AS249" i="5"/>
  <c r="AQ249" i="5"/>
  <c r="AS231" i="5"/>
  <c r="AQ231" i="5"/>
  <c r="AS8" i="5"/>
  <c r="AQ8" i="5"/>
  <c r="AS296" i="5"/>
  <c r="AQ296" i="5"/>
  <c r="AS295" i="5"/>
  <c r="AQ295" i="5"/>
  <c r="AS7" i="5"/>
  <c r="AQ7" i="5"/>
  <c r="AS291" i="5"/>
  <c r="AQ291" i="5"/>
  <c r="AS290" i="5"/>
  <c r="AQ290" i="5"/>
  <c r="AS289" i="5"/>
  <c r="AQ289" i="5"/>
  <c r="AS288" i="5"/>
  <c r="AQ288" i="5"/>
  <c r="AS5" i="5"/>
  <c r="AS287" i="5"/>
  <c r="AQ287" i="5"/>
  <c r="AS286" i="5"/>
  <c r="AQ286" i="5"/>
  <c r="AS193" i="5"/>
  <c r="AQ193" i="5"/>
  <c r="AS283" i="5"/>
  <c r="AQ283" i="5"/>
  <c r="AS282" i="5"/>
  <c r="AQ282" i="5"/>
  <c r="AS281" i="5"/>
  <c r="AQ281" i="5"/>
  <c r="AS192" i="5"/>
  <c r="AQ192" i="5"/>
  <c r="AS157" i="5"/>
  <c r="AQ157" i="5"/>
  <c r="AS280" i="5"/>
  <c r="AQ280" i="5"/>
  <c r="AQ147" i="5"/>
  <c r="AS143" i="5"/>
  <c r="AQ143" i="5"/>
  <c r="AQ134" i="5"/>
  <c r="AS3" i="5"/>
  <c r="AQ3" i="5"/>
  <c r="AS274" i="5"/>
  <c r="AQ274" i="5"/>
  <c r="AQ269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3" i="5"/>
  <c r="AQ293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5" i="5"/>
  <c r="AQ285" i="5"/>
  <c r="AS284" i="5"/>
  <c r="AQ284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7" i="5"/>
  <c r="AQ257" i="5"/>
  <c r="AS161" i="5"/>
  <c r="AQ161" i="5"/>
  <c r="AS146" i="5"/>
  <c r="AS102" i="5"/>
  <c r="AS263" i="5"/>
  <c r="AQ263" i="5"/>
  <c r="AS254" i="5"/>
  <c r="AQ254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1" i="5"/>
  <c r="AQ261" i="5"/>
  <c r="AS260" i="5"/>
  <c r="AQ260" i="5"/>
  <c r="AS267" i="5"/>
  <c r="AQ267" i="5"/>
  <c r="AQ266" i="5"/>
  <c r="AS252" i="5"/>
  <c r="AQ252" i="5"/>
  <c r="AS262" i="5"/>
  <c r="AQ262" i="5"/>
  <c r="AQ92" i="5"/>
  <c r="AQ253" i="5"/>
  <c r="AS86" i="5"/>
  <c r="AQ86" i="5"/>
  <c r="AS259" i="5"/>
  <c r="AQ259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7" i="5"/>
  <c r="AQ2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5" i="5"/>
  <c r="AS244" i="5"/>
  <c r="AQ244" i="5"/>
  <c r="AQ29" i="5"/>
  <c r="AS115" i="5"/>
  <c r="AQ115" i="5"/>
  <c r="AS70" i="5"/>
  <c r="AQ70" i="5"/>
  <c r="AS242" i="5"/>
  <c r="AQ242" i="5"/>
  <c r="AQ224" i="5"/>
  <c r="AS27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6" i="5"/>
  <c r="AQ256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8" i="5"/>
  <c r="AQ248" i="5"/>
  <c r="AS247" i="5"/>
  <c r="AQ247" i="5"/>
  <c r="AS246" i="5"/>
  <c r="AQ246" i="5"/>
  <c r="AS243" i="5"/>
  <c r="AQ243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6" i="5"/>
  <c r="AP396" i="5"/>
  <c r="AQ416" i="5"/>
  <c r="AP416" i="5"/>
  <c r="AQ411" i="5"/>
  <c r="AP411" i="5"/>
  <c r="AQ410" i="5"/>
  <c r="AP410" i="5"/>
  <c r="AQ409" i="5"/>
  <c r="AP409" i="5"/>
  <c r="AQ406" i="5"/>
  <c r="AP406" i="5"/>
  <c r="AQ405" i="5"/>
  <c r="AP405" i="5"/>
  <c r="AQ403" i="5"/>
  <c r="AP403" i="5"/>
  <c r="AQ402" i="5"/>
  <c r="AP402" i="5"/>
  <c r="AQ401" i="5"/>
  <c r="AP401" i="5"/>
  <c r="AQ399" i="5"/>
  <c r="AP399" i="5"/>
  <c r="AQ398" i="5"/>
  <c r="AP398" i="5"/>
  <c r="AQ395" i="5"/>
  <c r="AP395" i="5"/>
  <c r="AQ400" i="5"/>
  <c r="AP400" i="5"/>
  <c r="AQ394" i="5"/>
  <c r="AP394" i="5"/>
  <c r="AQ415" i="5"/>
  <c r="AP415" i="5"/>
  <c r="AQ414" i="5"/>
  <c r="AP414" i="5"/>
  <c r="AQ413" i="5"/>
  <c r="AP413" i="5"/>
  <c r="AQ412" i="5"/>
  <c r="AP412" i="5"/>
  <c r="AQ404" i="5"/>
  <c r="AP404" i="5"/>
  <c r="AQ397" i="5"/>
  <c r="AP397" i="5"/>
  <c r="AQ378" i="5"/>
  <c r="AQ335" i="5"/>
  <c r="AS149" i="5"/>
  <c r="AQ149" i="5"/>
  <c r="AS129" i="5"/>
  <c r="AS27" i="5"/>
  <c r="AS15" i="5"/>
  <c r="AS251" i="5"/>
  <c r="AQ251" i="5"/>
  <c r="AS292" i="5"/>
  <c r="AQ292" i="5"/>
  <c r="AS294" i="5"/>
  <c r="AQ294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9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70" i="5"/>
  <c r="AS276" i="5"/>
  <c r="AQ276" i="5"/>
  <c r="AQ275" i="5"/>
  <c r="AS245" i="5"/>
  <c r="AQ245" i="5"/>
  <c r="AS30" i="5"/>
  <c r="AQ30" i="5"/>
  <c r="AS191" i="5"/>
  <c r="AQ191" i="5"/>
  <c r="AS190" i="5"/>
  <c r="AQ190" i="5"/>
  <c r="AS162" i="5"/>
  <c r="AQ162" i="5"/>
  <c r="AS278" i="5"/>
  <c r="AQ278" i="5"/>
  <c r="AS98" i="5"/>
  <c r="AQ98" i="5"/>
  <c r="AS96" i="5"/>
  <c r="AQ96" i="5"/>
  <c r="AS250" i="5"/>
  <c r="AQ250" i="5"/>
  <c r="AS241" i="5"/>
  <c r="AS223" i="5"/>
  <c r="AQ223" i="5"/>
  <c r="AS170" i="5"/>
  <c r="AQ170" i="5"/>
  <c r="AS109" i="5"/>
  <c r="AQ109" i="5"/>
  <c r="AQ61" i="5"/>
  <c r="AQ255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84" i="2"/>
  <c r="BE85" i="2"/>
  <c r="BE86" i="2"/>
  <c r="BE96" i="2"/>
  <c r="BF84" i="2"/>
  <c r="BF85" i="2"/>
  <c r="BF86" i="2"/>
  <c r="BF96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84" i="2"/>
  <c r="BL85" i="2"/>
  <c r="BL86" i="2"/>
  <c r="BL96" i="2"/>
  <c r="BK84" i="2"/>
  <c r="BK85" i="2"/>
  <c r="BK86" i="2"/>
  <c r="BK96" i="2"/>
  <c r="BJ84" i="2"/>
  <c r="BJ85" i="2"/>
  <c r="BJ86" i="2"/>
  <c r="BJ96" i="2"/>
  <c r="BI84" i="2"/>
  <c r="BI85" i="2"/>
  <c r="BI86" i="2"/>
  <c r="BI96" i="2"/>
  <c r="BH84" i="2"/>
  <c r="BH85" i="2"/>
  <c r="BH86" i="2"/>
  <c r="BH96" i="2"/>
  <c r="BG84" i="2"/>
  <c r="BG85" i="2"/>
  <c r="BG86" i="2"/>
  <c r="BG96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283" i="4"/>
  <c r="AJ163" i="4"/>
  <c r="AJ245" i="4"/>
  <c r="AJ195" i="4"/>
  <c r="AJ288" i="4"/>
  <c r="AJ194" i="4"/>
  <c r="AJ158" i="4"/>
  <c r="AJ157" i="4"/>
  <c r="AJ156" i="4"/>
  <c r="AJ193" i="4"/>
  <c r="AJ155" i="4"/>
  <c r="AJ24" i="4"/>
  <c r="AJ4" i="4"/>
  <c r="AJ84" i="4"/>
  <c r="AJ83" i="4"/>
  <c r="AJ82" i="4"/>
  <c r="AJ123" i="4"/>
  <c r="AJ114" i="4"/>
  <c r="AJ184" i="4"/>
  <c r="AJ79" i="4"/>
  <c r="AJ223" i="4"/>
  <c r="AJ29" i="4"/>
  <c r="AJ110" i="4"/>
  <c r="AJ180" i="4"/>
  <c r="AJ87" i="4"/>
  <c r="AJ41" i="4"/>
  <c r="AJ183" i="4"/>
  <c r="AJ70" i="4"/>
  <c r="AJ286" i="4"/>
  <c r="AJ285" i="4"/>
  <c r="AJ284" i="4"/>
  <c r="AJ236" i="4"/>
  <c r="AJ111" i="4"/>
  <c r="AJ120" i="4"/>
  <c r="AJ174" i="4"/>
  <c r="AJ117" i="4"/>
  <c r="AJ259" i="4"/>
  <c r="AJ131" i="4"/>
  <c r="AJ18" i="4"/>
  <c r="AJ16" i="4"/>
  <c r="AJ14" i="4"/>
  <c r="AJ67" i="4"/>
  <c r="AJ290" i="4"/>
  <c r="AJ113" i="4"/>
  <c r="AJ97" i="4"/>
  <c r="AJ241" i="4"/>
  <c r="AJ142" i="4"/>
  <c r="AJ293" i="4"/>
  <c r="AJ173" i="4"/>
  <c r="AJ208" i="4"/>
  <c r="AJ135" i="4"/>
  <c r="AJ267" i="4"/>
  <c r="AJ220" i="4"/>
  <c r="AJ207" i="4"/>
  <c r="AJ219" i="4"/>
  <c r="AJ25" i="4"/>
  <c r="AJ23" i="4"/>
  <c r="AJ76" i="4"/>
  <c r="AJ61" i="4"/>
  <c r="AJ182" i="4"/>
  <c r="AJ181" i="4"/>
  <c r="AJ91" i="4"/>
  <c r="AJ235" i="4"/>
  <c r="AJ179" i="4"/>
  <c r="AJ138" i="4"/>
  <c r="AJ137" i="4"/>
  <c r="AJ209" i="4"/>
  <c r="AJ178" i="4"/>
  <c r="AJ136" i="4"/>
  <c r="AJ177" i="4"/>
  <c r="AJ90" i="4"/>
  <c r="AJ176" i="4"/>
  <c r="AJ175" i="4"/>
  <c r="AJ102" i="4"/>
  <c r="AJ169" i="4"/>
  <c r="AJ27" i="4"/>
  <c r="AJ119" i="4"/>
  <c r="AJ246" i="4"/>
  <c r="AJ133" i="4"/>
  <c r="AJ161" i="4"/>
  <c r="AJ160" i="4"/>
  <c r="AJ159" i="4"/>
  <c r="AJ144" i="4"/>
  <c r="AJ188" i="4"/>
  <c r="AJ122" i="4"/>
  <c r="AJ141" i="4"/>
  <c r="AJ31" i="4"/>
  <c r="AJ85" i="4"/>
  <c r="AJ231" i="4"/>
  <c r="AJ264" i="4"/>
  <c r="AJ226" i="4"/>
  <c r="AJ225" i="4"/>
  <c r="AJ255" i="4"/>
  <c r="AJ254" i="4"/>
  <c r="AJ301" i="4"/>
  <c r="AJ294" i="4"/>
  <c r="AJ77" i="4"/>
  <c r="AJ140" i="4"/>
  <c r="AJ239" i="4"/>
  <c r="AJ247" i="4"/>
  <c r="AJ196" i="4"/>
  <c r="AJ258" i="4"/>
  <c r="AJ257" i="4"/>
  <c r="AJ132" i="4"/>
  <c r="AJ266" i="4"/>
  <c r="AJ265" i="4"/>
  <c r="AJ281" i="4"/>
  <c r="AJ270" i="4"/>
  <c r="AJ280" i="4"/>
  <c r="AJ263" i="4"/>
  <c r="AJ274" i="4"/>
  <c r="AJ130" i="4"/>
  <c r="AJ287" i="4"/>
  <c r="AJ279" i="4"/>
  <c r="AJ243" i="4"/>
  <c r="AJ129" i="4"/>
  <c r="AJ191" i="4"/>
  <c r="AJ190" i="4"/>
  <c r="AJ73" i="4"/>
  <c r="AJ72" i="4"/>
  <c r="AJ252" i="4"/>
  <c r="AJ300" i="4"/>
  <c r="AJ251" i="4"/>
  <c r="AJ187" i="4"/>
  <c r="AJ81" i="4"/>
  <c r="AJ292" i="4"/>
  <c r="AJ80" i="4"/>
  <c r="AJ64" i="4"/>
  <c r="AJ112" i="4"/>
  <c r="AJ297" i="4"/>
  <c r="AJ222" i="4"/>
  <c r="AJ121" i="4"/>
  <c r="AJ291" i="4"/>
  <c r="AJ221" i="4"/>
  <c r="AJ248" i="4"/>
  <c r="AJ230" i="4"/>
  <c r="AJ244" i="4"/>
  <c r="AJ229" i="4"/>
  <c r="AJ228" i="4"/>
  <c r="AJ256" i="4"/>
  <c r="AJ15" i="4"/>
  <c r="AJ224" i="4"/>
  <c r="AJ253" i="4"/>
  <c r="AJ189" i="4"/>
  <c r="AJ65" i="4"/>
  <c r="AJ242" i="4"/>
  <c r="AJ13" i="4"/>
  <c r="AJ2" i="4"/>
  <c r="AJ143" i="4"/>
  <c r="AJ237" i="4"/>
  <c r="AJ250" i="4"/>
  <c r="AJ162" i="4"/>
  <c r="AJ216" i="4"/>
  <c r="AJ282" i="4"/>
  <c r="AJ150" i="4"/>
  <c r="AJ149" i="4"/>
  <c r="AJ192" i="4"/>
  <c r="AJ128" i="4"/>
  <c r="AJ203" i="4"/>
  <c r="AJ202" i="4"/>
  <c r="AJ198" i="4"/>
  <c r="AJ197" i="4"/>
  <c r="AJ152" i="4"/>
  <c r="AJ151" i="4"/>
  <c r="AJ269" i="4"/>
  <c r="AJ302" i="4"/>
  <c r="AJ74" i="4"/>
  <c r="AJ227" i="4"/>
  <c r="AJ71" i="4"/>
  <c r="AJ20" i="4"/>
  <c r="AJ19" i="4"/>
  <c r="AJ17" i="4"/>
  <c r="AJ35" i="4"/>
  <c r="AJ127" i="4"/>
  <c r="AJ278" i="4"/>
  <c r="AJ22" i="4"/>
  <c r="AJ139" i="4"/>
  <c r="AJ238" i="4"/>
  <c r="AJ268" i="4"/>
  <c r="AJ249" i="4"/>
  <c r="AJ204" i="4"/>
  <c r="AJ101" i="4"/>
  <c r="AJ201" i="4"/>
  <c r="AJ100" i="4"/>
  <c r="AJ118" i="4"/>
  <c r="AJ153" i="4"/>
  <c r="AJ146" i="4"/>
  <c r="AJ145" i="4"/>
  <c r="AJ98" i="4"/>
  <c r="AJ63" i="4"/>
  <c r="AJ240" i="4"/>
  <c r="AJ93" i="4"/>
  <c r="AJ92" i="4"/>
  <c r="AJ99" i="4"/>
  <c r="AJ299" i="4"/>
  <c r="AJ11" i="4"/>
  <c r="AJ298" i="4"/>
  <c r="AJ59" i="4"/>
  <c r="AJ88" i="4"/>
  <c r="AJ53" i="4"/>
  <c r="AJ75" i="4"/>
  <c r="AJ271" i="4"/>
  <c r="AJ8" i="4"/>
  <c r="AJ69" i="4"/>
  <c r="AJ68" i="4"/>
  <c r="AJ62" i="4"/>
  <c r="AJ205" i="4"/>
  <c r="AJ289" i="4"/>
  <c r="AJ273" i="4"/>
  <c r="AJ272" i="4"/>
  <c r="AJ9" i="4"/>
  <c r="AJ7" i="4"/>
  <c r="AJ6" i="4"/>
  <c r="AJ5" i="4"/>
  <c r="AJ49" i="4"/>
  <c r="AJ48" i="4"/>
  <c r="AJ47" i="4"/>
  <c r="AJ46" i="4"/>
  <c r="AJ45" i="4"/>
  <c r="AJ34" i="4"/>
  <c r="AJ32" i="4"/>
  <c r="AJ168" i="4"/>
  <c r="AJ167" i="4"/>
  <c r="AJ166" i="4"/>
  <c r="AJ165" i="4"/>
  <c r="AJ200" i="4"/>
  <c r="AJ199" i="4"/>
  <c r="AJ217" i="4"/>
  <c r="AJ96" i="4"/>
  <c r="AJ3" i="4"/>
  <c r="AJ109" i="4"/>
  <c r="AJ37" i="4"/>
  <c r="AJ26" i="4"/>
  <c r="AJ89" i="4"/>
  <c r="AJ54" i="4"/>
  <c r="AJ36" i="4"/>
  <c r="AJ58" i="4"/>
  <c r="AJ52" i="4"/>
  <c r="AJ51" i="4"/>
  <c r="AJ212" i="4"/>
  <c r="AJ148" i="4"/>
  <c r="AJ147" i="4"/>
  <c r="AJ215" i="4"/>
  <c r="AJ214" i="4"/>
  <c r="AJ154" i="4"/>
  <c r="AJ213" i="4"/>
  <c r="AJ211" i="4"/>
  <c r="AJ210" i="4"/>
  <c r="AJ296" i="4"/>
  <c r="AJ125" i="4"/>
  <c r="AJ66" i="4"/>
  <c r="AJ186" i="4"/>
  <c r="AJ185" i="4"/>
  <c r="AJ10" i="4"/>
  <c r="AJ55" i="4"/>
  <c r="AJ60" i="4"/>
  <c r="AJ12" i="4"/>
  <c r="AJ57" i="4"/>
  <c r="AJ116" i="4"/>
  <c r="AJ108" i="4"/>
  <c r="AJ106" i="4"/>
  <c r="AJ105" i="4"/>
  <c r="AJ44" i="4"/>
  <c r="AJ43" i="4"/>
  <c r="AJ42" i="4"/>
  <c r="AJ33" i="4"/>
  <c r="AJ30" i="4"/>
  <c r="AJ21" i="4"/>
  <c r="AJ40" i="4"/>
  <c r="AJ95" i="4"/>
  <c r="AJ94" i="4"/>
  <c r="AJ262" i="4"/>
  <c r="AJ78" i="4"/>
  <c r="AJ115" i="4"/>
  <c r="AJ107" i="4"/>
  <c r="AJ104" i="4"/>
  <c r="AJ103" i="4"/>
  <c r="AJ218" i="4"/>
  <c r="AJ234" i="4"/>
  <c r="AJ233" i="4"/>
  <c r="AJ126" i="4"/>
  <c r="AJ124" i="4"/>
  <c r="AJ56" i="4"/>
  <c r="AJ295" i="4"/>
  <c r="AJ261" i="4"/>
  <c r="AJ206" i="4"/>
  <c r="AJ172" i="4"/>
  <c r="AJ171" i="4"/>
  <c r="AJ170" i="4"/>
  <c r="AJ39" i="4"/>
  <c r="AJ38" i="4"/>
  <c r="AJ260" i="4"/>
  <c r="AM26" i="2"/>
  <c r="AZ406" i="5"/>
  <c r="AZ416" i="5"/>
  <c r="AZ415" i="5"/>
  <c r="AZ414" i="5"/>
  <c r="AZ413" i="5"/>
  <c r="AZ412" i="5"/>
  <c r="AZ411" i="5"/>
  <c r="AZ410" i="5"/>
  <c r="AZ409" i="5"/>
  <c r="AZ408" i="5"/>
  <c r="AZ407" i="5"/>
  <c r="AZ405" i="5"/>
  <c r="AZ404" i="5"/>
  <c r="AZ403" i="5"/>
  <c r="AZ402" i="5"/>
  <c r="AZ401" i="5"/>
  <c r="AZ400" i="5"/>
  <c r="AZ399" i="5"/>
  <c r="AZ398" i="5"/>
  <c r="AZ397" i="5"/>
  <c r="AZ396" i="5"/>
  <c r="AZ393" i="5"/>
  <c r="AZ392" i="5"/>
  <c r="AZ394" i="5"/>
  <c r="AZ395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4" i="5"/>
  <c r="AY254" i="5"/>
  <c r="AX254" i="5"/>
  <c r="AZ65" i="5"/>
  <c r="AY65" i="5"/>
  <c r="AX65" i="5"/>
  <c r="AZ55" i="5"/>
  <c r="AY55" i="5"/>
  <c r="AX55" i="5"/>
  <c r="AZ67" i="5"/>
  <c r="AY67" i="5"/>
  <c r="AX67" i="5"/>
  <c r="AZ291" i="5"/>
  <c r="AY291" i="5"/>
  <c r="AX291" i="5"/>
  <c r="AZ256" i="5"/>
  <c r="AY256" i="5"/>
  <c r="AX256" i="5"/>
  <c r="AZ38" i="5"/>
  <c r="AY38" i="5"/>
  <c r="AX38" i="5"/>
  <c r="AZ263" i="5"/>
  <c r="AY263" i="5"/>
  <c r="AX263" i="5"/>
  <c r="AZ279" i="5"/>
  <c r="AY279" i="5"/>
  <c r="AX279" i="5"/>
  <c r="AZ257" i="5"/>
  <c r="AY257" i="5"/>
  <c r="AX257" i="5"/>
  <c r="AZ271" i="5"/>
  <c r="AY271" i="5"/>
  <c r="AX27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5" i="5"/>
  <c r="AY255" i="5"/>
  <c r="AX255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9" i="5"/>
  <c r="AY249" i="5"/>
  <c r="AX249" i="5"/>
  <c r="AZ48" i="5"/>
  <c r="AY48" i="5"/>
  <c r="AX48" i="5"/>
  <c r="AZ294" i="5"/>
  <c r="AY294" i="5"/>
  <c r="AX294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6" i="5"/>
  <c r="AY276" i="5"/>
  <c r="AX276" i="5"/>
  <c r="AZ90" i="5"/>
  <c r="AY90" i="5"/>
  <c r="AX90" i="5"/>
  <c r="AZ120" i="5"/>
  <c r="AY120" i="5"/>
  <c r="AX120" i="5"/>
  <c r="AZ98" i="5"/>
  <c r="AY98" i="5"/>
  <c r="AX98" i="5"/>
  <c r="AZ251" i="5"/>
  <c r="AY251" i="5"/>
  <c r="AX251" i="5"/>
  <c r="AZ224" i="5"/>
  <c r="AY224" i="5"/>
  <c r="AX224" i="5"/>
  <c r="AZ196" i="5"/>
  <c r="AY196" i="5"/>
  <c r="AX196" i="5"/>
  <c r="AZ194" i="5"/>
  <c r="AY194" i="5"/>
  <c r="AX194" i="5"/>
  <c r="AZ278" i="5"/>
  <c r="AY278" i="5"/>
  <c r="AX278" i="5"/>
  <c r="AZ297" i="5"/>
  <c r="AY297" i="5"/>
  <c r="AX297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7" i="5"/>
  <c r="AY277" i="5"/>
  <c r="AX277" i="5"/>
  <c r="AZ147" i="5"/>
  <c r="AY147" i="5"/>
  <c r="AX147" i="5"/>
  <c r="AZ136" i="5"/>
  <c r="AY136" i="5"/>
  <c r="AX136" i="5"/>
  <c r="AZ272" i="5"/>
  <c r="AY272" i="5"/>
  <c r="AX272" i="5"/>
  <c r="AZ134" i="5"/>
  <c r="AY134" i="5"/>
  <c r="AX134" i="5"/>
  <c r="AY34" i="5"/>
  <c r="AZ274" i="5"/>
  <c r="AY274" i="5"/>
  <c r="AX274" i="5"/>
  <c r="AZ118" i="5"/>
  <c r="AY118" i="5"/>
  <c r="AX118" i="5"/>
  <c r="AZ228" i="5"/>
  <c r="AY228" i="5"/>
  <c r="AX228" i="5"/>
  <c r="AZ163" i="5"/>
  <c r="AY163" i="5"/>
  <c r="AX163" i="5"/>
  <c r="AZ275" i="5"/>
  <c r="AY275" i="5"/>
  <c r="AX275" i="5"/>
  <c r="AZ231" i="5"/>
  <c r="AY231" i="5"/>
  <c r="AX231" i="5"/>
  <c r="AZ207" i="5"/>
  <c r="AY207" i="5"/>
  <c r="AX207" i="5"/>
  <c r="AZ200" i="5"/>
  <c r="AY200" i="5"/>
  <c r="AX200" i="5"/>
  <c r="AZ242" i="5"/>
  <c r="AY242" i="5"/>
  <c r="AX242" i="5"/>
  <c r="AZ154" i="5"/>
  <c r="AY154" i="5"/>
  <c r="AX154" i="5"/>
  <c r="AZ116" i="5"/>
  <c r="AY116" i="5"/>
  <c r="AX116" i="5"/>
  <c r="AZ248" i="5"/>
  <c r="AY248" i="5"/>
  <c r="AX248" i="5"/>
  <c r="AZ247" i="5"/>
  <c r="AY247" i="5"/>
  <c r="AX247" i="5"/>
  <c r="AZ246" i="5"/>
  <c r="AY246" i="5"/>
  <c r="AX246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4" i="5"/>
  <c r="AY244" i="5"/>
  <c r="AX244" i="5"/>
  <c r="AZ287" i="5"/>
  <c r="AY287" i="5"/>
  <c r="AX287" i="5"/>
  <c r="AZ179" i="5"/>
  <c r="AY179" i="5"/>
  <c r="AX179" i="5"/>
  <c r="AY176" i="5"/>
  <c r="AZ286" i="5"/>
  <c r="AY286" i="5"/>
  <c r="AX286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9" i="5"/>
  <c r="AY269" i="5"/>
  <c r="AX269" i="5"/>
  <c r="AZ76" i="5"/>
  <c r="AY76" i="5"/>
  <c r="AX76" i="5"/>
  <c r="AZ74" i="5"/>
  <c r="AY74" i="5"/>
  <c r="AX74" i="5"/>
  <c r="AZ8" i="5"/>
  <c r="AY8" i="5"/>
  <c r="AX8" i="5"/>
  <c r="AZ258" i="5"/>
  <c r="AY258" i="5"/>
  <c r="AX258" i="5"/>
  <c r="AZ211" i="5"/>
  <c r="AY211" i="5"/>
  <c r="AX211" i="5"/>
  <c r="AZ282" i="5"/>
  <c r="AY282" i="5"/>
  <c r="AX282" i="5"/>
  <c r="AZ18" i="5"/>
  <c r="AY18" i="5"/>
  <c r="AX18" i="5"/>
  <c r="AZ17" i="5"/>
  <c r="AY17" i="5"/>
  <c r="AX17" i="5"/>
  <c r="AZ16" i="5"/>
  <c r="AY16" i="5"/>
  <c r="AX16" i="5"/>
  <c r="AZ280" i="5"/>
  <c r="AY280" i="5"/>
  <c r="AX280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6" i="5"/>
  <c r="AY296" i="5"/>
  <c r="AX296" i="5"/>
  <c r="AZ295" i="5"/>
  <c r="AY295" i="5"/>
  <c r="AX295" i="5"/>
  <c r="AZ292" i="5"/>
  <c r="AY292" i="5"/>
  <c r="AX292" i="5"/>
  <c r="AZ288" i="5"/>
  <c r="AY288" i="5"/>
  <c r="AX288" i="5"/>
  <c r="AZ195" i="5"/>
  <c r="AY195" i="5"/>
  <c r="AX195" i="5"/>
  <c r="AZ283" i="5"/>
  <c r="AY283" i="5"/>
  <c r="AX283" i="5"/>
  <c r="AZ281" i="5"/>
  <c r="AY281" i="5"/>
  <c r="AX281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3" i="5"/>
  <c r="AY293" i="5"/>
  <c r="AX293" i="5"/>
  <c r="AZ290" i="5"/>
  <c r="AY290" i="5"/>
  <c r="AX290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2" i="5"/>
  <c r="AY252" i="5"/>
  <c r="AX252" i="5"/>
  <c r="AZ245" i="5"/>
  <c r="AY245" i="5"/>
  <c r="AX245" i="5"/>
  <c r="AZ243" i="5"/>
  <c r="AY243" i="5"/>
  <c r="AX243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9" i="5"/>
  <c r="AY289" i="5"/>
  <c r="AX289" i="5"/>
  <c r="AZ285" i="5"/>
  <c r="AY285" i="5"/>
  <c r="AX285" i="5"/>
  <c r="AZ284" i="5"/>
  <c r="AY284" i="5"/>
  <c r="AX284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8" i="5"/>
  <c r="AY268" i="5"/>
  <c r="AX268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2" i="5"/>
  <c r="AY262" i="5"/>
  <c r="AX262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1" i="5"/>
  <c r="AY261" i="5"/>
  <c r="AX261" i="5"/>
  <c r="AZ86" i="5"/>
  <c r="AY86" i="5"/>
  <c r="AX86" i="5"/>
  <c r="AZ260" i="5"/>
  <c r="AY260" i="5"/>
  <c r="AX260" i="5"/>
  <c r="AZ259" i="5"/>
  <c r="AY259" i="5"/>
  <c r="AX259" i="5"/>
  <c r="AZ84" i="5"/>
  <c r="AY84" i="5"/>
  <c r="AX84" i="5"/>
  <c r="AZ83" i="5"/>
  <c r="AY83" i="5"/>
  <c r="AX83" i="5"/>
  <c r="AZ267" i="5"/>
  <c r="AY267" i="5"/>
  <c r="AX267" i="5"/>
  <c r="AZ81" i="5"/>
  <c r="AY81" i="5"/>
  <c r="AX81" i="5"/>
  <c r="AZ266" i="5"/>
  <c r="AY266" i="5"/>
  <c r="AX266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8" i="5"/>
  <c r="AY298" i="5"/>
  <c r="AX298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70" i="5"/>
  <c r="AY270" i="5"/>
  <c r="AX270" i="5"/>
  <c r="AZ104" i="5"/>
  <c r="AY104" i="5"/>
  <c r="AX104" i="5"/>
  <c r="AZ253" i="5"/>
  <c r="AY253" i="5"/>
  <c r="AX253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3" i="5"/>
  <c r="AY273" i="5"/>
  <c r="AX273" i="5"/>
  <c r="AZ12" i="5"/>
  <c r="AY12" i="5"/>
  <c r="AX12" i="5"/>
  <c r="AZ89" i="5"/>
  <c r="AY89" i="5"/>
  <c r="AX89" i="5"/>
  <c r="AZ78" i="5"/>
  <c r="AY78" i="5"/>
  <c r="AX78" i="5"/>
  <c r="AZ265" i="5"/>
  <c r="AY265" i="5"/>
  <c r="AX265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4" i="5"/>
  <c r="AY264" i="5"/>
  <c r="AX264" i="5"/>
  <c r="AZ241" i="5"/>
  <c r="AY241" i="5"/>
  <c r="AX241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50" i="5"/>
  <c r="AY250" i="5"/>
  <c r="AX250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50" i="4"/>
  <c r="J28" i="3"/>
  <c r="J21" i="3"/>
  <c r="J36" i="3"/>
  <c r="J43" i="3"/>
  <c r="BA2" i="5"/>
  <c r="BA292" i="5"/>
  <c r="BA271" i="5"/>
  <c r="BA192" i="5"/>
  <c r="BA120" i="5"/>
  <c r="BA122" i="5"/>
  <c r="BA121" i="5"/>
  <c r="BA274" i="5"/>
  <c r="BA119" i="5"/>
  <c r="BA63" i="5"/>
  <c r="BA64" i="5"/>
  <c r="BA279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3" i="5"/>
  <c r="BA150" i="5"/>
  <c r="BA144" i="5"/>
  <c r="BA269" i="5"/>
  <c r="BA236" i="5"/>
  <c r="BA281" i="5"/>
  <c r="BA44" i="5"/>
  <c r="BA286" i="5"/>
  <c r="BA68" i="5"/>
  <c r="BA231" i="5"/>
  <c r="BA49" i="5"/>
  <c r="BA111" i="5"/>
  <c r="BA228" i="5"/>
  <c r="BA293" i="5"/>
  <c r="BA160" i="5"/>
  <c r="BA43" i="5"/>
  <c r="BA34" i="5"/>
  <c r="BA282" i="5"/>
  <c r="BA45" i="5"/>
  <c r="BA222" i="5"/>
  <c r="BA195" i="5"/>
  <c r="BA287" i="5"/>
  <c r="BA3" i="5"/>
  <c r="BA37" i="5"/>
  <c r="BA272" i="5"/>
  <c r="BA125" i="5"/>
  <c r="BA7" i="5"/>
  <c r="BA33" i="5"/>
  <c r="BA280" i="5"/>
  <c r="BA297" i="5"/>
  <c r="BA249" i="5"/>
  <c r="BA277" i="5"/>
  <c r="BA165" i="5"/>
  <c r="BA233" i="5"/>
  <c r="BA199" i="5"/>
  <c r="BA112" i="5"/>
  <c r="BA250" i="5"/>
  <c r="BA237" i="5"/>
  <c r="BA46" i="5"/>
  <c r="BA145" i="5"/>
  <c r="BA90" i="5"/>
  <c r="BA163" i="5"/>
  <c r="BA35" i="5"/>
  <c r="BA168" i="5"/>
  <c r="BA54" i="5"/>
  <c r="BA268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8" i="5"/>
  <c r="BA32" i="5"/>
  <c r="BA174" i="5"/>
  <c r="BA213" i="5"/>
  <c r="BA30" i="5"/>
  <c r="BA232" i="5"/>
  <c r="BA157" i="5"/>
  <c r="BA71" i="5"/>
  <c r="BA204" i="5"/>
  <c r="BA205" i="5"/>
  <c r="BA92" i="5"/>
  <c r="BA294" i="5"/>
  <c r="BA91" i="5"/>
  <c r="BA238" i="5"/>
  <c r="BA298" i="5"/>
  <c r="BA18" i="5"/>
  <c r="BA109" i="5"/>
  <c r="BA133" i="5"/>
  <c r="BA80" i="5"/>
  <c r="BA212" i="5"/>
  <c r="BA99" i="5"/>
  <c r="BA113" i="5"/>
  <c r="BA259" i="5"/>
  <c r="BA189" i="5"/>
  <c r="BA75" i="5"/>
  <c r="BA289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90" i="5"/>
  <c r="BA83" i="5"/>
  <c r="BA81" i="5"/>
  <c r="BA115" i="5"/>
  <c r="BA262" i="5"/>
  <c r="BA202" i="5"/>
  <c r="BA201" i="5"/>
  <c r="BA16" i="5"/>
  <c r="BA198" i="5"/>
  <c r="BA214" i="5"/>
  <c r="BA218" i="5"/>
  <c r="BA260" i="5"/>
  <c r="BA261" i="5"/>
  <c r="BA182" i="5"/>
  <c r="BA267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5" i="5"/>
  <c r="BA210" i="5"/>
  <c r="BA128" i="5"/>
  <c r="BA185" i="5"/>
  <c r="BA107" i="5"/>
  <c r="BA106" i="5"/>
  <c r="BA13" i="5"/>
  <c r="BA278" i="5"/>
  <c r="BA78" i="5"/>
  <c r="BA21" i="5"/>
  <c r="BA276" i="5"/>
  <c r="BA156" i="5"/>
  <c r="BA57" i="5"/>
  <c r="BA58" i="5"/>
  <c r="BA266" i="5"/>
  <c r="BA77" i="5"/>
  <c r="BA229" i="5"/>
  <c r="BA11" i="5"/>
  <c r="BA155" i="5"/>
  <c r="BA251" i="5"/>
  <c r="BA110" i="5"/>
  <c r="BA79" i="5"/>
  <c r="BA252" i="5"/>
  <c r="BA134" i="5"/>
  <c r="BA215" i="5"/>
  <c r="BA273" i="5"/>
  <c r="BA265" i="5"/>
  <c r="BA147" i="5"/>
  <c r="BA10" i="5"/>
  <c r="BA22" i="5"/>
  <c r="BA173" i="5"/>
  <c r="BA132" i="5"/>
  <c r="BA217" i="5"/>
  <c r="BA114" i="5"/>
  <c r="BA253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8" i="5"/>
  <c r="BA248" i="5"/>
  <c r="BA60" i="5"/>
  <c r="BA255" i="5"/>
  <c r="BA243" i="5"/>
  <c r="BA270" i="5"/>
  <c r="BA241" i="5"/>
  <c r="BA221" i="5"/>
  <c r="BA138" i="5"/>
  <c r="BA183" i="5"/>
  <c r="BA8" i="5"/>
  <c r="BA123" i="5"/>
  <c r="BA394" i="5"/>
  <c r="BA118" i="5"/>
  <c r="BA209" i="5"/>
  <c r="BA246" i="5"/>
  <c r="BA244" i="5"/>
  <c r="BA242" i="5"/>
  <c r="BA400" i="5"/>
  <c r="BA225" i="5"/>
  <c r="BA27" i="5"/>
  <c r="BA256" i="5"/>
  <c r="BA124" i="5"/>
  <c r="BA149" i="5"/>
  <c r="BA129" i="5"/>
  <c r="BA137" i="5"/>
  <c r="BA245" i="5"/>
  <c r="BA179" i="5"/>
  <c r="BA247" i="5"/>
  <c r="BA257" i="5"/>
  <c r="BA264" i="5"/>
  <c r="BA140" i="5"/>
  <c r="BA154" i="5"/>
  <c r="BA414" i="5"/>
  <c r="BA52" i="5"/>
  <c r="BA142" i="5"/>
  <c r="BA411" i="5"/>
  <c r="BA176" i="5"/>
  <c r="BA148" i="5"/>
  <c r="BA152" i="5"/>
  <c r="BA416" i="5"/>
  <c r="BA407" i="5"/>
  <c r="BA405" i="5"/>
  <c r="BA404" i="5"/>
  <c r="BA399" i="5"/>
  <c r="BA397" i="5"/>
  <c r="BA392" i="5"/>
  <c r="BA50" i="5"/>
  <c r="BA258" i="5"/>
  <c r="BA153" i="5"/>
  <c r="BA401" i="5"/>
  <c r="BA59" i="5"/>
  <c r="BA56" i="5"/>
  <c r="BA402" i="5"/>
  <c r="BA53" i="5"/>
  <c r="BA413" i="5"/>
  <c r="BA67" i="5"/>
  <c r="BA65" i="5"/>
  <c r="BA175" i="5"/>
  <c r="BA66" i="5"/>
  <c r="BA38" i="5"/>
  <c r="BA415" i="5"/>
  <c r="BA403" i="5"/>
  <c r="BA39" i="5"/>
  <c r="BA40" i="5"/>
  <c r="BA41" i="5"/>
  <c r="BA102" i="5"/>
  <c r="BA291" i="5"/>
  <c r="BA284" i="5"/>
  <c r="BA61" i="5"/>
  <c r="BA409" i="5"/>
  <c r="BA410" i="5"/>
  <c r="BA393" i="5"/>
  <c r="BA47" i="5"/>
  <c r="BA177" i="5"/>
  <c r="BA42" i="5"/>
  <c r="BA188" i="5"/>
  <c r="BA97" i="5"/>
  <c r="BA161" i="5"/>
  <c r="BA408" i="5"/>
  <c r="BA406" i="5"/>
  <c r="BA396" i="5"/>
  <c r="BA412" i="5"/>
  <c r="BA254" i="5"/>
  <c r="BA263" i="5"/>
  <c r="BA285" i="5"/>
  <c r="Y244" i="4"/>
  <c r="Y240" i="4"/>
  <c r="Y257" i="4"/>
  <c r="Y258" i="4"/>
  <c r="X2" i="12"/>
  <c r="S2" i="12"/>
  <c r="T2" i="12"/>
  <c r="X233" i="4"/>
  <c r="X234" i="4"/>
  <c r="X56" i="4"/>
  <c r="X218" i="4"/>
  <c r="X3" i="4"/>
  <c r="X124" i="4"/>
  <c r="X172" i="4"/>
  <c r="X261" i="4"/>
  <c r="X206" i="4"/>
  <c r="X38" i="4"/>
  <c r="X170" i="4"/>
  <c r="W2" i="12"/>
  <c r="Z244" i="4"/>
  <c r="Z240" i="4"/>
  <c r="Z257" i="4"/>
  <c r="Z258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7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8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9" name="xtal_templates7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0" name="xtal_templates8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1" name="xtal_templates9" type="6" refreshedVersion="0" background="1" saveData="1">
    <textPr fileType="mac" codePage="10000" sourceFile="/Users/ntv489/p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<sst xmlns="http://schemas.openxmlformats.org/spreadsheetml/2006/main" count="17023" uniqueCount="1679">
  <si>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</si>
  <si>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</si>
  <si>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</si>
  <si>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</si>
  <si>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</si>
  <si>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</si>
  <si>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</si>
  <si>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</si>
  <si>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</si>
  <si>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</si>
  <si>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</si>
  <si>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</si>
  <si>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</si>
  <si>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</si>
  <si>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</si>
  <si>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</si>
  <si>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</si>
  <si>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</si>
  <si>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</si>
  <si>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</si>
  <si>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</si>
  <si>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</si>
  <si>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</si>
  <si>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</si>
  <si>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</si>
  <si>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</si>
  <si>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</si>
  <si>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</si>
  <si>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</si>
  <si>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</si>
  <si>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</si>
  <si>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</si>
  <si>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</si>
  <si>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</si>
  <si>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</si>
  <si>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</si>
  <si>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</si>
  <si>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</si>
  <si>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</si>
  <si>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</si>
  <si>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</si>
  <si>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</si>
  <si>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</si>
  <si>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</si>
  <si>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</si>
  <si>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</si>
  <si>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</si>
  <si>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</si>
  <si>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</si>
  <si>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</si>
  <si>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</si>
  <si>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</si>
  <si>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</si>
  <si>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</si>
  <si>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</si>
  <si>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</si>
  <si>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</si>
  <si>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</si>
  <si>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</si>
  <si>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</si>
  <si>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</si>
  <si>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</si>
  <si>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</si>
  <si>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</si>
  <si>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</si>
  <si>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</si>
  <si>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</si>
  <si>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</si>
  <si>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</si>
  <si>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</si>
  <si>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</si>
  <si>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</si>
  <si>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</si>
  <si>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</si>
  <si>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</si>
  <si>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</si>
  <si>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</si>
  <si>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</si>
  <si>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</si>
  <si>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</si>
  <si>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</si>
  <si>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</si>
  <si>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</si>
  <si>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</si>
  <si>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</si>
  <si>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</si>
  <si>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</si>
  <si>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</si>
  <si>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</si>
  <si>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</si>
  <si>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</si>
  <si>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</si>
  <si>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</si>
  <si>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</si>
  <si>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</si>
  <si>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</si>
  <si>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</si>
  <si>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</si>
  <si>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</si>
  <si>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</si>
  <si>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</si>
  <si>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</si>
  <si>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</si>
  <si>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</si>
  <si>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</si>
  <si>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</si>
  <si>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</si>
  <si>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</si>
  <si>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</si>
  <si>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</si>
  <si>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</si>
  <si>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</si>
  <si>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</si>
  <si>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</si>
  <si>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</si>
  <si>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</si>
  <si>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</si>
  <si>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</si>
  <si>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</si>
  <si>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</si>
  <si>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</si>
  <si>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</si>
  <si>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</si>
  <si>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</si>
  <si>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</si>
  <si>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</si>
  <si>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</si>
  <si>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</si>
  <si>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</si>
  <si>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</si>
  <si>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</si>
  <si>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</si>
  <si>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</si>
  <si>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</si>
  <si>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</si>
  <si>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</si>
  <si>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</si>
  <si>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</si>
  <si>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</si>
  <si>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</si>
  <si>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</si>
  <si>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</si>
  <si>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</si>
  <si>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</si>
  <si>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</si>
  <si>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</si>
  <si>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</si>
  <si>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</si>
  <si>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</si>
  <si>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</si>
  <si>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</si>
  <si>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</si>
  <si>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</si>
  <si>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</si>
  <si>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</si>
  <si>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</si>
  <si>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</si>
  <si>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</si>
  <si>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</si>
  <si>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</si>
  <si>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</si>
  <si>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</si>
  <si>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</si>
  <si>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</si>
  <si>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</si>
  <si>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</si>
  <si>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</si>
  <si>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</si>
  <si>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</si>
  <si>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</si>
  <si>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</si>
  <si>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</si>
  <si>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</si>
  <si>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</si>
  <si>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</si>
  <si>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</si>
  <si>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</si>
  <si>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</si>
  <si>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</si>
  <si>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</si>
  <si>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</si>
  <si>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</si>
  <si>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</si>
  <si>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</si>
  <si>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</si>
  <si>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</si>
  <si>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</si>
  <si>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</si>
  <si>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</si>
  <si>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</si>
  <si>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</si>
  <si>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</si>
  <si>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</si>
  <si>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</si>
  <si>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</si>
  <si>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</si>
  <si>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</si>
  <si>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</si>
  <si>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</si>
  <si>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</si>
  <si>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</si>
  <si>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</si>
  <si>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</si>
  <si>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</si>
  <si>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</si>
  <si>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</si>
  <si>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</si>
  <si>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</si>
  <si>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</si>
  <si>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</si>
  <si>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</si>
  <si>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</si>
  <si>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</si>
  <si>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</si>
  <si>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</si>
  <si>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</si>
  <si>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</si>
  <si>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</si>
  <si>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</si>
  <si>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</si>
  <si>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</si>
  <si>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</si>
  <si>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</si>
  <si>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</si>
  <si>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</si>
  <si>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</si>
  <si>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</si>
  <si>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</si>
  <si>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</si>
  <si>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</si>
  <si>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</si>
  <si>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</si>
  <si>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</si>
  <si>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</si>
  <si>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</si>
  <si>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</si>
  <si>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</si>
  <si>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</si>
  <si>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</si>
  <si>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</si>
  <si>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</si>
  <si>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</si>
  <si>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</si>
  <si>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</si>
  <si>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</si>
  <si>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</si>
  <si>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</si>
  <si>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</si>
  <si>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</si>
  <si>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</si>
  <si>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</si>
  <si>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</si>
  <si>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</si>
  <si>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</si>
  <si>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</si>
  <si>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</si>
  <si>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</si>
  <si>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</si>
  <si>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</si>
  <si>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</si>
  <si>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</si>
  <si>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</si>
  <si>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</si>
  <si>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</si>
  <si>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</si>
  <si>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</si>
  <si>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</si>
  <si>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</si>
  <si>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</si>
  <si>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</si>
  <si>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</si>
  <si>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</si>
  <si>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</si>
  <si>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</si>
  <si>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</si>
  <si>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</si>
  <si>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</si>
  <si>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</si>
  <si>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</si>
  <si>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</si>
  <si>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</si>
  <si>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</si>
  <si>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</si>
  <si>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</si>
  <si>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</si>
  <si>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</si>
  <si>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</si>
  <si>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</si>
  <si>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</si>
  <si>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</si>
  <si>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</si>
  <si>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</si>
  <si>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</si>
  <si>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</si>
  <si>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</si>
  <si>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</si>
  <si>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</si>
  <si>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</si>
  <si>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</si>
  <si>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</si>
  <si>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</si>
  <si>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</si>
  <si>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</si>
  <si>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</si>
  <si>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</si>
  <si>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</si>
  <si>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</si>
  <si>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</si>
  <si>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</si>
  <si>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</si>
  <si>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</si>
  <si>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</si>
  <si>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</si>
  <si>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</si>
  <si>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</si>
  <si>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</si>
  <si>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</si>
  <si>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</si>
  <si>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</si>
  <si>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</si>
  <si>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</si>
  <si>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</si>
  <si>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</si>
  <si>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</si>
  <si>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</si>
  <si>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</si>
  <si>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</si>
  <si>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</si>
  <si>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</si>
  <si>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</si>
  <si>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</si>
  <si>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</si>
  <si>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</si>
  <si>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</si>
  <si>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</si>
  <si>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</si>
  <si>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</si>
  <si>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</si>
  <si>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</si>
  <si>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</si>
  <si>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</si>
  <si>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</si>
  <si>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</si>
  <si>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</si>
  <si>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</si>
  <si>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</si>
  <si>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</si>
  <si>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</si>
  <si>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</si>
  <si>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</si>
  <si>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</si>
  <si>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</si>
  <si>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</si>
  <si>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</si>
  <si>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</si>
  <si>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</si>
  <si>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</si>
  <si>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</si>
  <si>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</si>
  <si>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</si>
  <si>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</si>
  <si>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</si>
  <si>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</si>
  <si>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</si>
  <si>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</si>
  <si>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</si>
  <si>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</si>
  <si>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</si>
  <si>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</si>
  <si>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</si>
  <si>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</si>
  <si>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</si>
  <si>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</si>
  <si>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</si>
  <si>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</si>
  <si>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</si>
  <si>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</si>
  <si>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</si>
  <si>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</si>
  <si>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</si>
  <si>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</si>
  <si>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</si>
  <si>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</si>
  <si>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</si>
  <si>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</si>
  <si>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</si>
  <si>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</si>
  <si>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</si>
  <si>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</si>
  <si>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</si>
  <si>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</si>
  <si>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</si>
  <si>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</si>
  <si>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</si>
  <si>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</si>
  <si>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</si>
  <si>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</si>
  <si>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</si>
  <si>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</si>
  <si>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</si>
  <si>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</si>
  <si>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</si>
  <si>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</si>
  <si>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</si>
  <si>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</si>
  <si>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</si>
  <si>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</si>
  <si>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</si>
  <si>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</si>
  <si>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</si>
  <si>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</si>
  <si>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</si>
  <si>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</si>
  <si>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</si>
  <si>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</si>
  <si>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</si>
  <si>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</si>
  <si>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</si>
  <si>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</si>
  <si>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</si>
  <si>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</si>
  <si>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</si>
  <si>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</si>
  <si>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</si>
  <si>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</si>
  <si>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</si>
  <si>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</si>
  <si>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</si>
  <si>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</si>
  <si>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</si>
  <si>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</si>
  <si>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</si>
  <si>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</si>
  <si>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</si>
  <si>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</si>
  <si>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</si>
  <si>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</si>
  <si>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</si>
  <si>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</si>
  <si>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</si>
  <si>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</si>
  <si>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</si>
  <si>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</si>
  <si>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</si>
  <si>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</si>
  <si>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</si>
  <si>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</si>
  <si>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</si>
  <si>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</si>
  <si>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</si>
  <si>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</si>
  <si>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</si>
  <si>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</si>
  <si>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</si>
  <si>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</si>
  <si>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</si>
  <si>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</si>
  <si>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</si>
  <si>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</si>
  <si>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</si>
  <si>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</si>
  <si>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</si>
  <si>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</si>
  <si>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</si>
  <si>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</si>
  <si>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</si>
  <si>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</si>
  <si>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</si>
  <si>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</si>
  <si>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</si>
  <si>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</si>
  <si>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</si>
  <si>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</si>
  <si>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</si>
  <si>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</si>
  <si>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</si>
  <si>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</si>
  <si>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</si>
  <si>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</si>
  <si>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</si>
  <si>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</si>
  <si>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</si>
  <si>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</si>
  <si>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</si>
  <si>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</si>
  <si>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</si>
  <si>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</si>
  <si>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</si>
  <si>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</si>
  <si>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</si>
  <si>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</si>
  <si>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</si>
  <si>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</si>
  <si>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</si>
  <si>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</si>
  <si>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</si>
  <si>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</si>
  <si>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</si>
  <si>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</si>
  <si>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</si>
  <si>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</si>
  <si>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</si>
  <si>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</si>
  <si>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</si>
  <si>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</si>
  <si>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</si>
  <si>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</si>
  <si>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</si>
  <si>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</si>
  <si>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</si>
  <si>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</si>
  <si>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</si>
  <si>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</si>
  <si>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</si>
  <si>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</si>
  <si>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</si>
  <si>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</si>
  <si>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</si>
  <si>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</si>
  <si>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</si>
  <si>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</si>
  <si>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</si>
  <si>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</si>
  <si>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</si>
  <si>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</si>
  <si>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</si>
  <si>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</si>
  <si>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</si>
  <si>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</si>
  <si>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</si>
  <si>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</si>
  <si>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</si>
  <si>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</si>
  <si>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</si>
  <si>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</si>
  <si>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</si>
  <si>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</si>
  <si>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</si>
  <si>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</si>
  <si>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</si>
  <si>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</si>
  <si>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</si>
  <si>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</si>
  <si>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</si>
  <si>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</si>
  <si>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</si>
  <si>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</si>
  <si>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</si>
  <si>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</si>
  <si>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</si>
  <si>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</si>
  <si>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</si>
  <si>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</si>
  <si>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</si>
  <si>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</si>
  <si>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</si>
  <si>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</si>
  <si>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</si>
  <si>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</si>
  <si>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</si>
  <si>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</si>
  <si>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</si>
  <si>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</si>
  <si>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</si>
  <si>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</si>
  <si>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</si>
  <si>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</si>
  <si>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</si>
  <si>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</si>
  <si>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</si>
  <si>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</si>
  <si>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</si>
  <si>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</si>
  <si>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</si>
  <si>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</si>
  <si>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</si>
  <si>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</si>
  <si>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</si>
  <si>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</si>
  <si>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</si>
  <si>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</si>
  <si>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</si>
  <si>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</si>
  <si>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</si>
  <si>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</si>
  <si>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</si>
  <si>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</si>
  <si>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</si>
  <si>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</si>
  <si>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</si>
  <si>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</si>
  <si>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</si>
  <si>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</si>
  <si>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</si>
  <si>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</si>
  <si>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</si>
  <si>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</si>
  <si>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</si>
  <si>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</si>
  <si>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</si>
  <si>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</si>
  <si>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</si>
  <si>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</si>
  <si>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</si>
  <si>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</si>
  <si>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</si>
  <si>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</si>
  <si>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</si>
  <si>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</si>
  <si>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</si>
  <si>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</si>
  <si>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</si>
  <si>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</si>
  <si>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</si>
  <si>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</si>
  <si>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</si>
  <si>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</si>
  <si>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</si>
  <si>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</si>
  <si>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</si>
  <si>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</si>
  <si>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</si>
  <si>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</si>
  <si>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</si>
  <si>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</si>
  <si>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</si>
  <si>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</si>
  <si>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</si>
  <si>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</si>
  <si>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</si>
  <si>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</si>
  <si>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</si>
  <si>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</si>
  <si>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</si>
  <si>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</si>
  <si>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</si>
  <si>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</si>
  <si>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</si>
  <si>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</si>
  <si>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</si>
  <si>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</si>
  <si>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</si>
  <si>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</si>
  <si>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</si>
  <si>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</si>
  <si>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</si>
  <si>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</si>
  <si>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</si>
  <si>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</si>
  <si>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</si>
  <si>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</si>
  <si>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</si>
  <si>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</si>
  <si>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</si>
  <si>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</si>
  <si>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</si>
  <si>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</si>
  <si>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</si>
  <si>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</si>
  <si>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</si>
  <si>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</si>
  <si>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</si>
  <si>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</si>
  <si>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</si>
  <si>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</si>
  <si>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</si>
  <si>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</si>
  <si>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</si>
  <si>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</si>
  <si>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</si>
  <si>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</si>
  <si>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</si>
  <si>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</si>
  <si>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</si>
  <si>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</si>
  <si>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</si>
  <si>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</si>
  <si>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</si>
  <si>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</si>
  <si>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</si>
  <si>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</si>
  <si>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</si>
  <si>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</si>
  <si>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</si>
  <si>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</si>
  <si>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</si>
  <si>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</si>
  <si>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</si>
  <si>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</si>
  <si>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</si>
  <si>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</si>
  <si>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</si>
  <si>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</si>
  <si>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</si>
  <si>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</si>
  <si>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</si>
  <si>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</si>
  <si>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</si>
  <si>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</si>
  <si>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</si>
  <si>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</si>
  <si>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</si>
  <si>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</si>
  <si>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</si>
  <si>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</si>
  <si>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</si>
  <si>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</si>
  <si>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</si>
  <si>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</si>
  <si>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</si>
  <si>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</si>
  <si>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</si>
  <si>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</si>
  <si>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</si>
  <si>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</si>
  <si>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</si>
  <si>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</si>
  <si>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</si>
  <si>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</si>
  <si>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</si>
  <si>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</si>
  <si>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</si>
  <si>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</si>
  <si>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</si>
  <si>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</si>
  <si>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</si>
  <si>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</si>
  <si>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</si>
  <si>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</si>
  <si>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</si>
  <si>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</si>
  <si>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</si>
  <si>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</si>
  <si>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</si>
  <si>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</si>
  <si>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</si>
  <si>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</si>
  <si>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</si>
  <si>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</si>
  <si>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</si>
  <si>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</si>
  <si>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</si>
  <si>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</si>
  <si>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</si>
  <si>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</si>
  <si>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</si>
  <si>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</si>
  <si>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</si>
  <si>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</si>
  <si>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</si>
  <si>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</si>
  <si>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</si>
  <si>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</si>
  <si>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</si>
  <si>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</si>
  <si>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</si>
  <si>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</si>
  <si>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</si>
  <si>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</si>
  <si>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</si>
  <si>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</si>
  <si>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</si>
  <si>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</si>
  <si>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</si>
  <si>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</si>
  <si>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</si>
  <si>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</si>
  <si>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</si>
  <si>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</si>
  <si>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</si>
  <si>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</si>
  <si>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</si>
  <si>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</si>
  <si>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</si>
  <si>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</si>
  <si>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</si>
  <si>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</si>
  <si>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</si>
  <si>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</si>
  <si>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</si>
  <si>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</si>
  <si>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</si>
  <si>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</si>
  <si>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</si>
  <si>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</si>
  <si>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</si>
  <si>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</si>
  <si>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</si>
  <si>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</si>
  <si>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</si>
  <si>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</si>
  <si>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</si>
  <si>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</si>
  <si>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</si>
  <si>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</si>
  <si>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</si>
  <si>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</si>
  <si>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</si>
  <si>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</si>
  <si>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</si>
  <si>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</si>
  <si>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</si>
  <si>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</si>
  <si>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</si>
  <si>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</si>
  <si>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</si>
  <si>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</si>
  <si>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</si>
  <si>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</si>
  <si>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</si>
  <si>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</si>
  <si>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</si>
  <si>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</si>
  <si>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</si>
  <si>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</si>
  <si>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</si>
  <si>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</si>
  <si>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</si>
  <si>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</si>
  <si>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</si>
  <si>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</si>
  <si>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</si>
  <si>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</si>
  <si>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</si>
  <si>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</si>
  <si>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</si>
  <si>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</si>
  <si>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</si>
  <si>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</si>
  <si>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</si>
  <si>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</si>
  <si>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</si>
  <si>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</si>
  <si>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</si>
  <si>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</si>
  <si>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</si>
  <si>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</si>
  <si>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</si>
  <si>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</si>
  <si>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</si>
  <si>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</si>
  <si>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</si>
  <si>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</si>
  <si>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</si>
  <si>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</si>
  <si>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</si>
  <si>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</si>
  <si>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</si>
  <si>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</si>
  <si>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</si>
  <si>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</si>
  <si>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</si>
  <si>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</si>
  <si>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</si>
  <si>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</si>
  <si>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</si>
  <si>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</si>
  <si>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</si>
  <si>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</si>
  <si>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</si>
  <si>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</si>
  <si>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</si>
  <si>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</si>
  <si>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</si>
  <si>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</si>
  <si>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</si>
  <si>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</si>
  <si>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</si>
  <si>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</si>
  <si>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</si>
  <si>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</si>
  <si>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</si>
  <si>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</si>
  <si>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</si>
  <si>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</si>
  <si>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</si>
  <si>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</si>
  <si>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</si>
  <si>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</si>
  <si>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</si>
  <si>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</si>
  <si>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</si>
  <si>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</si>
  <si>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</si>
  <si>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</si>
  <si>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</si>
  <si>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</si>
  <si>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</si>
  <si>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</si>
  <si>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</si>
  <si>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</si>
  <si>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</si>
  <si>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</si>
  <si>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</si>
  <si>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</si>
  <si>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</si>
  <si>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</si>
  <si>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</si>
  <si>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</si>
  <si>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</si>
  <si>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</si>
  <si>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</si>
  <si>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</si>
  <si>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</si>
  <si>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</si>
  <si>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</si>
  <si>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</si>
  <si>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</si>
  <si>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</si>
  <si>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</si>
  <si>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</si>
  <si>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</si>
  <si>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</si>
  <si>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</si>
  <si>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</si>
  <si>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</si>
  <si>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</si>
  <si>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</si>
  <si>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</si>
  <si>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</si>
  <si>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</si>
  <si>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</si>
  <si>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</si>
  <si>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</si>
  <si>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</si>
  <si>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</si>
  <si>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</si>
  <si>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</si>
  <si>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</si>
  <si>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</si>
  <si>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</si>
  <si>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</si>
  <si>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</si>
  <si>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</si>
  <si>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</si>
  <si>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</si>
  <si>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</si>
  <si>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</si>
  <si>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</si>
  <si>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</si>
  <si>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</si>
  <si>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</si>
  <si>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</si>
  <si>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</si>
  <si>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</si>
  <si>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</si>
  <si>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</si>
  <si>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</si>
  <si>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</si>
  <si>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</si>
  <si>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</si>
  <si>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</si>
  <si>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</si>
  <si>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</si>
  <si>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</si>
  <si>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</si>
  <si>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</si>
  <si>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</si>
  <si>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</si>
  <si>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</si>
  <si>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</si>
  <si>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</si>
  <si>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</si>
  <si>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</si>
  <si>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</si>
  <si>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</si>
  <si>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</si>
  <si>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</si>
  <si>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</si>
  <si>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</si>
  <si>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</si>
  <si>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</si>
  <si>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</si>
  <si>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</si>
  <si>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</si>
  <si>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</si>
  <si>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</si>
  <si>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</si>
  <si>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</si>
  <si>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</si>
  <si>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</si>
  <si>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</si>
  <si>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</si>
  <si>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</si>
  <si>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</si>
  <si>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</si>
  <si>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</si>
  <si>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</si>
  <si>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</si>
  <si>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</si>
  <si>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</si>
  <si>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</si>
  <si>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</si>
  <si>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</si>
  <si>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</si>
  <si>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</si>
  <si>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</si>
  <si>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</si>
  <si>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</si>
  <si>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</si>
  <si>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</si>
  <si>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</si>
  <si>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</si>
  <si>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</si>
  <si>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</si>
  <si>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</si>
  <si>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</si>
  <si>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</si>
  <si>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</si>
  <si>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</si>
  <si>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</si>
  <si>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</si>
  <si>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</si>
  <si>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</si>
  <si>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</si>
  <si>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</si>
  <si>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</si>
  <si>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</si>
  <si>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</si>
  <si>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</si>
  <si>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</si>
  <si>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</si>
  <si>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</si>
  <si>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</si>
  <si>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</si>
  <si>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</si>
  <si>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</si>
  <si>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</si>
  <si>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</si>
  <si>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</si>
  <si>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</si>
  <si>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</si>
  <si>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</si>
  <si>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</si>
  <si>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</si>
  <si>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</si>
  <si>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</si>
  <si>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</si>
  <si>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</si>
  <si>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</si>
  <si>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</si>
  <si>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</si>
  <si>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</si>
  <si>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</si>
  <si>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</si>
  <si>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</si>
  <si>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</si>
  <si>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</si>
  <si>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</si>
  <si>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</si>
  <si>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</si>
  <si>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</si>
  <si>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</si>
  <si>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</si>
  <si>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</si>
  <si>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</si>
  <si>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</si>
  <si>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</si>
  <si>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</si>
  <si>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</si>
  <si>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</si>
  <si>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</si>
  <si>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</si>
  <si>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</si>
  <si>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</si>
  <si>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</si>
  <si>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</si>
  <si>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</si>
  <si>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</si>
  <si>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</si>
  <si>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</si>
  <si>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</si>
  <si>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</si>
  <si>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</si>
  <si>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</si>
  <si>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</si>
  <si>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</si>
  <si>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</si>
  <si>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</si>
  <si>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</si>
  <si>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</si>
  <si>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</si>
  <si>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</si>
  <si>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</si>
  <si>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</si>
  <si>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</si>
  <si>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</si>
  <si>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</si>
  <si>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</si>
  <si>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</si>
  <si>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</si>
  <si>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</si>
  <si>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</si>
  <si>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</si>
  <si>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</si>
  <si>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</si>
  <si>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</si>
  <si>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</si>
  <si>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</si>
  <si>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</si>
  <si>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</si>
  <si>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</si>
  <si>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</si>
  <si>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</si>
  <si>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</si>
  <si>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</si>
  <si>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</si>
  <si>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</si>
  <si>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</si>
  <si>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</si>
  <si>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</si>
  <si>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</si>
  <si>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</si>
  <si>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</si>
  <si>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</si>
  <si>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</si>
  <si>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</si>
  <si>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</si>
  <si>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</si>
  <si>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</si>
  <si>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</si>
  <si>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</si>
  <si>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</si>
  <si>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</si>
  <si>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</si>
  <si>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</si>
  <si>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</si>
  <si>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</si>
  <si>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</si>
  <si>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</si>
  <si>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</si>
  <si>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</si>
  <si>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</si>
  <si>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</si>
  <si>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</si>
  <si>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</si>
  <si>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</si>
  <si>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</si>
  <si>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</si>
  <si>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</si>
  <si>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</si>
  <si>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</si>
  <si>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</si>
  <si>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</si>
  <si>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</si>
  <si>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</si>
  <si>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</si>
  <si>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</si>
  <si>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</si>
  <si>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</si>
  <si>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</si>
  <si>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</si>
  <si>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</si>
  <si>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</si>
  <si>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</si>
  <si>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</si>
  <si>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</si>
  <si>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</si>
  <si>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</si>
  <si>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</si>
  <si>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</si>
  <si>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</si>
  <si>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</si>
  <si>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</si>
  <si>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</si>
  <si>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</si>
  <si>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</si>
  <si>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</si>
  <si>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</si>
  <si>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</si>
  <si>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</si>
  <si>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</si>
  <si>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</si>
  <si>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</si>
  <si>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</si>
  <si>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</si>
  <si>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</si>
  <si>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</si>
  <si>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</si>
  <si>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</si>
  <si>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</si>
  <si>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</si>
  <si>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</si>
  <si>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</si>
  <si>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</si>
  <si>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</si>
  <si>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</si>
  <si>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</si>
  <si>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</si>
  <si>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</si>
  <si>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</si>
  <si>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</si>
  <si>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</si>
  <si>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</si>
  <si>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</si>
  <si>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</si>
  <si>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</si>
  <si>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</si>
  <si>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</si>
  <si>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</si>
  <si>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</si>
  <si>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</si>
  <si>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</si>
  <si>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</si>
  <si>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</si>
  <si>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</si>
  <si>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</si>
  <si>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</si>
  <si>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</si>
  <si>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</si>
  <si>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</si>
  <si>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</si>
  <si>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</si>
  <si>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</si>
  <si>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</si>
  <si>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</si>
  <si>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</si>
  <si>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</si>
  <si>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</si>
  <si>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</si>
  <si>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</si>
  <si>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</si>
  <si>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</si>
  <si>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</si>
  <si>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</si>
  <si>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</si>
  <si>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</si>
  <si>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</si>
  <si>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</si>
  <si>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</si>
  <si>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</si>
  <si>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</si>
  <si>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</si>
  <si>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</si>
  <si>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</si>
  <si>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</si>
  <si>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</si>
  <si>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</si>
  <si>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</si>
  <si>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</si>
  <si>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</si>
  <si>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</si>
  <si>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</si>
  <si>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</si>
  <si>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</si>
  <si>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</si>
  <si>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</si>
  <si>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</si>
  <si>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</si>
  <si>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</si>
  <si>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</si>
  <si>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</si>
  <si>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</si>
  <si>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</si>
  <si>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</si>
  <si>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</si>
  <si>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</si>
  <si>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</si>
  <si>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</si>
  <si>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</si>
  <si>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</si>
  <si>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</si>
  <si>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</si>
  <si>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</si>
  <si>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</si>
  <si>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</si>
  <si>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</si>
  <si>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</si>
  <si>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</si>
  <si>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</si>
  <si>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</si>
  <si>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</si>
  <si>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</si>
  <si>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</si>
  <si>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</si>
  <si>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</si>
  <si>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</si>
  <si>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</si>
  <si>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</si>
  <si>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</si>
  <si>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</si>
  <si>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</si>
  <si>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</si>
  <si>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</si>
  <si>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</si>
  <si>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</si>
  <si>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</si>
  <si>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</si>
  <si>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</si>
  <si>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</si>
  <si>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</si>
  <si>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</si>
  <si>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</si>
  <si>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</si>
  <si>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</si>
  <si>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</si>
  <si>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</si>
  <si>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</si>
  <si>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</si>
  <si>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</si>
  <si>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</si>
  <si>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</si>
  <si>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</si>
  <si>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</si>
  <si>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</si>
  <si>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</si>
  <si>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</si>
  <si>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</si>
  <si>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</si>
  <si>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</si>
  <si>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</si>
  <si>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</si>
  <si>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</si>
  <si>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</si>
  <si>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</si>
  <si>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</si>
  <si>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</si>
  <si>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</si>
  <si>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</si>
  <si>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</si>
  <si>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</si>
  <si>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</si>
  <si>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</si>
  <si>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</si>
  <si>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</si>
  <si>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</si>
  <si>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</si>
  <si>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</si>
  <si>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</si>
  <si>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</si>
  <si>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</si>
  <si>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</si>
  <si>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</si>
  <si>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</si>
  <si>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</si>
  <si>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</si>
  <si>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</si>
  <si>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</si>
  <si>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</si>
  <si>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</si>
  <si>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</si>
  <si>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</si>
  <si>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</si>
  <si>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</si>
  <si>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</si>
  <si>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</si>
  <si>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</si>
  <si>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</si>
  <si>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</si>
  <si>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</si>
  <si>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</si>
  <si>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</si>
  <si>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</si>
  <si>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</si>
  <si>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</si>
  <si>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</si>
  <si>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</si>
  <si>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</si>
  <si>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</si>
  <si>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</si>
  <si>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</si>
  <si>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</si>
  <si>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</si>
  <si>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</si>
  <si>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</si>
  <si>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</si>
  <si>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</si>
  <si>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</si>
  <si>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</si>
  <si>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</si>
  <si>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</si>
  <si>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</si>
  <si>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</si>
  <si>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</si>
  <si>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</si>
  <si>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</si>
  <si>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</si>
  <si>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</si>
  <si>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</si>
  <si>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</si>
  <si>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</si>
  <si>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</si>
  <si>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</si>
  <si>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</si>
  <si>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</si>
  <si>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</si>
  <si>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</si>
  <si>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</si>
  <si>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</si>
  <si>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</si>
  <si>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</si>
  <si>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</si>
  <si>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</si>
  <si>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</si>
  <si>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</si>
  <si>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</si>
  <si>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</si>
  <si>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</si>
  <si>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</si>
  <si>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</si>
  <si>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</si>
  <si>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</si>
  <si>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</si>
  <si>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</si>
  <si>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</si>
  <si>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</si>
  <si>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</si>
  <si>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</si>
  <si>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</si>
  <si>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</si>
  <si>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</si>
  <si>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</si>
  <si>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</si>
  <si>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</si>
  <si>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</si>
  <si>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</si>
  <si>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</si>
  <si>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</si>
  <si>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</si>
  <si>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</si>
  <si>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</si>
  <si>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</si>
  <si>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</si>
  <si>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</si>
  <si>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</si>
  <si>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</si>
  <si>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</si>
  <si>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</si>
  <si>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</si>
  <si>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</si>
  <si>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</si>
  <si>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</si>
  <si>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</si>
  <si>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</si>
  <si>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</si>
  <si>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</si>
  <si>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</si>
  <si>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</si>
  <si>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</si>
  <si>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</si>
  <si>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</si>
  <si>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</si>
  <si>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</si>
  <si>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</si>
  <si>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</si>
  <si>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</si>
  <si>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</si>
  <si>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</si>
  <si>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</si>
  <si>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</si>
  <si>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</si>
  <si>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</si>
  <si>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</si>
  <si>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</si>
  <si>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</si>
  <si>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</si>
  <si>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</si>
  <si>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</si>
  <si>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</si>
  <si>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</si>
  <si>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</si>
  <si>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</si>
  <si>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</si>
  <si>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</si>
  <si>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</si>
  <si>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</si>
  <si>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</si>
  <si>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</si>
  <si>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</si>
  <si>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</si>
  <si>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</si>
  <si>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</si>
  <si>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</si>
  <si>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</si>
  <si>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</si>
  <si>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</si>
  <si>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</si>
  <si>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</si>
  <si>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</si>
  <si>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</si>
  <si>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</si>
  <si>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</si>
  <si>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</si>
  <si>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</si>
  <si>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</si>
  <si>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</si>
  <si>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</si>
  <si>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</si>
  <si>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</si>
  <si>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</si>
  <si>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</si>
  <si>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</si>
  <si>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</si>
  <si>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</si>
  <si>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</si>
  <si>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</si>
  <si>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</si>
  <si>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</si>
  <si>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</si>
  <si>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</si>
  <si>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</si>
  <si>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</si>
  <si>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</si>
  <si>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</si>
  <si>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</si>
  <si>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</si>
  <si>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</si>
  <si>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</si>
  <si>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</si>
  <si>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</si>
  <si>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</si>
  <si>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</si>
  <si>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</si>
  <si>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</si>
  <si>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</si>
  <si>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</si>
  <si>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</si>
  <si>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</si>
  <si>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</si>
  <si>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</si>
  <si>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</si>
  <si>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</si>
  <si>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</si>
  <si>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</si>
  <si>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</si>
  <si>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</si>
  <si>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</si>
  <si>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</si>
  <si>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</si>
  <si>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</si>
  <si>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</si>
  <si>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</si>
  <si>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</si>
  <si>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</si>
  <si>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</si>
  <si>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</si>
  <si>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</si>
  <si>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</si>
  <si>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</si>
  <si>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</si>
  <si>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</si>
  <si>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</si>
  <si>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</si>
  <si>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</si>
  <si>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</si>
  <si>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</si>
  <si>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</si>
  <si>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</si>
  <si>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</si>
  <si>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</si>
  <si>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</si>
  <si>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</si>
  <si>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</si>
  <si>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</si>
  <si>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</si>
  <si>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</si>
  <si>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</si>
  <si>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</si>
  <si>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</si>
  <si>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</si>
  <si>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</si>
  <si>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</si>
  <si>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</si>
  <si>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</si>
  <si>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</si>
  <si>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</si>
  <si>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</si>
  <si>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</si>
  <si>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</si>
  <si>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</si>
  <si>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</si>
  <si>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</si>
  <si>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</si>
  <si>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</si>
  <si>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</si>
  <si>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</si>
  <si>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</si>
  <si>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</si>
  <si>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</si>
  <si>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</si>
  <si>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</si>
  <si>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</si>
  <si>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</si>
  <si>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</si>
  <si>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</si>
  <si>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</si>
  <si>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</si>
  <si>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</si>
  <si>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</si>
  <si>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</si>
  <si>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</si>
  <si>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</si>
  <si>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</si>
  <si>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</si>
  <si>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</si>
  <si>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</si>
  <si>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</si>
  <si>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</si>
  <si>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</si>
  <si>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</si>
  <si>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</si>
  <si>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</si>
  <si>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</si>
  <si>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</si>
  <si>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</si>
  <si>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</si>
  <si>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</si>
  <si>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</si>
  <si>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</si>
  <si>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</si>
  <si>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</si>
  <si>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</si>
  <si>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</si>
  <si>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</si>
  <si>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</si>
  <si>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</si>
  <si>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</si>
  <si>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</si>
  <si>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</si>
  <si>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</si>
  <si>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</si>
  <si>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</si>
  <si>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</si>
  <si>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</si>
  <si>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</si>
  <si>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</si>
  <si>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</si>
  <si>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</si>
  <si>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</si>
  <si>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</si>
  <si>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</si>
  <si>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</si>
  <si>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</si>
  <si>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</si>
  <si>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</si>
  <si>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</si>
  <si>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</si>
  <si>
    <t>or1a1_human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</si>
  <si>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</si>
  <si>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Olfactory</t>
  </si>
  <si>
    <t>or1g1_human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</si>
  <si>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</si>
  <si>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</si>
  <si>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</si>
  <si>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6KNM</t>
  </si>
  <si>
    <t>6P9Y</t>
  </si>
  <si>
    <t>6TPG</t>
  </si>
  <si>
    <t>6TPJ</t>
  </si>
  <si>
    <t>6LRY</t>
  </si>
  <si>
    <t>6KPC</t>
  </si>
  <si>
    <t>6KPF</t>
  </si>
  <si>
    <t>6PT0</t>
  </si>
  <si>
    <t>6PB1</t>
  </si>
  <si>
    <t>P</t>
  </si>
  <si>
    <t>6NWE</t>
  </si>
  <si>
    <t>6U1N</t>
  </si>
  <si>
    <t>6LUQ</t>
  </si>
  <si>
    <t>6KP6</t>
  </si>
  <si>
    <t>6OBA</t>
  </si>
  <si>
    <t>6OS0</t>
  </si>
  <si>
    <t>6OS1</t>
  </si>
  <si>
    <t>6OS2</t>
  </si>
  <si>
    <t>6LW5</t>
  </si>
  <si>
    <t>6OMM</t>
  </si>
  <si>
    <t>6UP7</t>
  </si>
  <si>
    <t>6VI4</t>
  </si>
  <si>
    <t>6KPG</t>
  </si>
  <si>
    <t>6LI0</t>
  </si>
  <si>
    <t>6LN2</t>
  </si>
  <si>
    <t>6LI1</t>
  </si>
  <si>
    <t>6LI2</t>
  </si>
  <si>
    <t>6LI3</t>
  </si>
  <si>
    <t>6UUN</t>
  </si>
  <si>
    <t>6UUS</t>
  </si>
  <si>
    <t>6UVA</t>
  </si>
  <si>
    <t>6LMK</t>
  </si>
  <si>
    <t>6LML</t>
  </si>
  <si>
    <t>6LPB</t>
  </si>
  <si>
    <t>ste2_yeast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</si>
</sst>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4"/>
      <color rgb="FF333333"/>
      <name val="Helvetica Neue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49" fontId="0" fillId="2" borderId="0" xfId="0" applyNumberFormat="1" applyFont="1" applyFill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  <xf numFmtId="0" fontId="16" fillId="0" borderId="0" xfId="0" applyFont="1"/>
    <xf numFmtId="0" fontId="0" fillId="0" borderId="14" xfId="0" applyFill="1" applyBorder="1"/>
    <xf numFmtId="0" fontId="0" fillId="0" borderId="15" xfId="0" applyFont="1" applyFill="1" applyBorder="1"/>
    <xf numFmtId="0" fontId="0" fillId="0" borderId="16" xfId="0" applyFont="1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69.0</c:v>
                </c:pt>
                <c:pt idx="4">
                  <c:v>68.0</c:v>
                </c:pt>
                <c:pt idx="5">
                  <c:v>68.0</c:v>
                </c:pt>
                <c:pt idx="6">
                  <c:v>67.0</c:v>
                </c:pt>
                <c:pt idx="7">
                  <c:v>67.0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72.0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73.0</c:v>
                </c:pt>
                <c:pt idx="22">
                  <c:v>74.0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31.0</c:v>
                </c:pt>
                <c:pt idx="4">
                  <c:v>29.0</c:v>
                </c:pt>
                <c:pt idx="5">
                  <c:v>28.0</c:v>
                </c:pt>
                <c:pt idx="6">
                  <c:v>28.0</c:v>
                </c:pt>
                <c:pt idx="7">
                  <c:v>26.0</c:v>
                </c:pt>
                <c:pt idx="8">
                  <c:v>28.0</c:v>
                </c:pt>
                <c:pt idx="9">
                  <c:v>24.0</c:v>
                </c:pt>
                <c:pt idx="10">
                  <c:v>28.0</c:v>
                </c:pt>
                <c:pt idx="11">
                  <c:v>29.0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21.0</c:v>
                </c:pt>
                <c:pt idx="23">
                  <c:v>28.0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69.0</c:v>
                </c:pt>
                <c:pt idx="4">
                  <c:v>68.0</c:v>
                </c:pt>
                <c:pt idx="5">
                  <c:v>68.0</c:v>
                </c:pt>
                <c:pt idx="6">
                  <c:v>67.0</c:v>
                </c:pt>
                <c:pt idx="7">
                  <c:v>67.0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72.0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73.0</c:v>
                </c:pt>
                <c:pt idx="22">
                  <c:v>74.0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31.0</c:v>
                </c:pt>
                <c:pt idx="4">
                  <c:v>29.0</c:v>
                </c:pt>
                <c:pt idx="5">
                  <c:v>28.0</c:v>
                </c:pt>
                <c:pt idx="6">
                  <c:v>28.0</c:v>
                </c:pt>
                <c:pt idx="7">
                  <c:v>26.0</c:v>
                </c:pt>
                <c:pt idx="8">
                  <c:v>28.0</c:v>
                </c:pt>
                <c:pt idx="9">
                  <c:v>24.0</c:v>
                </c:pt>
                <c:pt idx="10">
                  <c:v>28.0</c:v>
                </c:pt>
                <c:pt idx="11">
                  <c:v>29.0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21.0</c:v>
                </c:pt>
                <c:pt idx="23">
                  <c:v>28.0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5891744"/>
        <c:axId val="2062073904"/>
      </c:lineChart>
      <c:catAx>
        <c:axId val="-207589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073904"/>
        <c:crosses val="autoZero"/>
        <c:auto val="1"/>
        <c:lblAlgn val="ctr"/>
        <c:lblOffset val="100"/>
        <c:noMultiLvlLbl val="0"/>
      </c:catAx>
      <c:valAx>
        <c:axId val="20620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589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1895408"/>
        <c:axId val="2061899104"/>
      </c:lineChart>
      <c:catAx>
        <c:axId val="206189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899104"/>
        <c:crosses val="autoZero"/>
        <c:auto val="1"/>
        <c:lblAlgn val="ctr"/>
        <c:lblOffset val="100"/>
        <c:noMultiLvlLbl val="0"/>
      </c:catAx>
      <c:valAx>
        <c:axId val="20618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89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1855968"/>
        <c:axId val="1961858528"/>
      </c:lineChart>
      <c:catAx>
        <c:axId val="196185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858528"/>
        <c:crosses val="autoZero"/>
        <c:auto val="1"/>
        <c:lblAlgn val="ctr"/>
        <c:lblOffset val="100"/>
        <c:noMultiLvlLbl val="0"/>
      </c:catAx>
      <c:valAx>
        <c:axId val="196185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85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17</xdr:row>
      <xdr:rowOff>69227</xdr:rowOff>
    </xdr:from>
    <xdr:to>
      <xdr:col>24</xdr:col>
      <xdr:colOff>274744</xdr:colOff>
      <xdr:row>37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13" connectionId="1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7" connectionId="7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6" connectionId="6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12" connectionId="10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xtal_templates_10" connectionId="9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xtal_templates_8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538"/>
  <sheetViews>
    <sheetView zoomScale="110" zoomScaleNormal="110" zoomScalePageLayoutView="110" workbookViewId="0">
      <pane xSplit="3" ySplit="1" topLeftCell="U64" activePane="bottomRight" state="frozenSplit"/>
      <selection pane="topRight" activeCell="D1" sqref="D1"/>
      <selection pane="bottomLeft" activeCell="A2" sqref="A2"/>
      <selection pane="bottomRight" activeCell="BD88" sqref="BD88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1076</v>
      </c>
      <c r="B1" s="61" t="s">
        <v>31</v>
      </c>
      <c r="C1" s="61" t="s">
        <v>30</v>
      </c>
      <c r="E1" s="61" t="s">
        <v>1060</v>
      </c>
      <c r="G1" s="61" t="s">
        <v>1061</v>
      </c>
      <c r="I1" s="62" t="s">
        <v>1077</v>
      </c>
      <c r="K1" s="62" t="s">
        <v>1078</v>
      </c>
      <c r="M1" s="61" t="s">
        <v>1062</v>
      </c>
      <c r="O1" s="61" t="s">
        <v>1063</v>
      </c>
      <c r="Q1" s="61" t="s">
        <v>1079</v>
      </c>
      <c r="S1" s="61" t="s">
        <v>1080</v>
      </c>
      <c r="U1" s="61" t="s">
        <v>1064</v>
      </c>
      <c r="W1" s="61" t="s">
        <v>1065</v>
      </c>
      <c r="Y1" s="61" t="s">
        <v>1092</v>
      </c>
      <c r="AA1" s="61" t="s">
        <v>1093</v>
      </c>
      <c r="AC1" s="104" t="s">
        <v>1066</v>
      </c>
      <c r="AE1" s="61" t="s">
        <v>1067</v>
      </c>
      <c r="AG1" s="61" t="s">
        <v>1095</v>
      </c>
      <c r="AI1" s="61" t="s">
        <v>1096</v>
      </c>
      <c r="AK1" s="61" t="s">
        <v>1068</v>
      </c>
      <c r="AM1" s="61" t="s">
        <v>1069</v>
      </c>
      <c r="AO1" s="61" t="s">
        <v>1070</v>
      </c>
      <c r="AQ1" s="61" t="s">
        <v>1071</v>
      </c>
      <c r="AS1" s="61" t="s">
        <v>1072</v>
      </c>
      <c r="AU1" s="61" t="s">
        <v>1073</v>
      </c>
      <c r="AW1" s="61" t="s">
        <v>1074</v>
      </c>
      <c r="AY1" s="61" t="s">
        <v>1075</v>
      </c>
      <c r="AZ1" s="63" t="s">
        <v>99</v>
      </c>
      <c r="BA1" s="64" t="s">
        <v>1380</v>
      </c>
      <c r="BB1" s="64" t="s">
        <v>1202</v>
      </c>
      <c r="BC1" s="61" t="s">
        <v>1167</v>
      </c>
      <c r="BD1" s="64" t="s">
        <v>1099</v>
      </c>
      <c r="BE1" s="61" t="s">
        <v>1373</v>
      </c>
      <c r="BF1" s="117" t="s">
        <v>1426</v>
      </c>
      <c r="BG1" s="76" t="s">
        <v>1381</v>
      </c>
      <c r="BH1" s="76" t="s">
        <v>1382</v>
      </c>
      <c r="BI1" s="61" t="s">
        <v>1107</v>
      </c>
      <c r="BJ1" s="65" t="s">
        <v>1060</v>
      </c>
      <c r="BK1" s="66" t="s">
        <v>1077</v>
      </c>
      <c r="BL1" s="67" t="s">
        <v>1062</v>
      </c>
      <c r="BM1" s="67" t="s">
        <v>1079</v>
      </c>
      <c r="BN1" s="67" t="s">
        <v>1064</v>
      </c>
      <c r="BO1" s="67" t="s">
        <v>1092</v>
      </c>
      <c r="BP1" s="67" t="s">
        <v>1066</v>
      </c>
      <c r="BQ1" s="67" t="s">
        <v>1095</v>
      </c>
      <c r="BR1" s="67" t="s">
        <v>1068</v>
      </c>
      <c r="BS1" s="67" t="s">
        <v>1070</v>
      </c>
      <c r="BT1" s="67" t="s">
        <v>1072</v>
      </c>
      <c r="BU1" s="68" t="s">
        <v>1074</v>
      </c>
      <c r="BV1" s="65" t="s">
        <v>1060</v>
      </c>
      <c r="BW1" s="69" t="s">
        <v>1077</v>
      </c>
      <c r="BX1" s="68" t="s">
        <v>1062</v>
      </c>
      <c r="BY1" s="68" t="s">
        <v>1079</v>
      </c>
      <c r="BZ1" s="68" t="s">
        <v>1064</v>
      </c>
      <c r="CA1" s="68" t="s">
        <v>1092</v>
      </c>
      <c r="CB1" s="68" t="s">
        <v>1066</v>
      </c>
      <c r="CC1" s="68" t="s">
        <v>1095</v>
      </c>
      <c r="CD1" s="68" t="s">
        <v>1068</v>
      </c>
      <c r="CE1" s="68" t="s">
        <v>1070</v>
      </c>
      <c r="CF1" s="68" t="s">
        <v>1072</v>
      </c>
      <c r="CG1" s="68" t="s">
        <v>1074</v>
      </c>
      <c r="CH1" s="65" t="s">
        <v>1061</v>
      </c>
      <c r="CI1" s="69" t="s">
        <v>1078</v>
      </c>
      <c r="CJ1" s="68" t="s">
        <v>1063</v>
      </c>
      <c r="CK1" s="68" t="s">
        <v>1080</v>
      </c>
      <c r="CL1" s="68" t="s">
        <v>1065</v>
      </c>
      <c r="CM1" s="68" t="s">
        <v>1093</v>
      </c>
      <c r="CN1" s="68" t="s">
        <v>1067</v>
      </c>
      <c r="CO1" s="68" t="s">
        <v>1096</v>
      </c>
      <c r="CP1" s="68" t="s">
        <v>1069</v>
      </c>
      <c r="CQ1" s="68" t="s">
        <v>1071</v>
      </c>
      <c r="CR1" s="68" t="s">
        <v>1073</v>
      </c>
      <c r="CS1" s="68" t="s">
        <v>1075</v>
      </c>
      <c r="CT1" s="61" t="s">
        <v>1288</v>
      </c>
    </row>
    <row r="2" spans="1:1029" x14ac:dyDescent="0.2">
      <c r="A2" s="3" t="str">
        <f t="shared" ref="A2:A77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7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1372</v>
      </c>
      <c r="BH2" s="49" t="s">
        <v>1377</v>
      </c>
      <c r="BI2" s="1"/>
      <c r="BJ2" s="70" t="s">
        <v>1287</v>
      </c>
      <c r="BK2" s="57" t="s">
        <v>1287</v>
      </c>
      <c r="BL2" s="57" t="s">
        <v>1287</v>
      </c>
      <c r="BM2" s="57" t="s">
        <v>1287</v>
      </c>
      <c r="BN2" s="57" t="s">
        <v>1287</v>
      </c>
      <c r="BO2" s="57" t="s">
        <v>1287</v>
      </c>
      <c r="BP2" s="57" t="s">
        <v>1287</v>
      </c>
      <c r="BQ2" s="57" t="s">
        <v>1287</v>
      </c>
      <c r="BR2" s="57" t="s">
        <v>1287</v>
      </c>
      <c r="BS2" s="57" t="s">
        <v>1287</v>
      </c>
      <c r="BT2" s="57" t="s">
        <v>1287</v>
      </c>
      <c r="BU2" s="57" t="s">
        <v>1287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1042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1429</v>
      </c>
      <c r="BE3" s="3" t="s">
        <v>1428</v>
      </c>
      <c r="BF3" s="118">
        <v>2.8</v>
      </c>
      <c r="BG3" s="49" t="s">
        <v>1377</v>
      </c>
      <c r="BH3" s="49" t="s">
        <v>1377</v>
      </c>
      <c r="BI3" s="1"/>
      <c r="BJ3" s="70" t="s">
        <v>1287</v>
      </c>
      <c r="BK3" s="57" t="s">
        <v>1287</v>
      </c>
      <c r="BL3" s="57" t="s">
        <v>1287</v>
      </c>
      <c r="BM3" s="57" t="s">
        <v>1287</v>
      </c>
      <c r="BN3" s="57" t="s">
        <v>1287</v>
      </c>
      <c r="BO3" s="57" t="s">
        <v>1287</v>
      </c>
      <c r="BP3" s="57" t="s">
        <v>1287</v>
      </c>
      <c r="BQ3" s="57" t="s">
        <v>1287</v>
      </c>
      <c r="BR3" s="57" t="s">
        <v>1287</v>
      </c>
      <c r="BS3" s="57" t="s">
        <v>1287</v>
      </c>
      <c r="BT3" s="57" t="s">
        <v>1287</v>
      </c>
      <c r="BU3" s="57" t="s">
        <v>1287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1428</v>
      </c>
      <c r="BF4" s="118">
        <v>2.7</v>
      </c>
      <c r="BG4" s="49" t="s">
        <v>1377</v>
      </c>
      <c r="BH4" s="49" t="s">
        <v>1377</v>
      </c>
      <c r="BI4" s="1"/>
      <c r="BJ4" s="70" t="s">
        <v>1287</v>
      </c>
      <c r="BK4" s="57" t="s">
        <v>1287</v>
      </c>
      <c r="BL4" s="57" t="s">
        <v>1287</v>
      </c>
      <c r="BM4" s="57" t="s">
        <v>1287</v>
      </c>
      <c r="BN4" s="57" t="s">
        <v>1287</v>
      </c>
      <c r="BO4" s="57" t="s">
        <v>1287</v>
      </c>
      <c r="BP4" s="57" t="s">
        <v>1287</v>
      </c>
      <c r="BQ4" s="57" t="s">
        <v>1287</v>
      </c>
      <c r="BR4" s="57" t="s">
        <v>1287</v>
      </c>
      <c r="BS4" s="57" t="s">
        <v>1287</v>
      </c>
      <c r="BT4" s="57" t="s">
        <v>1287</v>
      </c>
      <c r="BU4" s="57" t="s">
        <v>1287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1467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1428</v>
      </c>
      <c r="BF5" s="118">
        <v>3.7</v>
      </c>
      <c r="BG5" s="49" t="s">
        <v>1377</v>
      </c>
      <c r="BH5" s="49" t="s">
        <v>1377</v>
      </c>
      <c r="BI5" s="1"/>
      <c r="BJ5" s="70" t="s">
        <v>1287</v>
      </c>
      <c r="BK5" s="57" t="s">
        <v>1287</v>
      </c>
      <c r="BL5" s="57" t="s">
        <v>1287</v>
      </c>
      <c r="BM5" s="57" t="s">
        <v>1287</v>
      </c>
      <c r="BN5" s="57" t="s">
        <v>1287</v>
      </c>
      <c r="BO5" s="57" t="s">
        <v>1287</v>
      </c>
      <c r="BP5" s="57" t="s">
        <v>1287</v>
      </c>
      <c r="BQ5" s="57" t="s">
        <v>1287</v>
      </c>
      <c r="BR5" s="57" t="s">
        <v>1287</v>
      </c>
      <c r="BS5" s="57" t="s">
        <v>1287</v>
      </c>
      <c r="BT5" s="57" t="s">
        <v>1287</v>
      </c>
      <c r="BU5" s="57" t="s">
        <v>1287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1504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1375</v>
      </c>
      <c r="BE6" s="3" t="s">
        <v>1291</v>
      </c>
      <c r="BF6" s="118">
        <v>3.78</v>
      </c>
      <c r="BG6" s="49" t="s">
        <v>1018</v>
      </c>
      <c r="BH6" s="49" t="s">
        <v>1018</v>
      </c>
      <c r="BI6" s="1"/>
      <c r="BJ6" s="70" t="s">
        <v>1287</v>
      </c>
      <c r="BK6" s="57" t="s">
        <v>1287</v>
      </c>
      <c r="BL6" s="57" t="s">
        <v>1287</v>
      </c>
      <c r="BM6" s="57" t="s">
        <v>1287</v>
      </c>
      <c r="BN6" s="57" t="s">
        <v>1287</v>
      </c>
      <c r="BO6" s="57" t="s">
        <v>1287</v>
      </c>
      <c r="BP6" s="57" t="s">
        <v>1287</v>
      </c>
      <c r="BQ6" s="57" t="s">
        <v>1287</v>
      </c>
      <c r="BR6" s="57" t="s">
        <v>1287</v>
      </c>
      <c r="BS6" s="57" t="s">
        <v>1287</v>
      </c>
      <c r="BT6" s="57" t="s">
        <v>1287</v>
      </c>
      <c r="BU6" s="57" t="s">
        <v>1287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19" t="s">
        <v>23</v>
      </c>
      <c r="BG7" s="51" t="s">
        <v>23</v>
      </c>
      <c r="BH7" s="51" t="s">
        <v>23</v>
      </c>
      <c r="BJ7" s="111" t="s">
        <v>1287</v>
      </c>
      <c r="BK7" s="112" t="s">
        <v>1287</v>
      </c>
      <c r="BL7" s="112" t="s">
        <v>1287</v>
      </c>
      <c r="BM7" s="112" t="s">
        <v>1287</v>
      </c>
      <c r="BN7" s="112" t="s">
        <v>1287</v>
      </c>
      <c r="BO7" s="112" t="s">
        <v>1287</v>
      </c>
      <c r="BP7" s="112" t="s">
        <v>1287</v>
      </c>
      <c r="BQ7" s="112" t="s">
        <v>1287</v>
      </c>
      <c r="BR7" s="112" t="s">
        <v>1287</v>
      </c>
      <c r="BS7" s="112" t="s">
        <v>1287</v>
      </c>
      <c r="BT7" s="112" t="s">
        <v>1287</v>
      </c>
      <c r="BU7" s="112" t="s">
        <v>1287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1559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1374</v>
      </c>
      <c r="BF8" s="119">
        <v>3</v>
      </c>
      <c r="BG8" s="51" t="s">
        <v>1</v>
      </c>
      <c r="BH8" s="51" t="s">
        <v>1</v>
      </c>
      <c r="BJ8" s="111" t="s">
        <v>1287</v>
      </c>
      <c r="BK8" s="112" t="s">
        <v>1287</v>
      </c>
      <c r="BL8" s="112" t="s">
        <v>1287</v>
      </c>
      <c r="BM8" s="112" t="s">
        <v>1287</v>
      </c>
      <c r="BN8" s="112" t="s">
        <v>1287</v>
      </c>
      <c r="BO8" s="112" t="s">
        <v>1287</v>
      </c>
      <c r="BP8" s="112" t="s">
        <v>1287</v>
      </c>
      <c r="BQ8" s="112" t="s">
        <v>1287</v>
      </c>
      <c r="BR8" s="112" t="s">
        <v>1287</v>
      </c>
      <c r="BS8" s="112" t="s">
        <v>1287</v>
      </c>
      <c r="BT8" s="112" t="s">
        <v>1287</v>
      </c>
      <c r="BU8" s="112" t="s">
        <v>1287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1558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1376</v>
      </c>
      <c r="BE9" s="9" t="s">
        <v>1374</v>
      </c>
      <c r="BF9" s="119">
        <v>2.9</v>
      </c>
      <c r="BG9" s="51" t="s">
        <v>1</v>
      </c>
      <c r="BH9" s="51" t="s">
        <v>1</v>
      </c>
      <c r="BJ9" s="111" t="s">
        <v>1287</v>
      </c>
      <c r="BK9" s="112" t="s">
        <v>1287</v>
      </c>
      <c r="BL9" s="112" t="s">
        <v>1287</v>
      </c>
      <c r="BM9" s="112" t="s">
        <v>1287</v>
      </c>
      <c r="BN9" s="112" t="s">
        <v>1287</v>
      </c>
      <c r="BO9" s="112" t="s">
        <v>1287</v>
      </c>
      <c r="BP9" s="112" t="s">
        <v>1287</v>
      </c>
      <c r="BQ9" s="112" t="s">
        <v>1287</v>
      </c>
      <c r="BR9" s="112" t="s">
        <v>1287</v>
      </c>
      <c r="BS9" s="112" t="s">
        <v>1287</v>
      </c>
      <c r="BT9" s="112" t="s">
        <v>1287</v>
      </c>
      <c r="BU9" s="112" t="s">
        <v>1287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8" t="s">
        <v>23</v>
      </c>
      <c r="BG10" s="49" t="s">
        <v>1372</v>
      </c>
      <c r="BH10" s="49" t="s">
        <v>1377</v>
      </c>
      <c r="BI10" s="1"/>
      <c r="BJ10" s="70" t="s">
        <v>1287</v>
      </c>
      <c r="BK10" s="57" t="s">
        <v>1287</v>
      </c>
      <c r="BL10" s="57" t="s">
        <v>1287</v>
      </c>
      <c r="BM10" s="57" t="s">
        <v>1287</v>
      </c>
      <c r="BN10" s="57" t="s">
        <v>1287</v>
      </c>
      <c r="BO10" s="57" t="s">
        <v>1287</v>
      </c>
      <c r="BP10" s="57" t="s">
        <v>1287</v>
      </c>
      <c r="BQ10" s="57" t="s">
        <v>1287</v>
      </c>
      <c r="BR10" s="57" t="s">
        <v>1287</v>
      </c>
      <c r="BS10" s="57" t="s">
        <v>1287</v>
      </c>
      <c r="BT10" s="57" t="s">
        <v>1287</v>
      </c>
      <c r="BU10" s="57" t="s">
        <v>1287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1429</v>
      </c>
      <c r="BE11" s="3" t="s">
        <v>1428</v>
      </c>
      <c r="BF11" s="118">
        <v>2.7</v>
      </c>
      <c r="BG11" s="49" t="s">
        <v>1377</v>
      </c>
      <c r="BH11" s="49" t="s">
        <v>1377</v>
      </c>
      <c r="BI11" s="1"/>
      <c r="BJ11" s="70" t="s">
        <v>1287</v>
      </c>
      <c r="BK11" s="57" t="s">
        <v>1287</v>
      </c>
      <c r="BL11" s="57" t="s">
        <v>1287</v>
      </c>
      <c r="BM11" s="57" t="s">
        <v>1287</v>
      </c>
      <c r="BN11" s="57" t="s">
        <v>1287</v>
      </c>
      <c r="BO11" s="57" t="s">
        <v>1287</v>
      </c>
      <c r="BP11" s="57" t="s">
        <v>1287</v>
      </c>
      <c r="BQ11" s="57" t="s">
        <v>1287</v>
      </c>
      <c r="BR11" s="57" t="s">
        <v>1287</v>
      </c>
      <c r="BS11" s="57" t="s">
        <v>1287</v>
      </c>
      <c r="BT11" s="57" t="s">
        <v>1287</v>
      </c>
      <c r="BU11" s="57" t="s">
        <v>1287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1164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1428</v>
      </c>
      <c r="BF12" s="118">
        <v>2.7</v>
      </c>
      <c r="BG12" s="49" t="s">
        <v>1377</v>
      </c>
      <c r="BH12" s="49" t="s">
        <v>1377</v>
      </c>
      <c r="BI12" s="1"/>
      <c r="BJ12" s="70" t="s">
        <v>1287</v>
      </c>
      <c r="BK12" s="57" t="s">
        <v>1287</v>
      </c>
      <c r="BL12" s="57" t="s">
        <v>1287</v>
      </c>
      <c r="BM12" s="57" t="s">
        <v>1287</v>
      </c>
      <c r="BN12" s="57" t="s">
        <v>1287</v>
      </c>
      <c r="BO12" s="57" t="s">
        <v>1287</v>
      </c>
      <c r="BP12" s="57" t="s">
        <v>1287</v>
      </c>
      <c r="BQ12" s="57" t="s">
        <v>1287</v>
      </c>
      <c r="BR12" s="57" t="s">
        <v>1287</v>
      </c>
      <c r="BS12" s="57" t="s">
        <v>1287</v>
      </c>
      <c r="BT12" s="57" t="s">
        <v>1287</v>
      </c>
      <c r="BU12" s="57" t="s">
        <v>1287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1308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1428</v>
      </c>
      <c r="BF13" s="118">
        <v>2.8</v>
      </c>
      <c r="BG13" s="49" t="s">
        <v>1377</v>
      </c>
      <c r="BH13" s="49" t="s">
        <v>1377</v>
      </c>
      <c r="BI13" s="1"/>
      <c r="BJ13" s="70" t="s">
        <v>1287</v>
      </c>
      <c r="BK13" s="57" t="s">
        <v>1287</v>
      </c>
      <c r="BL13" s="57" t="s">
        <v>1287</v>
      </c>
      <c r="BM13" s="57" t="s">
        <v>1287</v>
      </c>
      <c r="BN13" s="57" t="s">
        <v>1287</v>
      </c>
      <c r="BO13" s="57" t="s">
        <v>1287</v>
      </c>
      <c r="BP13" s="57" t="s">
        <v>1287</v>
      </c>
      <c r="BQ13" s="57" t="s">
        <v>1287</v>
      </c>
      <c r="BR13" s="57" t="s">
        <v>1287</v>
      </c>
      <c r="BS13" s="57" t="s">
        <v>1287</v>
      </c>
      <c r="BT13" s="57" t="s">
        <v>1287</v>
      </c>
      <c r="BU13" s="57" t="s">
        <v>1287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1427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1375</v>
      </c>
      <c r="BE14" s="3" t="s">
        <v>1291</v>
      </c>
      <c r="BF14" s="118">
        <v>3</v>
      </c>
      <c r="BG14" s="49" t="s">
        <v>1377</v>
      </c>
      <c r="BH14" s="49" t="s">
        <v>1377</v>
      </c>
      <c r="BI14" s="1"/>
      <c r="BJ14" s="70" t="s">
        <v>1287</v>
      </c>
      <c r="BK14" s="57" t="s">
        <v>1287</v>
      </c>
      <c r="BL14" s="57" t="s">
        <v>1287</v>
      </c>
      <c r="BM14" s="57" t="s">
        <v>1287</v>
      </c>
      <c r="BN14" s="57" t="s">
        <v>1287</v>
      </c>
      <c r="BO14" s="57" t="s">
        <v>1287</v>
      </c>
      <c r="BP14" s="57" t="s">
        <v>1287</v>
      </c>
      <c r="BQ14" s="57" t="s">
        <v>1287</v>
      </c>
      <c r="BR14" s="57" t="s">
        <v>1287</v>
      </c>
      <c r="BS14" s="57" t="s">
        <v>1287</v>
      </c>
      <c r="BT14" s="57" t="s">
        <v>1287</v>
      </c>
      <c r="BU14" s="57" t="s">
        <v>1287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1386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1428</v>
      </c>
      <c r="BF15" s="118">
        <v>2.9</v>
      </c>
      <c r="BG15" s="49" t="s">
        <v>1377</v>
      </c>
      <c r="BH15" s="49" t="s">
        <v>1377</v>
      </c>
      <c r="BI15" s="1"/>
      <c r="BJ15" s="70" t="s">
        <v>1287</v>
      </c>
      <c r="BK15" s="57" t="s">
        <v>1287</v>
      </c>
      <c r="BL15" s="57" t="s">
        <v>1287</v>
      </c>
      <c r="BM15" s="57" t="s">
        <v>1287</v>
      </c>
      <c r="BN15" s="57" t="s">
        <v>1287</v>
      </c>
      <c r="BO15" s="57" t="s">
        <v>1287</v>
      </c>
      <c r="BP15" s="57" t="s">
        <v>1287</v>
      </c>
      <c r="BQ15" s="57" t="s">
        <v>1287</v>
      </c>
      <c r="BR15" s="57" t="s">
        <v>1287</v>
      </c>
      <c r="BS15" s="57" t="s">
        <v>1287</v>
      </c>
      <c r="BT15" s="57" t="s">
        <v>1287</v>
      </c>
      <c r="BU15" s="57" t="s">
        <v>1287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1512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1428</v>
      </c>
      <c r="BF16" s="119">
        <v>3.1</v>
      </c>
      <c r="BG16" s="51" t="s">
        <v>1</v>
      </c>
      <c r="BH16" s="51" t="s">
        <v>1</v>
      </c>
      <c r="BJ16" s="111" t="s">
        <v>1287</v>
      </c>
      <c r="BK16" s="112" t="s">
        <v>1287</v>
      </c>
      <c r="BL16" s="112" t="s">
        <v>1287</v>
      </c>
      <c r="BM16" s="112" t="s">
        <v>1287</v>
      </c>
      <c r="BN16" s="112" t="s">
        <v>1287</v>
      </c>
      <c r="BO16" s="112" t="s">
        <v>1287</v>
      </c>
      <c r="BP16" s="112" t="s">
        <v>1287</v>
      </c>
      <c r="BQ16" s="112" t="s">
        <v>1287</v>
      </c>
      <c r="BR16" s="112" t="s">
        <v>1287</v>
      </c>
      <c r="BS16" s="112" t="s">
        <v>1287</v>
      </c>
      <c r="BT16" s="112" t="s">
        <v>1287</v>
      </c>
      <c r="BU16" s="112" t="s">
        <v>1287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1513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1428</v>
      </c>
      <c r="BF17" s="119">
        <v>2.92</v>
      </c>
      <c r="BG17" s="51" t="s">
        <v>1</v>
      </c>
      <c r="BH17" s="51" t="s">
        <v>1</v>
      </c>
      <c r="BJ17" s="111" t="s">
        <v>1287</v>
      </c>
      <c r="BK17" s="112" t="s">
        <v>1287</v>
      </c>
      <c r="BL17" s="112" t="s">
        <v>1287</v>
      </c>
      <c r="BM17" s="112" t="s">
        <v>1287</v>
      </c>
      <c r="BN17" s="112" t="s">
        <v>1287</v>
      </c>
      <c r="BO17" s="112" t="s">
        <v>1287</v>
      </c>
      <c r="BP17" s="112" t="s">
        <v>1287</v>
      </c>
      <c r="BQ17" s="112" t="s">
        <v>1287</v>
      </c>
      <c r="BR17" s="112" t="s">
        <v>1287</v>
      </c>
      <c r="BS17" s="112" t="s">
        <v>1287</v>
      </c>
      <c r="BT17" s="112" t="s">
        <v>1287</v>
      </c>
      <c r="BU17" s="112" t="s">
        <v>1287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1514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1428</v>
      </c>
      <c r="BF18" s="119">
        <v>3.1</v>
      </c>
      <c r="BG18" s="51" t="s">
        <v>1</v>
      </c>
      <c r="BH18" s="51" t="s">
        <v>1</v>
      </c>
      <c r="BJ18" s="111" t="s">
        <v>1287</v>
      </c>
      <c r="BK18" s="112" t="s">
        <v>1287</v>
      </c>
      <c r="BL18" s="112" t="s">
        <v>1287</v>
      </c>
      <c r="BM18" s="112" t="s">
        <v>1287</v>
      </c>
      <c r="BN18" s="112" t="s">
        <v>1287</v>
      </c>
      <c r="BO18" s="112" t="s">
        <v>1287</v>
      </c>
      <c r="BP18" s="112" t="s">
        <v>1287</v>
      </c>
      <c r="BQ18" s="112" t="s">
        <v>1287</v>
      </c>
      <c r="BR18" s="112" t="s">
        <v>1287</v>
      </c>
      <c r="BS18" s="112" t="s">
        <v>1287</v>
      </c>
      <c r="BT18" s="112" t="s">
        <v>1287</v>
      </c>
      <c r="BU18" s="112" t="s">
        <v>1287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1515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1428</v>
      </c>
      <c r="BF19" s="119">
        <v>3.19</v>
      </c>
      <c r="BG19" s="51" t="s">
        <v>1</v>
      </c>
      <c r="BH19" s="51" t="s">
        <v>1</v>
      </c>
      <c r="BJ19" s="111" t="s">
        <v>1287</v>
      </c>
      <c r="BK19" s="112" t="s">
        <v>1287</v>
      </c>
      <c r="BL19" s="112" t="s">
        <v>1287</v>
      </c>
      <c r="BM19" s="112" t="s">
        <v>1287</v>
      </c>
      <c r="BN19" s="112" t="s">
        <v>1287</v>
      </c>
      <c r="BO19" s="112" t="s">
        <v>1287</v>
      </c>
      <c r="BP19" s="112" t="s">
        <v>1287</v>
      </c>
      <c r="BQ19" s="112" t="s">
        <v>1287</v>
      </c>
      <c r="BR19" s="112" t="s">
        <v>1287</v>
      </c>
      <c r="BS19" s="112" t="s">
        <v>1287</v>
      </c>
      <c r="BT19" s="112" t="s">
        <v>1287</v>
      </c>
      <c r="BU19" s="112" t="s">
        <v>1287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8" t="s">
        <v>23</v>
      </c>
      <c r="BG20" s="49" t="s">
        <v>1377</v>
      </c>
      <c r="BH20" s="49" t="s">
        <v>1377</v>
      </c>
      <c r="BI20" s="1"/>
      <c r="BJ20" s="70" t="s">
        <v>1287</v>
      </c>
      <c r="BK20" s="57" t="s">
        <v>1287</v>
      </c>
      <c r="BL20" s="57" t="s">
        <v>1287</v>
      </c>
      <c r="BM20" s="57" t="s">
        <v>1287</v>
      </c>
      <c r="BN20" s="57" t="s">
        <v>1287</v>
      </c>
      <c r="BO20" s="57" t="s">
        <v>1287</v>
      </c>
      <c r="BP20" s="57" t="s">
        <v>1287</v>
      </c>
      <c r="BQ20" s="57" t="s">
        <v>1287</v>
      </c>
      <c r="BR20" s="57" t="s">
        <v>1287</v>
      </c>
      <c r="BS20" s="57" t="s">
        <v>1287</v>
      </c>
      <c r="BT20" s="57" t="s">
        <v>1287</v>
      </c>
      <c r="BU20" s="57" t="s">
        <v>1287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1465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1375</v>
      </c>
      <c r="BE21" s="3" t="s">
        <v>1291</v>
      </c>
      <c r="BF21" s="118">
        <v>3</v>
      </c>
      <c r="BG21" s="49" t="s">
        <v>1</v>
      </c>
      <c r="BH21" s="49" t="s">
        <v>1</v>
      </c>
      <c r="BI21" s="1"/>
      <c r="BJ21" s="70" t="s">
        <v>1287</v>
      </c>
      <c r="BK21" s="57" t="s">
        <v>1287</v>
      </c>
      <c r="BL21" s="57" t="s">
        <v>1287</v>
      </c>
      <c r="BM21" s="57" t="s">
        <v>1287</v>
      </c>
      <c r="BN21" s="57" t="s">
        <v>1287</v>
      </c>
      <c r="BO21" s="57" t="s">
        <v>1287</v>
      </c>
      <c r="BP21" s="57" t="s">
        <v>1287</v>
      </c>
      <c r="BQ21" s="57" t="s">
        <v>1287</v>
      </c>
      <c r="BR21" s="57" t="s">
        <v>1287</v>
      </c>
      <c r="BS21" s="57" t="s">
        <v>1287</v>
      </c>
      <c r="BT21" s="57" t="s">
        <v>1287</v>
      </c>
      <c r="BU21" s="57" t="s">
        <v>1287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1466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1429</v>
      </c>
      <c r="BE22" s="3" t="s">
        <v>1428</v>
      </c>
      <c r="BF22" s="118">
        <v>2.7</v>
      </c>
      <c r="BG22" s="49" t="s">
        <v>1</v>
      </c>
      <c r="BH22" s="49" t="s">
        <v>1</v>
      </c>
      <c r="BI22" s="1"/>
      <c r="BJ22" s="70" t="s">
        <v>1287</v>
      </c>
      <c r="BK22" s="57" t="s">
        <v>1287</v>
      </c>
      <c r="BL22" s="57" t="s">
        <v>1287</v>
      </c>
      <c r="BM22" s="57" t="s">
        <v>1287</v>
      </c>
      <c r="BN22" s="57" t="s">
        <v>1287</v>
      </c>
      <c r="BO22" s="57" t="s">
        <v>1287</v>
      </c>
      <c r="BP22" s="57" t="s">
        <v>1287</v>
      </c>
      <c r="BQ22" s="57" t="s">
        <v>1287</v>
      </c>
      <c r="BR22" s="57" t="s">
        <v>1287</v>
      </c>
      <c r="BS22" s="57" t="s">
        <v>1287</v>
      </c>
      <c r="BT22" s="57" t="s">
        <v>1287</v>
      </c>
      <c r="BU22" s="57" t="s">
        <v>1287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8" t="s">
        <v>23</v>
      </c>
      <c r="BG23" s="49" t="s">
        <v>1377</v>
      </c>
      <c r="BH23" s="49" t="s">
        <v>1377</v>
      </c>
      <c r="BI23" s="1"/>
      <c r="BJ23" s="70" t="s">
        <v>1287</v>
      </c>
      <c r="BK23" s="57" t="s">
        <v>1287</v>
      </c>
      <c r="BL23" s="57" t="s">
        <v>1287</v>
      </c>
      <c r="BM23" s="57" t="s">
        <v>1287</v>
      </c>
      <c r="BN23" s="57" t="s">
        <v>1287</v>
      </c>
      <c r="BO23" s="57" t="s">
        <v>1287</v>
      </c>
      <c r="BP23" s="57" t="s">
        <v>1287</v>
      </c>
      <c r="BQ23" s="57" t="s">
        <v>1287</v>
      </c>
      <c r="BR23" s="57" t="s">
        <v>1287</v>
      </c>
      <c r="BS23" s="57" t="s">
        <v>1287</v>
      </c>
      <c r="BT23" s="57" t="s">
        <v>1287</v>
      </c>
      <c r="BU23" s="57" t="s">
        <v>1287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1431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1374</v>
      </c>
      <c r="BF24" s="118">
        <v>3.3</v>
      </c>
      <c r="BG24" s="49" t="s">
        <v>1</v>
      </c>
      <c r="BH24" s="49" t="s">
        <v>1</v>
      </c>
      <c r="BI24" s="1"/>
      <c r="BJ24" s="70" t="s">
        <v>1287</v>
      </c>
      <c r="BK24" s="57" t="s">
        <v>1287</v>
      </c>
      <c r="BL24" s="57" t="s">
        <v>1287</v>
      </c>
      <c r="BM24" s="57" t="s">
        <v>1287</v>
      </c>
      <c r="BN24" s="57" t="s">
        <v>1287</v>
      </c>
      <c r="BO24" s="57" t="s">
        <v>1287</v>
      </c>
      <c r="BP24" s="57" t="s">
        <v>1287</v>
      </c>
      <c r="BQ24" s="57" t="s">
        <v>1287</v>
      </c>
      <c r="BR24" s="57" t="s">
        <v>1287</v>
      </c>
      <c r="BS24" s="57" t="s">
        <v>1287</v>
      </c>
      <c r="BT24" s="57" t="s">
        <v>1287</v>
      </c>
      <c r="BU24" s="57" t="s">
        <v>1287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1389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1376</v>
      </c>
      <c r="BE25" s="3" t="s">
        <v>1374</v>
      </c>
      <c r="BF25" s="118">
        <v>3.2</v>
      </c>
      <c r="BG25" s="49" t="s">
        <v>1377</v>
      </c>
      <c r="BH25" s="49" t="s">
        <v>1377</v>
      </c>
      <c r="BI25" s="1"/>
      <c r="BJ25" s="70" t="s">
        <v>1287</v>
      </c>
      <c r="BK25" s="57" t="s">
        <v>1287</v>
      </c>
      <c r="BL25" s="57" t="s">
        <v>1287</v>
      </c>
      <c r="BM25" s="57" t="s">
        <v>1287</v>
      </c>
      <c r="BN25" s="57" t="s">
        <v>1287</v>
      </c>
      <c r="BO25" s="57" t="s">
        <v>1287</v>
      </c>
      <c r="BP25" s="57" t="s">
        <v>1287</v>
      </c>
      <c r="BQ25" s="57" t="s">
        <v>1287</v>
      </c>
      <c r="BR25" s="57" t="s">
        <v>1287</v>
      </c>
      <c r="BS25" s="57" t="s">
        <v>1287</v>
      </c>
      <c r="BT25" s="57" t="s">
        <v>1287</v>
      </c>
      <c r="BU25" s="57" t="s">
        <v>1287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1503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1375</v>
      </c>
      <c r="BE26" s="3" t="s">
        <v>1291</v>
      </c>
      <c r="BF26" s="118">
        <v>3.6</v>
      </c>
      <c r="BG26" s="49" t="s">
        <v>1422</v>
      </c>
      <c r="BH26" s="49" t="s">
        <v>1422</v>
      </c>
      <c r="BI26" s="1"/>
      <c r="BJ26" s="70" t="s">
        <v>1287</v>
      </c>
      <c r="BK26" s="57" t="s">
        <v>1287</v>
      </c>
      <c r="BL26" s="57" t="s">
        <v>1287</v>
      </c>
      <c r="BM26" s="57" t="s">
        <v>1287</v>
      </c>
      <c r="BN26" s="57" t="s">
        <v>1287</v>
      </c>
      <c r="BO26" s="57" t="s">
        <v>1287</v>
      </c>
      <c r="BP26" s="57" t="s">
        <v>1287</v>
      </c>
      <c r="BQ26" s="57" t="s">
        <v>1287</v>
      </c>
      <c r="BR26" s="57" t="s">
        <v>1287</v>
      </c>
      <c r="BS26" s="57" t="s">
        <v>1287</v>
      </c>
      <c r="BT26" s="57" t="s">
        <v>1287</v>
      </c>
      <c r="BU26" s="57" t="s">
        <v>1287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8" t="s">
        <v>23</v>
      </c>
      <c r="BG27" s="49" t="s">
        <v>1372</v>
      </c>
      <c r="BH27" s="49" t="s">
        <v>1377</v>
      </c>
      <c r="BI27" s="1"/>
      <c r="BJ27" s="70" t="s">
        <v>1287</v>
      </c>
      <c r="BK27" s="57" t="s">
        <v>1287</v>
      </c>
      <c r="BL27" s="57" t="s">
        <v>1287</v>
      </c>
      <c r="BM27" s="57" t="s">
        <v>1287</v>
      </c>
      <c r="BN27" s="57" t="s">
        <v>1287</v>
      </c>
      <c r="BO27" s="57" t="s">
        <v>1287</v>
      </c>
      <c r="BP27" s="57" t="s">
        <v>1287</v>
      </c>
      <c r="BQ27" s="57" t="s">
        <v>1287</v>
      </c>
      <c r="BR27" s="57" t="s">
        <v>1287</v>
      </c>
      <c r="BS27" s="57" t="s">
        <v>1287</v>
      </c>
      <c r="BT27" s="57" t="s">
        <v>1287</v>
      </c>
      <c r="BU27" s="57" t="s">
        <v>1287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1028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1428</v>
      </c>
      <c r="BF28" s="118">
        <v>3</v>
      </c>
      <c r="BG28" s="49" t="s">
        <v>1377</v>
      </c>
      <c r="BH28" s="49" t="s">
        <v>1377</v>
      </c>
      <c r="BI28" s="1"/>
      <c r="BJ28" s="70" t="s">
        <v>1287</v>
      </c>
      <c r="BK28" s="57" t="s">
        <v>1287</v>
      </c>
      <c r="BL28" s="57" t="s">
        <v>1287</v>
      </c>
      <c r="BM28" s="57" t="s">
        <v>1287</v>
      </c>
      <c r="BN28" s="57" t="s">
        <v>1287</v>
      </c>
      <c r="BO28" s="57" t="s">
        <v>1287</v>
      </c>
      <c r="BP28" s="57" t="s">
        <v>1287</v>
      </c>
      <c r="BQ28" s="57" t="s">
        <v>1287</v>
      </c>
      <c r="BR28" s="57" t="s">
        <v>1287</v>
      </c>
      <c r="BS28" s="57" t="s">
        <v>1287</v>
      </c>
      <c r="BT28" s="57" t="s">
        <v>1287</v>
      </c>
      <c r="BU28" s="57" t="s">
        <v>1287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1428</v>
      </c>
      <c r="BF29" s="118">
        <v>2.6</v>
      </c>
      <c r="BG29" s="49" t="s">
        <v>1377</v>
      </c>
      <c r="BH29" s="49" t="s">
        <v>1377</v>
      </c>
      <c r="BI29" s="1"/>
      <c r="BJ29" s="70" t="s">
        <v>1287</v>
      </c>
      <c r="BK29" s="57" t="s">
        <v>1287</v>
      </c>
      <c r="BL29" s="57" t="s">
        <v>1287</v>
      </c>
      <c r="BM29" s="57" t="s">
        <v>1287</v>
      </c>
      <c r="BN29" s="57" t="s">
        <v>1287</v>
      </c>
      <c r="BO29" s="57" t="s">
        <v>1287</v>
      </c>
      <c r="BP29" s="57" t="s">
        <v>1287</v>
      </c>
      <c r="BQ29" s="57" t="s">
        <v>1287</v>
      </c>
      <c r="BR29" s="57" t="s">
        <v>1287</v>
      </c>
      <c r="BS29" s="57" t="s">
        <v>1287</v>
      </c>
      <c r="BT29" s="57" t="s">
        <v>1287</v>
      </c>
      <c r="BU29" s="57" t="s">
        <v>1287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1033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1428</v>
      </c>
      <c r="BF30" s="118">
        <v>2.71</v>
      </c>
      <c r="BG30" s="49" t="s">
        <v>1377</v>
      </c>
      <c r="BH30" s="49" t="s">
        <v>1377</v>
      </c>
      <c r="BI30" s="1"/>
      <c r="BJ30" s="70" t="s">
        <v>1287</v>
      </c>
      <c r="BK30" s="57" t="s">
        <v>1287</v>
      </c>
      <c r="BL30" s="57" t="s">
        <v>1287</v>
      </c>
      <c r="BM30" s="57" t="s">
        <v>1287</v>
      </c>
      <c r="BN30" s="57" t="s">
        <v>1287</v>
      </c>
      <c r="BO30" s="57" t="s">
        <v>1287</v>
      </c>
      <c r="BP30" s="57" t="s">
        <v>1287</v>
      </c>
      <c r="BQ30" s="57" t="s">
        <v>1287</v>
      </c>
      <c r="BR30" s="57" t="s">
        <v>1287</v>
      </c>
      <c r="BS30" s="57" t="s">
        <v>1287</v>
      </c>
      <c r="BT30" s="57" t="s">
        <v>1287</v>
      </c>
      <c r="BU30" s="57" t="s">
        <v>1287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1428</v>
      </c>
      <c r="BF31" s="118">
        <v>3.31</v>
      </c>
      <c r="BG31" s="49" t="s">
        <v>1377</v>
      </c>
      <c r="BH31" s="49" t="s">
        <v>1377</v>
      </c>
      <c r="BI31" s="1"/>
      <c r="BJ31" s="70" t="s">
        <v>1287</v>
      </c>
      <c r="BK31" s="57" t="s">
        <v>1287</v>
      </c>
      <c r="BL31" s="57" t="s">
        <v>1287</v>
      </c>
      <c r="BM31" s="57" t="s">
        <v>1287</v>
      </c>
      <c r="BN31" s="57" t="s">
        <v>1287</v>
      </c>
      <c r="BO31" s="57" t="s">
        <v>1287</v>
      </c>
      <c r="BP31" s="57" t="s">
        <v>1287</v>
      </c>
      <c r="BQ31" s="57" t="s">
        <v>1287</v>
      </c>
      <c r="BR31" s="57" t="s">
        <v>1287</v>
      </c>
      <c r="BS31" s="57" t="s">
        <v>1287</v>
      </c>
      <c r="BT31" s="57" t="s">
        <v>1287</v>
      </c>
      <c r="BU31" s="57" t="s">
        <v>1287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1034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1374</v>
      </c>
      <c r="BF32" s="118">
        <v>3.6</v>
      </c>
      <c r="BG32" s="49" t="s">
        <v>1377</v>
      </c>
      <c r="BH32" s="49" t="s">
        <v>1377</v>
      </c>
      <c r="BI32" s="1"/>
      <c r="BJ32" s="70" t="s">
        <v>1287</v>
      </c>
      <c r="BK32" s="57" t="s">
        <v>1287</v>
      </c>
      <c r="BL32" s="57" t="s">
        <v>1287</v>
      </c>
      <c r="BM32" s="57" t="s">
        <v>1287</v>
      </c>
      <c r="BN32" s="57" t="s">
        <v>1287</v>
      </c>
      <c r="BO32" s="57" t="s">
        <v>1287</v>
      </c>
      <c r="BP32" s="57" t="s">
        <v>1287</v>
      </c>
      <c r="BQ32" s="57" t="s">
        <v>1287</v>
      </c>
      <c r="BR32" s="57" t="s">
        <v>1287</v>
      </c>
      <c r="BS32" s="57" t="s">
        <v>1287</v>
      </c>
      <c r="BT32" s="57" t="s">
        <v>1287</v>
      </c>
      <c r="BU32" s="57" t="s">
        <v>1287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1035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1374</v>
      </c>
      <c r="BF33" s="118">
        <v>3.27</v>
      </c>
      <c r="BG33" s="49" t="s">
        <v>1377</v>
      </c>
      <c r="BH33" s="49" t="s">
        <v>1377</v>
      </c>
      <c r="BI33" s="1"/>
      <c r="BJ33" s="70" t="s">
        <v>1287</v>
      </c>
      <c r="BK33" s="57" t="s">
        <v>1287</v>
      </c>
      <c r="BL33" s="57" t="s">
        <v>1287</v>
      </c>
      <c r="BM33" s="57" t="s">
        <v>1287</v>
      </c>
      <c r="BN33" s="57" t="s">
        <v>1287</v>
      </c>
      <c r="BO33" s="57" t="s">
        <v>1287</v>
      </c>
      <c r="BP33" s="57" t="s">
        <v>1287</v>
      </c>
      <c r="BQ33" s="57" t="s">
        <v>1287</v>
      </c>
      <c r="BR33" s="57" t="s">
        <v>1287</v>
      </c>
      <c r="BS33" s="57" t="s">
        <v>1287</v>
      </c>
      <c r="BT33" s="57" t="s">
        <v>1287</v>
      </c>
      <c r="BU33" s="57" t="s">
        <v>1287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1036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1374</v>
      </c>
      <c r="BF34" s="118">
        <v>3.34</v>
      </c>
      <c r="BG34" s="49" t="s">
        <v>1377</v>
      </c>
      <c r="BH34" s="49" t="s">
        <v>1377</v>
      </c>
      <c r="BI34" s="1"/>
      <c r="BJ34" s="70" t="s">
        <v>1287</v>
      </c>
      <c r="BK34" s="57" t="s">
        <v>1287</v>
      </c>
      <c r="BL34" s="57" t="s">
        <v>1287</v>
      </c>
      <c r="BM34" s="57" t="s">
        <v>1287</v>
      </c>
      <c r="BN34" s="57" t="s">
        <v>1287</v>
      </c>
      <c r="BO34" s="57" t="s">
        <v>1287</v>
      </c>
      <c r="BP34" s="57" t="s">
        <v>1287</v>
      </c>
      <c r="BQ34" s="57" t="s">
        <v>1287</v>
      </c>
      <c r="BR34" s="57" t="s">
        <v>1287</v>
      </c>
      <c r="BS34" s="57" t="s">
        <v>1287</v>
      </c>
      <c r="BT34" s="57" t="s">
        <v>1287</v>
      </c>
      <c r="BU34" s="57" t="s">
        <v>1287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1103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1376</v>
      </c>
      <c r="BE35" s="3" t="s">
        <v>1374</v>
      </c>
      <c r="BF35" s="118">
        <v>2.7</v>
      </c>
      <c r="BG35" s="49" t="s">
        <v>1377</v>
      </c>
      <c r="BH35" s="49" t="s">
        <v>1377</v>
      </c>
      <c r="BI35" s="1"/>
      <c r="BJ35" s="70" t="s">
        <v>1287</v>
      </c>
      <c r="BK35" s="57" t="s">
        <v>1287</v>
      </c>
      <c r="BL35" s="57" t="s">
        <v>1287</v>
      </c>
      <c r="BM35" s="57" t="s">
        <v>1287</v>
      </c>
      <c r="BN35" s="57" t="s">
        <v>1287</v>
      </c>
      <c r="BO35" s="57" t="s">
        <v>1287</v>
      </c>
      <c r="BP35" s="57" t="s">
        <v>1287</v>
      </c>
      <c r="BQ35" s="57" t="s">
        <v>1287</v>
      </c>
      <c r="BR35" s="57" t="s">
        <v>1287</v>
      </c>
      <c r="BS35" s="57" t="s">
        <v>1287</v>
      </c>
      <c r="BT35" s="57" t="s">
        <v>1287</v>
      </c>
      <c r="BU35" s="57" t="s">
        <v>1287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1374</v>
      </c>
      <c r="BF36" s="118">
        <v>1.8</v>
      </c>
      <c r="BG36" s="49" t="s">
        <v>1377</v>
      </c>
      <c r="BH36" s="49" t="s">
        <v>1377</v>
      </c>
      <c r="BI36" s="1"/>
      <c r="BJ36" s="70" t="s">
        <v>1287</v>
      </c>
      <c r="BK36" s="57" t="s">
        <v>1287</v>
      </c>
      <c r="BL36" s="57" t="s">
        <v>1287</v>
      </c>
      <c r="BM36" s="57" t="s">
        <v>1287</v>
      </c>
      <c r="BN36" s="57" t="s">
        <v>1287</v>
      </c>
      <c r="BO36" s="57" t="s">
        <v>1287</v>
      </c>
      <c r="BP36" s="57" t="s">
        <v>1287</v>
      </c>
      <c r="BQ36" s="57" t="s">
        <v>1287</v>
      </c>
      <c r="BR36" s="57" t="s">
        <v>1287</v>
      </c>
      <c r="BS36" s="57" t="s">
        <v>1287</v>
      </c>
      <c r="BT36" s="57" t="s">
        <v>1287</v>
      </c>
      <c r="BU36" s="57" t="s">
        <v>1287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1054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1429</v>
      </c>
      <c r="BE37" s="3" t="s">
        <v>1428</v>
      </c>
      <c r="BF37" s="118">
        <v>2.6</v>
      </c>
      <c r="BG37" s="49" t="s">
        <v>1377</v>
      </c>
      <c r="BH37" s="49" t="s">
        <v>1377</v>
      </c>
      <c r="BI37" s="1"/>
      <c r="BJ37" s="70" t="s">
        <v>1287</v>
      </c>
      <c r="BK37" s="57" t="s">
        <v>1287</v>
      </c>
      <c r="BL37" s="57" t="s">
        <v>1287</v>
      </c>
      <c r="BM37" s="57" t="s">
        <v>1287</v>
      </c>
      <c r="BN37" s="57" t="s">
        <v>1287</v>
      </c>
      <c r="BO37" s="57" t="s">
        <v>1287</v>
      </c>
      <c r="BP37" s="57" t="s">
        <v>1287</v>
      </c>
      <c r="BQ37" s="57" t="s">
        <v>1287</v>
      </c>
      <c r="BR37" s="57" t="s">
        <v>1287</v>
      </c>
      <c r="BS37" s="57" t="s">
        <v>1287</v>
      </c>
      <c r="BT37" s="57" t="s">
        <v>1287</v>
      </c>
      <c r="BU37" s="57" t="s">
        <v>1287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1292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07" si="225">_xlfn.AGGREGATE(9,6,CH38:CS38)-_xlfn.AGGREGATE(9,6,BV38:CG38)+12</f>
        <v>251</v>
      </c>
      <c r="BD38" s="4" t="s">
        <v>1375</v>
      </c>
      <c r="BE38" s="3" t="s">
        <v>1291</v>
      </c>
      <c r="BF38" s="118">
        <v>3.4</v>
      </c>
      <c r="BG38" s="49" t="s">
        <v>1281</v>
      </c>
      <c r="BH38" s="49" t="s">
        <v>1281</v>
      </c>
      <c r="BI38" s="1"/>
      <c r="BJ38" s="70" t="s">
        <v>1287</v>
      </c>
      <c r="BK38" s="57" t="s">
        <v>1287</v>
      </c>
      <c r="BL38" s="57" t="s">
        <v>1287</v>
      </c>
      <c r="BM38" s="57" t="s">
        <v>1287</v>
      </c>
      <c r="BN38" s="57" t="s">
        <v>1287</v>
      </c>
      <c r="BO38" s="57" t="s">
        <v>1287</v>
      </c>
      <c r="BP38" s="57" t="s">
        <v>1287</v>
      </c>
      <c r="BQ38" s="57" t="s">
        <v>1287</v>
      </c>
      <c r="BR38" s="57" t="s">
        <v>1287</v>
      </c>
      <c r="BS38" s="57" t="s">
        <v>1287</v>
      </c>
      <c r="BT38" s="57" t="s">
        <v>1287</v>
      </c>
      <c r="BU38" s="57" t="s">
        <v>1287</v>
      </c>
      <c r="BV38" s="70">
        <f t="shared" ref="BV38:BV107" si="226">E38</f>
        <v>6</v>
      </c>
      <c r="BW38" s="71">
        <f t="shared" ref="BW38:BW107" si="227">I38</f>
        <v>35</v>
      </c>
      <c r="BX38" s="72">
        <f t="shared" ref="BX38:BX107" si="228">M38</f>
        <v>39</v>
      </c>
      <c r="BY38" s="71">
        <f t="shared" ref="BY38:BY107" si="229">Q38</f>
        <v>70</v>
      </c>
      <c r="BZ38" s="72">
        <f t="shared" ref="BZ38:BZ107" si="230">U38</f>
        <v>73</v>
      </c>
      <c r="CA38" s="71">
        <f t="shared" ref="CA38:CA107" si="231">Y38</f>
        <v>109</v>
      </c>
      <c r="CB38" s="72">
        <f t="shared" ref="CB38:CB107" si="232">AC38</f>
        <v>117</v>
      </c>
      <c r="CC38" s="71">
        <f t="shared" ref="CC38:CC107" si="233">AG38</f>
        <v>166</v>
      </c>
      <c r="CD38" s="72">
        <f t="shared" ref="CD38:CD107" si="234">AK38</f>
        <v>173</v>
      </c>
      <c r="CE38" s="71">
        <f t="shared" ref="CE38:CE107" si="235">AO38</f>
        <v>224</v>
      </c>
      <c r="CF38" s="72">
        <f t="shared" ref="CF38:CF107" si="236">AS38</f>
        <v>266</v>
      </c>
      <c r="CG38" s="71">
        <f t="shared" ref="CG38:CG107" si="237">AW38</f>
        <v>292</v>
      </c>
      <c r="CH38" s="70">
        <f t="shared" ref="CH38:CH107" si="238">G38</f>
        <v>34</v>
      </c>
      <c r="CI38" s="71">
        <f t="shared" ref="CI38:CI107" si="239">K38</f>
        <v>38</v>
      </c>
      <c r="CJ38" s="72">
        <f t="shared" ref="CJ38:CJ107" si="240">O38</f>
        <v>69</v>
      </c>
      <c r="CK38" s="72">
        <f t="shared" ref="CK38:CK107" si="241">S38</f>
        <v>72</v>
      </c>
      <c r="CL38" s="72">
        <f t="shared" ref="CL38:CL107" si="242">W38</f>
        <v>108</v>
      </c>
      <c r="CM38" s="72">
        <f t="shared" ref="CM38:CM107" si="243">AA38</f>
        <v>116</v>
      </c>
      <c r="CN38" s="72">
        <f t="shared" ref="CN38:CN107" si="244">AE38</f>
        <v>142</v>
      </c>
      <c r="CO38" s="72">
        <f t="shared" ref="CO38:CO107" si="245">AI38</f>
        <v>168</v>
      </c>
      <c r="CP38" s="72">
        <f t="shared" ref="CP38:CP107" si="246">AM38</f>
        <v>207</v>
      </c>
      <c r="CQ38" s="72">
        <f t="shared" ref="CQ38:CQ107" si="247">AQ38</f>
        <v>259</v>
      </c>
      <c r="CR38" s="72">
        <f t="shared" ref="CR38:CR107" si="248">AU38</f>
        <v>291</v>
      </c>
      <c r="CS38" s="72">
        <f t="shared" ref="CS38:CS107" si="249">AY38</f>
        <v>305</v>
      </c>
      <c r="CT38" s="23">
        <f t="shared" ref="CT38:CT107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1345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1374</v>
      </c>
      <c r="BF39" s="118">
        <v>1.72</v>
      </c>
      <c r="BG39" s="49" t="s">
        <v>1377</v>
      </c>
      <c r="BH39" s="49" t="s">
        <v>1377</v>
      </c>
      <c r="BI39" s="1"/>
      <c r="BJ39" s="70" t="s">
        <v>1287</v>
      </c>
      <c r="BK39" s="57" t="s">
        <v>1287</v>
      </c>
      <c r="BL39" s="57" t="s">
        <v>1287</v>
      </c>
      <c r="BM39" s="57" t="s">
        <v>1287</v>
      </c>
      <c r="BN39" s="57" t="s">
        <v>1287</v>
      </c>
      <c r="BO39" s="57" t="s">
        <v>1287</v>
      </c>
      <c r="BP39" s="57" t="s">
        <v>1287</v>
      </c>
      <c r="BQ39" s="57" t="s">
        <v>1287</v>
      </c>
      <c r="BR39" s="57" t="s">
        <v>1287</v>
      </c>
      <c r="BS39" s="57" t="s">
        <v>1287</v>
      </c>
      <c r="BT39" s="57" t="s">
        <v>1287</v>
      </c>
      <c r="BU39" s="57" t="s">
        <v>1287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1346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1374</v>
      </c>
      <c r="BF40" s="118">
        <v>1.9</v>
      </c>
      <c r="BG40" s="49" t="s">
        <v>1377</v>
      </c>
      <c r="BH40" s="49" t="s">
        <v>1377</v>
      </c>
      <c r="BI40" s="1"/>
      <c r="BJ40" s="70" t="s">
        <v>1287</v>
      </c>
      <c r="BK40" s="57" t="s">
        <v>1287</v>
      </c>
      <c r="BL40" s="57" t="s">
        <v>1287</v>
      </c>
      <c r="BM40" s="57" t="s">
        <v>1287</v>
      </c>
      <c r="BN40" s="57" t="s">
        <v>1287</v>
      </c>
      <c r="BO40" s="57" t="s">
        <v>1287</v>
      </c>
      <c r="BP40" s="57" t="s">
        <v>1287</v>
      </c>
      <c r="BQ40" s="57" t="s">
        <v>1287</v>
      </c>
      <c r="BR40" s="57" t="s">
        <v>1287</v>
      </c>
      <c r="BS40" s="57" t="s">
        <v>1287</v>
      </c>
      <c r="BT40" s="57" t="s">
        <v>1287</v>
      </c>
      <c r="BU40" s="57" t="s">
        <v>1287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1347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1374</v>
      </c>
      <c r="BF41" s="118">
        <v>2</v>
      </c>
      <c r="BG41" s="49" t="s">
        <v>1377</v>
      </c>
      <c r="BH41" s="49" t="s">
        <v>1377</v>
      </c>
      <c r="BI41" s="1"/>
      <c r="BJ41" s="70" t="s">
        <v>1287</v>
      </c>
      <c r="BK41" s="57" t="s">
        <v>1287</v>
      </c>
      <c r="BL41" s="57" t="s">
        <v>1287</v>
      </c>
      <c r="BM41" s="57" t="s">
        <v>1287</v>
      </c>
      <c r="BN41" s="57" t="s">
        <v>1287</v>
      </c>
      <c r="BO41" s="57" t="s">
        <v>1287</v>
      </c>
      <c r="BP41" s="57" t="s">
        <v>1287</v>
      </c>
      <c r="BQ41" s="57" t="s">
        <v>1287</v>
      </c>
      <c r="BR41" s="57" t="s">
        <v>1287</v>
      </c>
      <c r="BS41" s="57" t="s">
        <v>1287</v>
      </c>
      <c r="BT41" s="57" t="s">
        <v>1287</v>
      </c>
      <c r="BU41" s="57" t="s">
        <v>1287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1348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1374</v>
      </c>
      <c r="BF42" s="118">
        <v>2.2000000000000002</v>
      </c>
      <c r="BG42" s="49" t="s">
        <v>1377</v>
      </c>
      <c r="BH42" s="49" t="s">
        <v>1377</v>
      </c>
      <c r="BI42" s="1"/>
      <c r="BJ42" s="70" t="s">
        <v>1287</v>
      </c>
      <c r="BK42" s="57" t="s">
        <v>1287</v>
      </c>
      <c r="BL42" s="57" t="s">
        <v>1287</v>
      </c>
      <c r="BM42" s="57" t="s">
        <v>1287</v>
      </c>
      <c r="BN42" s="57" t="s">
        <v>1287</v>
      </c>
      <c r="BO42" s="57" t="s">
        <v>1287</v>
      </c>
      <c r="BP42" s="57" t="s">
        <v>1287</v>
      </c>
      <c r="BQ42" s="57" t="s">
        <v>1287</v>
      </c>
      <c r="BR42" s="57" t="s">
        <v>1287</v>
      </c>
      <c r="BS42" s="57" t="s">
        <v>1287</v>
      </c>
      <c r="BT42" s="57" t="s">
        <v>1287</v>
      </c>
      <c r="BU42" s="57" t="s">
        <v>1287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1349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1374</v>
      </c>
      <c r="BF43" s="118">
        <v>2.1</v>
      </c>
      <c r="BG43" s="49" t="s">
        <v>1377</v>
      </c>
      <c r="BH43" s="49" t="s">
        <v>1377</v>
      </c>
      <c r="BI43" s="1"/>
      <c r="BJ43" s="70" t="s">
        <v>1287</v>
      </c>
      <c r="BK43" s="57" t="s">
        <v>1287</v>
      </c>
      <c r="BL43" s="57" t="s">
        <v>1287</v>
      </c>
      <c r="BM43" s="57" t="s">
        <v>1287</v>
      </c>
      <c r="BN43" s="57" t="s">
        <v>1287</v>
      </c>
      <c r="BO43" s="57" t="s">
        <v>1287</v>
      </c>
      <c r="BP43" s="57" t="s">
        <v>1287</v>
      </c>
      <c r="BQ43" s="57" t="s">
        <v>1287</v>
      </c>
      <c r="BR43" s="57" t="s">
        <v>1287</v>
      </c>
      <c r="BS43" s="57" t="s">
        <v>1287</v>
      </c>
      <c r="BT43" s="57" t="s">
        <v>1287</v>
      </c>
      <c r="BU43" s="57" t="s">
        <v>1287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1339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1374</v>
      </c>
      <c r="BF44" s="118">
        <v>2.5</v>
      </c>
      <c r="BG44" s="49" t="s">
        <v>1377</v>
      </c>
      <c r="BH44" s="49" t="s">
        <v>1377</v>
      </c>
      <c r="BI44" s="1"/>
      <c r="BJ44" s="70" t="s">
        <v>1287</v>
      </c>
      <c r="BK44" s="57" t="s">
        <v>1287</v>
      </c>
      <c r="BL44" s="57" t="s">
        <v>1287</v>
      </c>
      <c r="BM44" s="57" t="s">
        <v>1287</v>
      </c>
      <c r="BN44" s="57" t="s">
        <v>1287</v>
      </c>
      <c r="BO44" s="57" t="s">
        <v>1287</v>
      </c>
      <c r="BP44" s="57" t="s">
        <v>1287</v>
      </c>
      <c r="BQ44" s="57" t="s">
        <v>1287</v>
      </c>
      <c r="BR44" s="57" t="s">
        <v>1287</v>
      </c>
      <c r="BS44" s="57" t="s">
        <v>1287</v>
      </c>
      <c r="BT44" s="57" t="s">
        <v>1287</v>
      </c>
      <c r="BU44" s="57" t="s">
        <v>1287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1340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1374</v>
      </c>
      <c r="BF45" s="118">
        <v>2.5</v>
      </c>
      <c r="BG45" s="49" t="s">
        <v>1377</v>
      </c>
      <c r="BH45" s="49" t="s">
        <v>1377</v>
      </c>
      <c r="BI45" s="1"/>
      <c r="BJ45" s="70" t="s">
        <v>1287</v>
      </c>
      <c r="BK45" s="57" t="s">
        <v>1287</v>
      </c>
      <c r="BL45" s="57" t="s">
        <v>1287</v>
      </c>
      <c r="BM45" s="57" t="s">
        <v>1287</v>
      </c>
      <c r="BN45" s="57" t="s">
        <v>1287</v>
      </c>
      <c r="BO45" s="57" t="s">
        <v>1287</v>
      </c>
      <c r="BP45" s="57" t="s">
        <v>1287</v>
      </c>
      <c r="BQ45" s="57" t="s">
        <v>1287</v>
      </c>
      <c r="BR45" s="57" t="s">
        <v>1287</v>
      </c>
      <c r="BS45" s="57" t="s">
        <v>1287</v>
      </c>
      <c r="BT45" s="57" t="s">
        <v>1287</v>
      </c>
      <c r="BU45" s="57" t="s">
        <v>1287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1341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1374</v>
      </c>
      <c r="BF46" s="118">
        <v>1.9</v>
      </c>
      <c r="BG46" s="49" t="s">
        <v>1377</v>
      </c>
      <c r="BH46" s="49" t="s">
        <v>1377</v>
      </c>
      <c r="BI46" s="1"/>
      <c r="BJ46" s="70" t="s">
        <v>1287</v>
      </c>
      <c r="BK46" s="57" t="s">
        <v>1287</v>
      </c>
      <c r="BL46" s="57" t="s">
        <v>1287</v>
      </c>
      <c r="BM46" s="57" t="s">
        <v>1287</v>
      </c>
      <c r="BN46" s="57" t="s">
        <v>1287</v>
      </c>
      <c r="BO46" s="57" t="s">
        <v>1287</v>
      </c>
      <c r="BP46" s="57" t="s">
        <v>1287</v>
      </c>
      <c r="BQ46" s="57" t="s">
        <v>1287</v>
      </c>
      <c r="BR46" s="57" t="s">
        <v>1287</v>
      </c>
      <c r="BS46" s="57" t="s">
        <v>1287</v>
      </c>
      <c r="BT46" s="57" t="s">
        <v>1287</v>
      </c>
      <c r="BU46" s="57" t="s">
        <v>1287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1342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1374</v>
      </c>
      <c r="BF47" s="118">
        <v>1.9</v>
      </c>
      <c r="BG47" s="49" t="s">
        <v>1377</v>
      </c>
      <c r="BH47" s="49" t="s">
        <v>1377</v>
      </c>
      <c r="BI47" s="1"/>
      <c r="BJ47" s="70" t="s">
        <v>1287</v>
      </c>
      <c r="BK47" s="57" t="s">
        <v>1287</v>
      </c>
      <c r="BL47" s="57" t="s">
        <v>1287</v>
      </c>
      <c r="BM47" s="57" t="s">
        <v>1287</v>
      </c>
      <c r="BN47" s="57" t="s">
        <v>1287</v>
      </c>
      <c r="BO47" s="57" t="s">
        <v>1287</v>
      </c>
      <c r="BP47" s="57" t="s">
        <v>1287</v>
      </c>
      <c r="BQ47" s="57" t="s">
        <v>1287</v>
      </c>
      <c r="BR47" s="57" t="s">
        <v>1287</v>
      </c>
      <c r="BS47" s="57" t="s">
        <v>1287</v>
      </c>
      <c r="BT47" s="57" t="s">
        <v>1287</v>
      </c>
      <c r="BU47" s="57" t="s">
        <v>1287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1435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1374</v>
      </c>
      <c r="BF48" s="118">
        <v>2</v>
      </c>
      <c r="BG48" s="49" t="s">
        <v>1</v>
      </c>
      <c r="BH48" s="49" t="s">
        <v>1</v>
      </c>
      <c r="BI48" s="1"/>
      <c r="BJ48" s="70" t="s">
        <v>1287</v>
      </c>
      <c r="BK48" s="57" t="s">
        <v>1287</v>
      </c>
      <c r="BL48" s="57" t="s">
        <v>1287</v>
      </c>
      <c r="BM48" s="57" t="s">
        <v>1287</v>
      </c>
      <c r="BN48" s="57" t="s">
        <v>1287</v>
      </c>
      <c r="BO48" s="57" t="s">
        <v>1287</v>
      </c>
      <c r="BP48" s="57" t="s">
        <v>1287</v>
      </c>
      <c r="BQ48" s="57" t="s">
        <v>1287</v>
      </c>
      <c r="BR48" s="57" t="s">
        <v>1287</v>
      </c>
      <c r="BS48" s="57" t="s">
        <v>1287</v>
      </c>
      <c r="BT48" s="57" t="s">
        <v>1287</v>
      </c>
      <c r="BU48" s="57" t="s">
        <v>1287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1436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1374</v>
      </c>
      <c r="BF49" s="118">
        <v>3</v>
      </c>
      <c r="BG49" s="49" t="s">
        <v>1</v>
      </c>
      <c r="BH49" s="49" t="s">
        <v>1</v>
      </c>
      <c r="BI49" s="1"/>
      <c r="BJ49" s="70" t="s">
        <v>1287</v>
      </c>
      <c r="BK49" s="57" t="s">
        <v>1287</v>
      </c>
      <c r="BL49" s="57" t="s">
        <v>1287</v>
      </c>
      <c r="BM49" s="57" t="s">
        <v>1287</v>
      </c>
      <c r="BN49" s="57" t="s">
        <v>1287</v>
      </c>
      <c r="BO49" s="57" t="s">
        <v>1287</v>
      </c>
      <c r="BP49" s="57" t="s">
        <v>1287</v>
      </c>
      <c r="BQ49" s="57" t="s">
        <v>1287</v>
      </c>
      <c r="BR49" s="57" t="s">
        <v>1287</v>
      </c>
      <c r="BS49" s="57" t="s">
        <v>1287</v>
      </c>
      <c r="BT49" s="57" t="s">
        <v>1287</v>
      </c>
      <c r="BU49" s="57" t="s">
        <v>1287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1430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1374</v>
      </c>
      <c r="BF50" s="118">
        <v>2.9</v>
      </c>
      <c r="BG50" s="49" t="s">
        <v>1</v>
      </c>
      <c r="BH50" s="49" t="s">
        <v>1</v>
      </c>
      <c r="BI50" s="1"/>
      <c r="BJ50" s="70" t="s">
        <v>1287</v>
      </c>
      <c r="BK50" s="57" t="s">
        <v>1287</v>
      </c>
      <c r="BL50" s="57" t="s">
        <v>1287</v>
      </c>
      <c r="BM50" s="57" t="s">
        <v>1287</v>
      </c>
      <c r="BN50" s="57" t="s">
        <v>1287</v>
      </c>
      <c r="BO50" s="57" t="s">
        <v>1287</v>
      </c>
      <c r="BP50" s="57" t="s">
        <v>1287</v>
      </c>
      <c r="BQ50" s="57" t="s">
        <v>1287</v>
      </c>
      <c r="BR50" s="57" t="s">
        <v>1287</v>
      </c>
      <c r="BS50" s="57" t="s">
        <v>1287</v>
      </c>
      <c r="BT50" s="57" t="s">
        <v>1287</v>
      </c>
      <c r="BU50" s="57" t="s">
        <v>1287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1387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1374</v>
      </c>
      <c r="BF51" s="118">
        <v>3.5</v>
      </c>
      <c r="BG51" s="49" t="s">
        <v>1377</v>
      </c>
      <c r="BH51" s="49" t="s">
        <v>1377</v>
      </c>
      <c r="BI51" s="1"/>
      <c r="BJ51" s="70" t="s">
        <v>1287</v>
      </c>
      <c r="BK51" s="57" t="s">
        <v>1287</v>
      </c>
      <c r="BL51" s="57" t="s">
        <v>1287</v>
      </c>
      <c r="BM51" s="57" t="s">
        <v>1287</v>
      </c>
      <c r="BN51" s="57" t="s">
        <v>1287</v>
      </c>
      <c r="BO51" s="57" t="s">
        <v>1287</v>
      </c>
      <c r="BP51" s="57" t="s">
        <v>1287</v>
      </c>
      <c r="BQ51" s="57" t="s">
        <v>1287</v>
      </c>
      <c r="BR51" s="57" t="s">
        <v>1287</v>
      </c>
      <c r="BS51" s="57" t="s">
        <v>1287</v>
      </c>
      <c r="BT51" s="57" t="s">
        <v>1287</v>
      </c>
      <c r="BU51" s="57" t="s">
        <v>1287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1411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1374</v>
      </c>
      <c r="BF52" s="118">
        <v>3.2</v>
      </c>
      <c r="BG52" s="49" t="s">
        <v>1</v>
      </c>
      <c r="BH52" s="49" t="s">
        <v>1</v>
      </c>
      <c r="BI52" s="1"/>
      <c r="BJ52" s="70" t="s">
        <v>1287</v>
      </c>
      <c r="BK52" s="57" t="s">
        <v>1287</v>
      </c>
      <c r="BL52" s="57" t="s">
        <v>1287</v>
      </c>
      <c r="BM52" s="57" t="s">
        <v>1287</v>
      </c>
      <c r="BN52" s="57" t="s">
        <v>1287</v>
      </c>
      <c r="BO52" s="57" t="s">
        <v>1287</v>
      </c>
      <c r="BP52" s="57" t="s">
        <v>1287</v>
      </c>
      <c r="BQ52" s="57" t="s">
        <v>1287</v>
      </c>
      <c r="BR52" s="57" t="s">
        <v>1287</v>
      </c>
      <c r="BS52" s="57" t="s">
        <v>1287</v>
      </c>
      <c r="BT52" s="57" t="s">
        <v>1287</v>
      </c>
      <c r="BU52" s="57" t="s">
        <v>1287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1412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1374</v>
      </c>
      <c r="BF53" s="118">
        <v>2.8</v>
      </c>
      <c r="BG53" s="49" t="s">
        <v>1</v>
      </c>
      <c r="BH53" s="49" t="s">
        <v>1</v>
      </c>
      <c r="BI53" s="1"/>
      <c r="BJ53" s="70" t="s">
        <v>1287</v>
      </c>
      <c r="BK53" s="57" t="s">
        <v>1287</v>
      </c>
      <c r="BL53" s="57" t="s">
        <v>1287</v>
      </c>
      <c r="BM53" s="57" t="s">
        <v>1287</v>
      </c>
      <c r="BN53" s="57" t="s">
        <v>1287</v>
      </c>
      <c r="BO53" s="57" t="s">
        <v>1287</v>
      </c>
      <c r="BP53" s="57" t="s">
        <v>1287</v>
      </c>
      <c r="BQ53" s="57" t="s">
        <v>1287</v>
      </c>
      <c r="BR53" s="57" t="s">
        <v>1287</v>
      </c>
      <c r="BS53" s="57" t="s">
        <v>1287</v>
      </c>
      <c r="BT53" s="57" t="s">
        <v>1287</v>
      </c>
      <c r="BU53" s="57" t="s">
        <v>1287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1443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1374</v>
      </c>
      <c r="BF54" s="118">
        <v>1.95</v>
      </c>
      <c r="BG54" s="49" t="s">
        <v>1</v>
      </c>
      <c r="BH54" s="49" t="s">
        <v>1</v>
      </c>
      <c r="BI54" s="1"/>
      <c r="BJ54" s="70" t="s">
        <v>1287</v>
      </c>
      <c r="BK54" s="57" t="s">
        <v>1287</v>
      </c>
      <c r="BL54" s="57" t="s">
        <v>1287</v>
      </c>
      <c r="BM54" s="57" t="s">
        <v>1287</v>
      </c>
      <c r="BN54" s="57" t="s">
        <v>1287</v>
      </c>
      <c r="BO54" s="57" t="s">
        <v>1287</v>
      </c>
      <c r="BP54" s="57" t="s">
        <v>1287</v>
      </c>
      <c r="BQ54" s="57" t="s">
        <v>1287</v>
      </c>
      <c r="BR54" s="57" t="s">
        <v>1287</v>
      </c>
      <c r="BS54" s="57" t="s">
        <v>1287</v>
      </c>
      <c r="BT54" s="57" t="s">
        <v>1287</v>
      </c>
      <c r="BU54" s="57" t="s">
        <v>1287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1560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1374</v>
      </c>
      <c r="BF55" s="119">
        <v>1.7</v>
      </c>
      <c r="BG55" s="51" t="s">
        <v>1</v>
      </c>
      <c r="BH55" s="51" t="s">
        <v>1</v>
      </c>
      <c r="BJ55" s="111" t="s">
        <v>1287</v>
      </c>
      <c r="BK55" s="112" t="s">
        <v>1287</v>
      </c>
      <c r="BL55" s="112" t="s">
        <v>1287</v>
      </c>
      <c r="BM55" s="112" t="s">
        <v>1287</v>
      </c>
      <c r="BN55" s="112" t="s">
        <v>1287</v>
      </c>
      <c r="BO55" s="112" t="s">
        <v>1287</v>
      </c>
      <c r="BP55" s="112" t="s">
        <v>1287</v>
      </c>
      <c r="BQ55" s="112" t="s">
        <v>1287</v>
      </c>
      <c r="BR55" s="112" t="s">
        <v>1287</v>
      </c>
      <c r="BS55" s="112" t="s">
        <v>1287</v>
      </c>
      <c r="BT55" s="112" t="s">
        <v>1287</v>
      </c>
      <c r="BU55" s="112" t="s">
        <v>1287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1561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1374</v>
      </c>
      <c r="BF56" s="119">
        <v>2.14</v>
      </c>
      <c r="BG56" s="51" t="s">
        <v>1</v>
      </c>
      <c r="BH56" s="51" t="s">
        <v>1</v>
      </c>
      <c r="BJ56" s="111" t="s">
        <v>1287</v>
      </c>
      <c r="BK56" s="112" t="s">
        <v>1287</v>
      </c>
      <c r="BL56" s="112" t="s">
        <v>1287</v>
      </c>
      <c r="BM56" s="112" t="s">
        <v>1287</v>
      </c>
      <c r="BN56" s="112" t="s">
        <v>1287</v>
      </c>
      <c r="BO56" s="112" t="s">
        <v>1287</v>
      </c>
      <c r="BP56" s="112" t="s">
        <v>1287</v>
      </c>
      <c r="BQ56" s="112" t="s">
        <v>1287</v>
      </c>
      <c r="BR56" s="112" t="s">
        <v>1287</v>
      </c>
      <c r="BS56" s="112" t="s">
        <v>1287</v>
      </c>
      <c r="BT56" s="112" t="s">
        <v>1287</v>
      </c>
      <c r="BU56" s="112" t="s">
        <v>1287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1449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1374</v>
      </c>
      <c r="BF57" s="118">
        <v>2.35</v>
      </c>
      <c r="BG57" s="49" t="s">
        <v>1</v>
      </c>
      <c r="BH57" s="49" t="s">
        <v>1</v>
      </c>
      <c r="BI57" s="1"/>
      <c r="BJ57" s="70" t="s">
        <v>1287</v>
      </c>
      <c r="BK57" s="57" t="s">
        <v>1287</v>
      </c>
      <c r="BL57" s="57" t="s">
        <v>1287</v>
      </c>
      <c r="BM57" s="57" t="s">
        <v>1287</v>
      </c>
      <c r="BN57" s="57" t="s">
        <v>1287</v>
      </c>
      <c r="BO57" s="57" t="s">
        <v>1287</v>
      </c>
      <c r="BP57" s="57" t="s">
        <v>1287</v>
      </c>
      <c r="BQ57" s="57" t="s">
        <v>1287</v>
      </c>
      <c r="BR57" s="57" t="s">
        <v>1287</v>
      </c>
      <c r="BS57" s="57" t="s">
        <v>1287</v>
      </c>
      <c r="BT57" s="57" t="s">
        <v>1287</v>
      </c>
      <c r="BU57" s="57" t="s">
        <v>1287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1454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1374</v>
      </c>
      <c r="BF58" s="118">
        <v>1.87</v>
      </c>
      <c r="BG58" s="49" t="s">
        <v>1</v>
      </c>
      <c r="BH58" s="49" t="s">
        <v>1</v>
      </c>
      <c r="BI58" s="1"/>
      <c r="BJ58" s="70" t="s">
        <v>1287</v>
      </c>
      <c r="BK58" s="57" t="s">
        <v>1287</v>
      </c>
      <c r="BL58" s="57" t="s">
        <v>1287</v>
      </c>
      <c r="BM58" s="57" t="s">
        <v>1287</v>
      </c>
      <c r="BN58" s="57" t="s">
        <v>1287</v>
      </c>
      <c r="BO58" s="57" t="s">
        <v>1287</v>
      </c>
      <c r="BP58" s="57" t="s">
        <v>1287</v>
      </c>
      <c r="BQ58" s="57" t="s">
        <v>1287</v>
      </c>
      <c r="BR58" s="57" t="s">
        <v>1287</v>
      </c>
      <c r="BS58" s="57" t="s">
        <v>1287</v>
      </c>
      <c r="BT58" s="57" t="s">
        <v>1287</v>
      </c>
      <c r="BU58" s="57" t="s">
        <v>1287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1455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1374</v>
      </c>
      <c r="BF59" s="118">
        <v>2.6</v>
      </c>
      <c r="BG59" s="49" t="s">
        <v>1</v>
      </c>
      <c r="BH59" s="49" t="s">
        <v>1</v>
      </c>
      <c r="BI59" s="1"/>
      <c r="BJ59" s="70" t="s">
        <v>1287</v>
      </c>
      <c r="BK59" s="57" t="s">
        <v>1287</v>
      </c>
      <c r="BL59" s="57" t="s">
        <v>1287</v>
      </c>
      <c r="BM59" s="57" t="s">
        <v>1287</v>
      </c>
      <c r="BN59" s="57" t="s">
        <v>1287</v>
      </c>
      <c r="BO59" s="57" t="s">
        <v>1287</v>
      </c>
      <c r="BP59" s="57" t="s">
        <v>1287</v>
      </c>
      <c r="BQ59" s="57" t="s">
        <v>1287</v>
      </c>
      <c r="BR59" s="57" t="s">
        <v>1287</v>
      </c>
      <c r="BS59" s="57" t="s">
        <v>1287</v>
      </c>
      <c r="BT59" s="57" t="s">
        <v>1287</v>
      </c>
      <c r="BU59" s="57" t="s">
        <v>1287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1456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1374</v>
      </c>
      <c r="BF60" s="118">
        <v>3.1</v>
      </c>
      <c r="BG60" s="49" t="s">
        <v>1</v>
      </c>
      <c r="BH60" s="49" t="s">
        <v>1</v>
      </c>
      <c r="BI60" s="1"/>
      <c r="BJ60" s="70" t="s">
        <v>1287</v>
      </c>
      <c r="BK60" s="57" t="s">
        <v>1287</v>
      </c>
      <c r="BL60" s="57" t="s">
        <v>1287</v>
      </c>
      <c r="BM60" s="57" t="s">
        <v>1287</v>
      </c>
      <c r="BN60" s="57" t="s">
        <v>1287</v>
      </c>
      <c r="BO60" s="57" t="s">
        <v>1287</v>
      </c>
      <c r="BP60" s="57" t="s">
        <v>1287</v>
      </c>
      <c r="BQ60" s="57" t="s">
        <v>1287</v>
      </c>
      <c r="BR60" s="57" t="s">
        <v>1287</v>
      </c>
      <c r="BS60" s="57" t="s">
        <v>1287</v>
      </c>
      <c r="BT60" s="57" t="s">
        <v>1287</v>
      </c>
      <c r="BU60" s="57" t="s">
        <v>1287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1457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1374</v>
      </c>
      <c r="BF61" s="118">
        <v>2</v>
      </c>
      <c r="BG61" s="49" t="s">
        <v>1</v>
      </c>
      <c r="BH61" s="49" t="s">
        <v>1</v>
      </c>
      <c r="BI61" s="1"/>
      <c r="BJ61" s="70" t="s">
        <v>1287</v>
      </c>
      <c r="BK61" s="57" t="s">
        <v>1287</v>
      </c>
      <c r="BL61" s="57" t="s">
        <v>1287</v>
      </c>
      <c r="BM61" s="57" t="s">
        <v>1287</v>
      </c>
      <c r="BN61" s="57" t="s">
        <v>1287</v>
      </c>
      <c r="BO61" s="57" t="s">
        <v>1287</v>
      </c>
      <c r="BP61" s="57" t="s">
        <v>1287</v>
      </c>
      <c r="BQ61" s="57" t="s">
        <v>1287</v>
      </c>
      <c r="BR61" s="57" t="s">
        <v>1287</v>
      </c>
      <c r="BS61" s="57" t="s">
        <v>1287</v>
      </c>
      <c r="BT61" s="57" t="s">
        <v>1287</v>
      </c>
      <c r="BU61" s="57" t="s">
        <v>1287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1458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1374</v>
      </c>
      <c r="BF62" s="118">
        <v>1.9</v>
      </c>
      <c r="BG62" s="49" t="s">
        <v>1</v>
      </c>
      <c r="BH62" s="49" t="s">
        <v>1</v>
      </c>
      <c r="BI62" s="1"/>
      <c r="BJ62" s="70" t="s">
        <v>1287</v>
      </c>
      <c r="BK62" s="57" t="s">
        <v>1287</v>
      </c>
      <c r="BL62" s="57" t="s">
        <v>1287</v>
      </c>
      <c r="BM62" s="57" t="s">
        <v>1287</v>
      </c>
      <c r="BN62" s="57" t="s">
        <v>1287</v>
      </c>
      <c r="BO62" s="57" t="s">
        <v>1287</v>
      </c>
      <c r="BP62" s="57" t="s">
        <v>1287</v>
      </c>
      <c r="BQ62" s="57" t="s">
        <v>1287</v>
      </c>
      <c r="BR62" s="57" t="s">
        <v>1287</v>
      </c>
      <c r="BS62" s="57" t="s">
        <v>1287</v>
      </c>
      <c r="BT62" s="57" t="s">
        <v>1287</v>
      </c>
      <c r="BU62" s="57" t="s">
        <v>1287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1459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1374</v>
      </c>
      <c r="BF63" s="118">
        <v>2.1</v>
      </c>
      <c r="BG63" s="49" t="s">
        <v>1</v>
      </c>
      <c r="BH63" s="49" t="s">
        <v>1</v>
      </c>
      <c r="BI63" s="1"/>
      <c r="BJ63" s="70" t="s">
        <v>1287</v>
      </c>
      <c r="BK63" s="57" t="s">
        <v>1287</v>
      </c>
      <c r="BL63" s="57" t="s">
        <v>1287</v>
      </c>
      <c r="BM63" s="57" t="s">
        <v>1287</v>
      </c>
      <c r="BN63" s="57" t="s">
        <v>1287</v>
      </c>
      <c r="BO63" s="57" t="s">
        <v>1287</v>
      </c>
      <c r="BP63" s="57" t="s">
        <v>1287</v>
      </c>
      <c r="BQ63" s="57" t="s">
        <v>1287</v>
      </c>
      <c r="BR63" s="57" t="s">
        <v>1287</v>
      </c>
      <c r="BS63" s="57" t="s">
        <v>1287</v>
      </c>
      <c r="BT63" s="57" t="s">
        <v>1287</v>
      </c>
      <c r="BU63" s="57" t="s">
        <v>1287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1460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1374</v>
      </c>
      <c r="BF64" s="118">
        <v>2</v>
      </c>
      <c r="BG64" s="49" t="s">
        <v>1</v>
      </c>
      <c r="BH64" s="49" t="s">
        <v>1</v>
      </c>
      <c r="BI64" s="1"/>
      <c r="BJ64" s="70" t="s">
        <v>1287</v>
      </c>
      <c r="BK64" s="57" t="s">
        <v>1287</v>
      </c>
      <c r="BL64" s="57" t="s">
        <v>1287</v>
      </c>
      <c r="BM64" s="57" t="s">
        <v>1287</v>
      </c>
      <c r="BN64" s="57" t="s">
        <v>1287</v>
      </c>
      <c r="BO64" s="57" t="s">
        <v>1287</v>
      </c>
      <c r="BP64" s="57" t="s">
        <v>1287</v>
      </c>
      <c r="BQ64" s="57" t="s">
        <v>1287</v>
      </c>
      <c r="BR64" s="57" t="s">
        <v>1287</v>
      </c>
      <c r="BS64" s="57" t="s">
        <v>1287</v>
      </c>
      <c r="BT64" s="57" t="s">
        <v>1287</v>
      </c>
      <c r="BU64" s="57" t="s">
        <v>1287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1461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1374</v>
      </c>
      <c r="BF65" s="118">
        <v>2.5099999999999998</v>
      </c>
      <c r="BG65" s="49" t="s">
        <v>1</v>
      </c>
      <c r="BH65" s="49" t="s">
        <v>1</v>
      </c>
      <c r="BI65" s="1"/>
      <c r="BJ65" s="70" t="s">
        <v>1287</v>
      </c>
      <c r="BK65" s="57" t="s">
        <v>1287</v>
      </c>
      <c r="BL65" s="57" t="s">
        <v>1287</v>
      </c>
      <c r="BM65" s="57" t="s">
        <v>1287</v>
      </c>
      <c r="BN65" s="57" t="s">
        <v>1287</v>
      </c>
      <c r="BO65" s="57" t="s">
        <v>1287</v>
      </c>
      <c r="BP65" s="57" t="s">
        <v>1287</v>
      </c>
      <c r="BQ65" s="57" t="s">
        <v>1287</v>
      </c>
      <c r="BR65" s="57" t="s">
        <v>1287</v>
      </c>
      <c r="BS65" s="57" t="s">
        <v>1287</v>
      </c>
      <c r="BT65" s="57" t="s">
        <v>1287</v>
      </c>
      <c r="BU65" s="57" t="s">
        <v>1287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1470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1471</v>
      </c>
      <c r="BF66" s="118">
        <v>2.6</v>
      </c>
      <c r="BG66" s="49" t="s">
        <v>1</v>
      </c>
      <c r="BH66" s="49" t="s">
        <v>1</v>
      </c>
      <c r="BI66" s="1"/>
      <c r="BJ66" s="70" t="s">
        <v>1287</v>
      </c>
      <c r="BK66" s="57" t="s">
        <v>1287</v>
      </c>
      <c r="BL66" s="57" t="s">
        <v>1287</v>
      </c>
      <c r="BM66" s="57" t="s">
        <v>1287</v>
      </c>
      <c r="BN66" s="57" t="s">
        <v>1287</v>
      </c>
      <c r="BO66" s="57" t="s">
        <v>1287</v>
      </c>
      <c r="BP66" s="57" t="s">
        <v>1287</v>
      </c>
      <c r="BQ66" s="57" t="s">
        <v>1287</v>
      </c>
      <c r="BR66" s="57" t="s">
        <v>1287</v>
      </c>
      <c r="BS66" s="57" t="s">
        <v>1287</v>
      </c>
      <c r="BT66" s="57" t="s">
        <v>1287</v>
      </c>
      <c r="BU66" s="57" t="s">
        <v>1287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1472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1471</v>
      </c>
      <c r="BF67" s="118">
        <v>2.9</v>
      </c>
      <c r="BG67" s="49" t="s">
        <v>1</v>
      </c>
      <c r="BH67" s="49" t="s">
        <v>1</v>
      </c>
      <c r="BI67" s="1"/>
      <c r="BJ67" s="70" t="s">
        <v>1287</v>
      </c>
      <c r="BK67" s="57" t="s">
        <v>1287</v>
      </c>
      <c r="BL67" s="57" t="s">
        <v>1287</v>
      </c>
      <c r="BM67" s="57" t="s">
        <v>1287</v>
      </c>
      <c r="BN67" s="57" t="s">
        <v>1287</v>
      </c>
      <c r="BO67" s="57" t="s">
        <v>1287</v>
      </c>
      <c r="BP67" s="57" t="s">
        <v>1287</v>
      </c>
      <c r="BQ67" s="57" t="s">
        <v>1287</v>
      </c>
      <c r="BR67" s="57" t="s">
        <v>1287</v>
      </c>
      <c r="BS67" s="57" t="s">
        <v>1287</v>
      </c>
      <c r="BT67" s="57" t="s">
        <v>1287</v>
      </c>
      <c r="BU67" s="57" t="s">
        <v>1287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1492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1291</v>
      </c>
      <c r="BF68" s="118">
        <v>4.1100000000000003</v>
      </c>
      <c r="BG68" s="49" t="s">
        <v>1</v>
      </c>
      <c r="BH68" s="49" t="s">
        <v>1</v>
      </c>
      <c r="BI68" s="1"/>
      <c r="BJ68" s="70" t="s">
        <v>1287</v>
      </c>
      <c r="BK68" s="57" t="s">
        <v>1287</v>
      </c>
      <c r="BL68" s="57" t="s">
        <v>1287</v>
      </c>
      <c r="BM68" s="57" t="s">
        <v>1287</v>
      </c>
      <c r="BN68" s="57" t="s">
        <v>1287</v>
      </c>
      <c r="BO68" s="57" t="s">
        <v>1287</v>
      </c>
      <c r="BP68" s="57" t="s">
        <v>1287</v>
      </c>
      <c r="BQ68" s="57" t="s">
        <v>1287</v>
      </c>
      <c r="BR68" s="57" t="s">
        <v>1287</v>
      </c>
      <c r="BS68" s="57" t="s">
        <v>1287</v>
      </c>
      <c r="BT68" s="57" t="s">
        <v>1287</v>
      </c>
      <c r="BU68" s="57" t="s">
        <v>1287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s="12" customFormat="1" x14ac:dyDescent="0.2">
      <c r="A69" s="9" t="str">
        <f t="shared" ref="A69" si="335">CONCATENATE(B69,"_",C69)</f>
        <v>aa2ar_human_6MH8</v>
      </c>
      <c r="B69" s="9" t="s">
        <v>139</v>
      </c>
      <c r="C69" s="9" t="s">
        <v>1572</v>
      </c>
      <c r="D69" s="9" t="str">
        <f>IFERROR(MID(VLOOKUP($B69,Seqs!$A:$B,2,0),E69,1),"")</f>
        <v>M</v>
      </c>
      <c r="E69" s="9">
        <v>1</v>
      </c>
      <c r="F69" s="9" t="str">
        <f>IFERROR(MID(VLOOKUP($B69,Seqs!$A:$B,2,0),G69,1),"")</f>
        <v>N</v>
      </c>
      <c r="G69" s="9">
        <v>34</v>
      </c>
      <c r="H69" s="9" t="str">
        <f>IFERROR(MID(VLOOKUP($B69,Seqs!$A:$B,2,0),I69,1),"")</f>
        <v>S</v>
      </c>
      <c r="I69" s="109">
        <v>35</v>
      </c>
      <c r="J69" s="9" t="str">
        <f>IFERROR(MID(VLOOKUP($B69,Seqs!$A:$B,2,0),K69,1),"")</f>
        <v>Q</v>
      </c>
      <c r="K69" s="109">
        <v>38</v>
      </c>
      <c r="L69" s="9" t="str">
        <f>IFERROR(MID(VLOOKUP($B69,Seqs!$A:$B,2,0),M69,1),"")</f>
        <v>N</v>
      </c>
      <c r="M69" s="9">
        <v>39</v>
      </c>
      <c r="N69" s="9" t="str">
        <f>IFERROR(MID(VLOOKUP($B69,Seqs!$A:$B,2,0),O69,1),"")</f>
        <v>G</v>
      </c>
      <c r="O69" s="9">
        <v>69</v>
      </c>
      <c r="P69" s="9" t="str">
        <f>IFERROR(MID(VLOOKUP($B69,Seqs!$A:$B,2,0),Q69,1),"")</f>
        <v>F</v>
      </c>
      <c r="Q69" s="9">
        <v>70</v>
      </c>
      <c r="R69" s="9" t="str">
        <f>IFERROR(MID(VLOOKUP($B69,Seqs!$A:$B,2,0),S69,1),"")</f>
        <v>A</v>
      </c>
      <c r="S69" s="9">
        <v>72</v>
      </c>
      <c r="T69" s="9" t="str">
        <f>IFERROR(MID(VLOOKUP($B69,Seqs!$A:$B,2,0),U69,1),"")</f>
        <v>A</v>
      </c>
      <c r="U69" s="9">
        <v>73</v>
      </c>
      <c r="V69" s="9" t="str">
        <f>IFERROR(MID(VLOOKUP($B69,Seqs!$A:$B,2,0),W69,1),"")</f>
        <v>I</v>
      </c>
      <c r="W69" s="9">
        <v>108</v>
      </c>
      <c r="X69" s="9" t="str">
        <f>IFERROR(MID(VLOOKUP($B69,Seqs!$A:$B,2,0),Y69,1),"")</f>
        <v>P</v>
      </c>
      <c r="Y69" s="9">
        <v>109</v>
      </c>
      <c r="Z69" s="9" t="str">
        <f>IFERROR(MID(VLOOKUP($B69,Seqs!$A:$B,2,0),AA69,1),"")</f>
        <v>V</v>
      </c>
      <c r="AA69" s="9">
        <v>116</v>
      </c>
      <c r="AB69" s="9" t="str">
        <f>IFERROR(MID(VLOOKUP($B69,Seqs!$A:$B,2,0),AC69,1),"")</f>
        <v>T</v>
      </c>
      <c r="AC69" s="9">
        <v>117</v>
      </c>
      <c r="AD69" s="9" t="str">
        <f>IFERROR(MID(VLOOKUP($B69,Seqs!$A:$B,2,0),AE69,1),"")</f>
        <v>G</v>
      </c>
      <c r="AE69" s="9">
        <v>142</v>
      </c>
      <c r="AF69" s="9" t="str">
        <f>IFERROR(MID(VLOOKUP($B69,Seqs!$A:$B,2,0),AG69,1),"")</f>
        <v>C</v>
      </c>
      <c r="AG69" s="9">
        <v>166</v>
      </c>
      <c r="AH69" s="9" t="str">
        <f>IFERROR(MID(VLOOKUP($B69,Seqs!$A:$B,2,0),AI69,1),"")</f>
        <v>F</v>
      </c>
      <c r="AI69" s="9">
        <v>168</v>
      </c>
      <c r="AJ69" s="9" t="str">
        <f>IFERROR(MID(VLOOKUP($B69,Seqs!$A:$B,2,0),AK69,1),"")</f>
        <v>P</v>
      </c>
      <c r="AK69" s="9">
        <v>173</v>
      </c>
      <c r="AL69" s="9" t="str">
        <f>IFERROR(MID(VLOOKUP($B69,Seqs!$A:$B,2,0),AM69,1),"")</f>
        <v>L</v>
      </c>
      <c r="AM69" s="9">
        <v>208</v>
      </c>
      <c r="AN69" s="9" t="str">
        <f>IFERROR(MID(VLOOKUP($B69,Seqs!$A:$B,2,0),AO69,1),"")</f>
        <v>E</v>
      </c>
      <c r="AO69" s="9">
        <v>219</v>
      </c>
      <c r="AP69" s="9" t="str">
        <f>IFERROR(MID(VLOOKUP($B69,Seqs!$A:$B,2,0),AQ69,1),"")</f>
        <v>C</v>
      </c>
      <c r="AQ69" s="9">
        <v>259</v>
      </c>
      <c r="AR69" s="9" t="str">
        <f>IFERROR(MID(VLOOKUP($B69,Seqs!$A:$B,2,0),AS69,1),"")</f>
        <v>P</v>
      </c>
      <c r="AS69" s="9">
        <v>266</v>
      </c>
      <c r="AT69" s="9" t="str">
        <f>IFERROR(MID(VLOOKUP($B69,Seqs!$A:$B,2,0),AU69,1),"")</f>
        <v>R</v>
      </c>
      <c r="AU69" s="9">
        <v>291</v>
      </c>
      <c r="AV69" s="9" t="str">
        <f>IFERROR(MID(VLOOKUP($B69,Seqs!$A:$B,2,0),AW69,1),"")</f>
        <v>I</v>
      </c>
      <c r="AW69" s="9">
        <v>292</v>
      </c>
      <c r="AX69" s="9" t="str">
        <f>IFERROR(MID(VLOOKUP($B69,Seqs!$A:$B,2,0),AY69,1),"")</f>
        <v>H</v>
      </c>
      <c r="AY69" s="9">
        <v>306</v>
      </c>
      <c r="AZ69" s="110" t="str">
        <f>VLOOKUP(B69,Classification!A:D,2,0)</f>
        <v>A</v>
      </c>
      <c r="BA69" s="98" t="str">
        <f>VLOOKUP(B69,Classification!A:D,4,0)</f>
        <v>Adenosine</v>
      </c>
      <c r="BB69" s="36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109">
        <f t="shared" ref="BC69" si="337">_xlfn.AGGREGATE(9,6,CH69:CS69)-_xlfn.AGGREGATE(9,6,BV69:CG69)+12</f>
        <v>263</v>
      </c>
      <c r="BD69" s="13" t="s">
        <v>23</v>
      </c>
      <c r="BE69" s="9" t="s">
        <v>1374</v>
      </c>
      <c r="BF69" s="119">
        <v>4.2</v>
      </c>
      <c r="BG69" s="51" t="s">
        <v>1</v>
      </c>
      <c r="BH69" s="51" t="s">
        <v>1</v>
      </c>
      <c r="BJ69" s="111" t="s">
        <v>1287</v>
      </c>
      <c r="BK69" s="112" t="s">
        <v>1287</v>
      </c>
      <c r="BL69" s="112" t="s">
        <v>1287</v>
      </c>
      <c r="BM69" s="112" t="s">
        <v>1287</v>
      </c>
      <c r="BN69" s="112" t="s">
        <v>1287</v>
      </c>
      <c r="BO69" s="112" t="s">
        <v>1287</v>
      </c>
      <c r="BP69" s="112" t="s">
        <v>1287</v>
      </c>
      <c r="BQ69" s="112" t="s">
        <v>1287</v>
      </c>
      <c r="BR69" s="112" t="s">
        <v>1287</v>
      </c>
      <c r="BS69" s="112" t="s">
        <v>1287</v>
      </c>
      <c r="BT69" s="112" t="s">
        <v>1287</v>
      </c>
      <c r="BU69" s="112" t="s">
        <v>1287</v>
      </c>
      <c r="BV69" s="111">
        <f t="shared" ref="BV69" si="338">E69</f>
        <v>1</v>
      </c>
      <c r="BW69" s="113">
        <f t="shared" ref="BW69" si="339">I69</f>
        <v>35</v>
      </c>
      <c r="BX69" s="114">
        <f t="shared" ref="BX69" si="340">M69</f>
        <v>39</v>
      </c>
      <c r="BY69" s="113">
        <f t="shared" ref="BY69" si="341">Q69</f>
        <v>70</v>
      </c>
      <c r="BZ69" s="114">
        <f t="shared" ref="BZ69" si="342">U69</f>
        <v>73</v>
      </c>
      <c r="CA69" s="113">
        <f t="shared" ref="CA69" si="343">Y69</f>
        <v>109</v>
      </c>
      <c r="CB69" s="114">
        <f t="shared" ref="CB69" si="344">AC69</f>
        <v>117</v>
      </c>
      <c r="CC69" s="113">
        <f t="shared" ref="CC69" si="345">AG69</f>
        <v>166</v>
      </c>
      <c r="CD69" s="114">
        <f t="shared" ref="CD69" si="346">AK69</f>
        <v>173</v>
      </c>
      <c r="CE69" s="113">
        <f t="shared" ref="CE69" si="347">AO69</f>
        <v>219</v>
      </c>
      <c r="CF69" s="114">
        <f t="shared" ref="CF69" si="348">AS69</f>
        <v>266</v>
      </c>
      <c r="CG69" s="113">
        <f t="shared" ref="CG69" si="349">AW69</f>
        <v>292</v>
      </c>
      <c r="CH69" s="111">
        <f t="shared" ref="CH69" si="350">G69</f>
        <v>34</v>
      </c>
      <c r="CI69" s="113">
        <f t="shared" ref="CI69" si="351">K69</f>
        <v>38</v>
      </c>
      <c r="CJ69" s="114">
        <f t="shared" ref="CJ69" si="352">O69</f>
        <v>69</v>
      </c>
      <c r="CK69" s="114">
        <f t="shared" ref="CK69" si="353">S69</f>
        <v>72</v>
      </c>
      <c r="CL69" s="114">
        <f t="shared" ref="CL69" si="354">W69</f>
        <v>108</v>
      </c>
      <c r="CM69" s="114">
        <f t="shared" ref="CM69" si="355">AA69</f>
        <v>116</v>
      </c>
      <c r="CN69" s="114">
        <f t="shared" ref="CN69" si="356">AE69</f>
        <v>142</v>
      </c>
      <c r="CO69" s="114">
        <f t="shared" ref="CO69" si="357">AI69</f>
        <v>168</v>
      </c>
      <c r="CP69" s="114">
        <f t="shared" ref="CP69" si="358">AM69</f>
        <v>208</v>
      </c>
      <c r="CQ69" s="114">
        <f t="shared" ref="CQ69" si="359">AQ69</f>
        <v>259</v>
      </c>
      <c r="CR69" s="114">
        <f t="shared" ref="CR69" si="360">AU69</f>
        <v>291</v>
      </c>
      <c r="CS69" s="114">
        <f t="shared" ref="CS69" si="361">AY69</f>
        <v>306</v>
      </c>
      <c r="CT69" s="109">
        <f t="shared" ref="CT69" si="362">M69-K69</f>
        <v>1</v>
      </c>
    </row>
    <row r="70" spans="1:1029" s="12" customFormat="1" x14ac:dyDescent="0.2">
      <c r="A70" s="9" t="str">
        <f t="shared" ref="A70" si="363">CONCATENATE(B70,"_",C70)</f>
        <v>aa2ar_human_6MH9</v>
      </c>
      <c r="B70" s="9" t="s">
        <v>139</v>
      </c>
      <c r="C70" s="9" t="s">
        <v>1582</v>
      </c>
      <c r="D70" s="9" t="str">
        <f>IFERROR(MID(VLOOKUP($B70,Seqs!$A:$B,2,0),E70,1),"")</f>
        <v>M</v>
      </c>
      <c r="E70" s="9">
        <v>1</v>
      </c>
      <c r="F70" s="9" t="str">
        <f>IFERROR(MID(VLOOKUP($B70,Seqs!$A:$B,2,0),G70,1),"")</f>
        <v>N</v>
      </c>
      <c r="G70" s="9">
        <v>34</v>
      </c>
      <c r="H70" s="9" t="str">
        <f>IFERROR(MID(VLOOKUP($B70,Seqs!$A:$B,2,0),I70,1),"")</f>
        <v>S</v>
      </c>
      <c r="I70" s="109">
        <v>35</v>
      </c>
      <c r="J70" s="9" t="str">
        <f>IFERROR(MID(VLOOKUP($B70,Seqs!$A:$B,2,0),K70,1),"")</f>
        <v>Q</v>
      </c>
      <c r="K70" s="109">
        <v>38</v>
      </c>
      <c r="L70" s="9" t="str">
        <f>IFERROR(MID(VLOOKUP($B70,Seqs!$A:$B,2,0),M70,1),"")</f>
        <v>N</v>
      </c>
      <c r="M70" s="9">
        <v>39</v>
      </c>
      <c r="N70" s="9" t="str">
        <f>IFERROR(MID(VLOOKUP($B70,Seqs!$A:$B,2,0),O70,1),"")</f>
        <v>G</v>
      </c>
      <c r="O70" s="9">
        <v>69</v>
      </c>
      <c r="P70" s="9" t="str">
        <f>IFERROR(MID(VLOOKUP($B70,Seqs!$A:$B,2,0),Q70,1),"")</f>
        <v>F</v>
      </c>
      <c r="Q70" s="9">
        <v>70</v>
      </c>
      <c r="R70" s="9" t="str">
        <f>IFERROR(MID(VLOOKUP($B70,Seqs!$A:$B,2,0),S70,1),"")</f>
        <v>A</v>
      </c>
      <c r="S70" s="9">
        <v>72</v>
      </c>
      <c r="T70" s="9" t="str">
        <f>IFERROR(MID(VLOOKUP($B70,Seqs!$A:$B,2,0),U70,1),"")</f>
        <v>A</v>
      </c>
      <c r="U70" s="9">
        <v>73</v>
      </c>
      <c r="V70" s="9" t="str">
        <f>IFERROR(MID(VLOOKUP($B70,Seqs!$A:$B,2,0),W70,1),"")</f>
        <v>I</v>
      </c>
      <c r="W70" s="9">
        <v>108</v>
      </c>
      <c r="X70" s="9" t="str">
        <f>IFERROR(MID(VLOOKUP($B70,Seqs!$A:$B,2,0),Y70,1),"")</f>
        <v>P</v>
      </c>
      <c r="Y70" s="9">
        <v>109</v>
      </c>
      <c r="Z70" s="9" t="str">
        <f>IFERROR(MID(VLOOKUP($B70,Seqs!$A:$B,2,0),AA70,1),"")</f>
        <v>V</v>
      </c>
      <c r="AA70" s="9">
        <v>116</v>
      </c>
      <c r="AB70" s="9" t="str">
        <f>IFERROR(MID(VLOOKUP($B70,Seqs!$A:$B,2,0),AC70,1),"")</f>
        <v>T</v>
      </c>
      <c r="AC70" s="9">
        <v>117</v>
      </c>
      <c r="AD70" s="9" t="str">
        <f>IFERROR(MID(VLOOKUP($B70,Seqs!$A:$B,2,0),AE70,1),"")</f>
        <v>G</v>
      </c>
      <c r="AE70" s="9">
        <v>142</v>
      </c>
      <c r="AF70" s="9" t="str">
        <f>IFERROR(MID(VLOOKUP($B70,Seqs!$A:$B,2,0),AG70,1),"")</f>
        <v>C</v>
      </c>
      <c r="AG70" s="9">
        <v>166</v>
      </c>
      <c r="AH70" s="9" t="str">
        <f>IFERROR(MID(VLOOKUP($B70,Seqs!$A:$B,2,0),AI70,1),"")</f>
        <v>F</v>
      </c>
      <c r="AI70" s="9">
        <v>168</v>
      </c>
      <c r="AJ70" s="9" t="str">
        <f>IFERROR(MID(VLOOKUP($B70,Seqs!$A:$B,2,0),AK70,1),"")</f>
        <v>P</v>
      </c>
      <c r="AK70" s="9">
        <v>173</v>
      </c>
      <c r="AL70" s="9" t="str">
        <f>IFERROR(MID(VLOOKUP($B70,Seqs!$A:$B,2,0),AM70,1),"")</f>
        <v>L</v>
      </c>
      <c r="AM70" s="9">
        <v>208</v>
      </c>
      <c r="AN70" s="9" t="str">
        <f>IFERROR(MID(VLOOKUP($B70,Seqs!$A:$B,2,0),AO70,1),"")</f>
        <v>E</v>
      </c>
      <c r="AO70" s="9">
        <v>219</v>
      </c>
      <c r="AP70" s="9" t="str">
        <f>IFERROR(MID(VLOOKUP($B70,Seqs!$A:$B,2,0),AQ70,1),"")</f>
        <v>C</v>
      </c>
      <c r="AQ70" s="9">
        <v>259</v>
      </c>
      <c r="AR70" s="9" t="str">
        <f>IFERROR(MID(VLOOKUP($B70,Seqs!$A:$B,2,0),AS70,1),"")</f>
        <v>P</v>
      </c>
      <c r="AS70" s="9">
        <v>266</v>
      </c>
      <c r="AT70" s="9" t="str">
        <f>IFERROR(MID(VLOOKUP($B70,Seqs!$A:$B,2,0),AU70,1),"")</f>
        <v>R</v>
      </c>
      <c r="AU70" s="9">
        <v>291</v>
      </c>
      <c r="AV70" s="9" t="str">
        <f>IFERROR(MID(VLOOKUP($B70,Seqs!$A:$B,2,0),AW70,1),"")</f>
        <v>I</v>
      </c>
      <c r="AW70" s="9">
        <v>292</v>
      </c>
      <c r="AX70" s="9" t="str">
        <f>IFERROR(MID(VLOOKUP($B70,Seqs!$A:$B,2,0),AY70,1),"")</f>
        <v>H</v>
      </c>
      <c r="AY70" s="9">
        <v>306</v>
      </c>
      <c r="AZ70" s="110" t="str">
        <f>VLOOKUP(B70,Classification!A:D,2,0)</f>
        <v>A</v>
      </c>
      <c r="BA70" s="98" t="str">
        <f>VLOOKUP(B70,Classification!A:D,4,0)</f>
        <v>Adenosine</v>
      </c>
      <c r="BB70" s="36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365">_xlfn.AGGREGATE(9,6,CH70:CS70)-_xlfn.AGGREGATE(9,6,BV70:CG70)+12</f>
        <v>263</v>
      </c>
      <c r="BD70" s="13" t="s">
        <v>23</v>
      </c>
      <c r="BE70" s="9" t="s">
        <v>1374</v>
      </c>
      <c r="BF70" s="119">
        <v>2</v>
      </c>
      <c r="BG70" s="51" t="s">
        <v>1</v>
      </c>
      <c r="BH70" s="51" t="s">
        <v>1</v>
      </c>
      <c r="BJ70" s="111" t="s">
        <v>1287</v>
      </c>
      <c r="BK70" s="112" t="s">
        <v>1287</v>
      </c>
      <c r="BL70" s="112" t="s">
        <v>1287</v>
      </c>
      <c r="BM70" s="112" t="s">
        <v>1287</v>
      </c>
      <c r="BN70" s="112" t="s">
        <v>1287</v>
      </c>
      <c r="BO70" s="112" t="s">
        <v>1287</v>
      </c>
      <c r="BP70" s="112" t="s">
        <v>1287</v>
      </c>
      <c r="BQ70" s="112" t="s">
        <v>1287</v>
      </c>
      <c r="BR70" s="112" t="s">
        <v>1287</v>
      </c>
      <c r="BS70" s="112" t="s">
        <v>1287</v>
      </c>
      <c r="BT70" s="112" t="s">
        <v>1287</v>
      </c>
      <c r="BU70" s="112" t="s">
        <v>1287</v>
      </c>
      <c r="BV70" s="111">
        <f t="shared" ref="BV70" si="366">E70</f>
        <v>1</v>
      </c>
      <c r="BW70" s="113">
        <f t="shared" ref="BW70" si="367">I70</f>
        <v>35</v>
      </c>
      <c r="BX70" s="114">
        <f t="shared" ref="BX70" si="368">M70</f>
        <v>39</v>
      </c>
      <c r="BY70" s="113">
        <f t="shared" ref="BY70" si="369">Q70</f>
        <v>70</v>
      </c>
      <c r="BZ70" s="114">
        <f t="shared" ref="BZ70" si="370">U70</f>
        <v>73</v>
      </c>
      <c r="CA70" s="113">
        <f t="shared" ref="CA70" si="371">Y70</f>
        <v>109</v>
      </c>
      <c r="CB70" s="114">
        <f t="shared" ref="CB70" si="372">AC70</f>
        <v>117</v>
      </c>
      <c r="CC70" s="113">
        <f t="shared" ref="CC70" si="373">AG70</f>
        <v>166</v>
      </c>
      <c r="CD70" s="114">
        <f t="shared" ref="CD70" si="374">AK70</f>
        <v>173</v>
      </c>
      <c r="CE70" s="113">
        <f t="shared" ref="CE70" si="375">AO70</f>
        <v>219</v>
      </c>
      <c r="CF70" s="114">
        <f t="shared" ref="CF70" si="376">AS70</f>
        <v>266</v>
      </c>
      <c r="CG70" s="113">
        <f t="shared" ref="CG70" si="377">AW70</f>
        <v>292</v>
      </c>
      <c r="CH70" s="111">
        <f t="shared" ref="CH70" si="378">G70</f>
        <v>34</v>
      </c>
      <c r="CI70" s="113">
        <f t="shared" ref="CI70" si="379">K70</f>
        <v>38</v>
      </c>
      <c r="CJ70" s="114">
        <f t="shared" ref="CJ70" si="380">O70</f>
        <v>69</v>
      </c>
      <c r="CK70" s="114">
        <f t="shared" ref="CK70" si="381">S70</f>
        <v>72</v>
      </c>
      <c r="CL70" s="114">
        <f t="shared" ref="CL70" si="382">W70</f>
        <v>108</v>
      </c>
      <c r="CM70" s="114">
        <f t="shared" ref="CM70" si="383">AA70</f>
        <v>116</v>
      </c>
      <c r="CN70" s="114">
        <f t="shared" ref="CN70" si="384">AE70</f>
        <v>142</v>
      </c>
      <c r="CO70" s="114">
        <f t="shared" ref="CO70" si="385">AI70</f>
        <v>168</v>
      </c>
      <c r="CP70" s="114">
        <f t="shared" ref="CP70" si="386">AM70</f>
        <v>208</v>
      </c>
      <c r="CQ70" s="114">
        <f t="shared" ref="CQ70" si="387">AQ70</f>
        <v>259</v>
      </c>
      <c r="CR70" s="114">
        <f t="shared" ref="CR70" si="388">AU70</f>
        <v>291</v>
      </c>
      <c r="CS70" s="114">
        <f t="shared" ref="CS70" si="389">AY70</f>
        <v>306</v>
      </c>
      <c r="CT70" s="109">
        <f t="shared" ref="CT70" si="390">M70-K70</f>
        <v>1</v>
      </c>
    </row>
    <row r="71" spans="1:1029" s="12" customFormat="1" x14ac:dyDescent="0.2">
      <c r="A71" s="9" t="str">
        <f t="shared" ref="A71" si="391">CONCATENATE(B71,"_",C71)</f>
        <v>aa2ar_human_6GT3</v>
      </c>
      <c r="B71" s="9" t="s">
        <v>139</v>
      </c>
      <c r="C71" s="9" t="s">
        <v>1589</v>
      </c>
      <c r="D71" s="9" t="str">
        <f>IFERROR(MID(VLOOKUP($B71,Seqs!$A:$B,2,0),E71,1),"")</f>
        <v>M</v>
      </c>
      <c r="E71" s="9">
        <v>1</v>
      </c>
      <c r="F71" s="9" t="str">
        <f>IFERROR(MID(VLOOKUP($B71,Seqs!$A:$B,2,0),G71,1),"")</f>
        <v>N</v>
      </c>
      <c r="G71" s="9">
        <v>34</v>
      </c>
      <c r="H71" s="9" t="str">
        <f>IFERROR(MID(VLOOKUP($B71,Seqs!$A:$B,2,0),I71,1),"")</f>
        <v>S</v>
      </c>
      <c r="I71" s="109">
        <v>35</v>
      </c>
      <c r="J71" s="9" t="str">
        <f>IFERROR(MID(VLOOKUP($B71,Seqs!$A:$B,2,0),K71,1),"")</f>
        <v>Q</v>
      </c>
      <c r="K71" s="109">
        <v>38</v>
      </c>
      <c r="L71" s="9" t="str">
        <f>IFERROR(MID(VLOOKUP($B71,Seqs!$A:$B,2,0),M71,1),"")</f>
        <v>N</v>
      </c>
      <c r="M71" s="9">
        <v>39</v>
      </c>
      <c r="N71" s="9" t="str">
        <f>IFERROR(MID(VLOOKUP($B71,Seqs!$A:$B,2,0),O71,1),"")</f>
        <v>G</v>
      </c>
      <c r="O71" s="9">
        <v>69</v>
      </c>
      <c r="P71" s="9" t="str">
        <f>IFERROR(MID(VLOOKUP($B71,Seqs!$A:$B,2,0),Q71,1),"")</f>
        <v>F</v>
      </c>
      <c r="Q71" s="9">
        <v>70</v>
      </c>
      <c r="R71" s="9" t="str">
        <f>IFERROR(MID(VLOOKUP($B71,Seqs!$A:$B,2,0),S71,1),"")</f>
        <v>A</v>
      </c>
      <c r="S71" s="9">
        <v>72</v>
      </c>
      <c r="T71" s="9" t="str">
        <f>IFERROR(MID(VLOOKUP($B71,Seqs!$A:$B,2,0),U71,1),"")</f>
        <v>A</v>
      </c>
      <c r="U71" s="9">
        <v>73</v>
      </c>
      <c r="V71" s="9" t="str">
        <f>IFERROR(MID(VLOOKUP($B71,Seqs!$A:$B,2,0),W71,1),"")</f>
        <v>I</v>
      </c>
      <c r="W71" s="9">
        <v>108</v>
      </c>
      <c r="X71" s="9" t="str">
        <f>IFERROR(MID(VLOOKUP($B71,Seqs!$A:$B,2,0),Y71,1),"")</f>
        <v>P</v>
      </c>
      <c r="Y71" s="9">
        <v>109</v>
      </c>
      <c r="Z71" s="9" t="str">
        <f>IFERROR(MID(VLOOKUP($B71,Seqs!$A:$B,2,0),AA71,1),"")</f>
        <v>V</v>
      </c>
      <c r="AA71" s="9">
        <v>116</v>
      </c>
      <c r="AB71" s="9" t="str">
        <f>IFERROR(MID(VLOOKUP($B71,Seqs!$A:$B,2,0),AC71,1),"")</f>
        <v>T</v>
      </c>
      <c r="AC71" s="9">
        <v>117</v>
      </c>
      <c r="AD71" s="9" t="str">
        <f>IFERROR(MID(VLOOKUP($B71,Seqs!$A:$B,2,0),AE71,1),"")</f>
        <v>G</v>
      </c>
      <c r="AE71" s="9">
        <v>142</v>
      </c>
      <c r="AF71" s="9" t="str">
        <f>IFERROR(MID(VLOOKUP($B71,Seqs!$A:$B,2,0),AG71,1),"")</f>
        <v>C</v>
      </c>
      <c r="AG71" s="9">
        <v>166</v>
      </c>
      <c r="AH71" s="9" t="str">
        <f>IFERROR(MID(VLOOKUP($B71,Seqs!$A:$B,2,0),AI71,1),"")</f>
        <v>F</v>
      </c>
      <c r="AI71" s="9">
        <v>168</v>
      </c>
      <c r="AJ71" s="9" t="str">
        <f>IFERROR(MID(VLOOKUP($B71,Seqs!$A:$B,2,0),AK71,1),"")</f>
        <v>P</v>
      </c>
      <c r="AK71" s="9">
        <v>173</v>
      </c>
      <c r="AL71" s="9" t="str">
        <f>IFERROR(MID(VLOOKUP($B71,Seqs!$A:$B,2,0),AM71,1),"")</f>
        <v>L</v>
      </c>
      <c r="AM71" s="9">
        <v>208</v>
      </c>
      <c r="AN71" s="9" t="str">
        <f>IFERROR(MID(VLOOKUP($B71,Seqs!$A:$B,2,0),AO71,1),"")</f>
        <v>E</v>
      </c>
      <c r="AO71" s="9">
        <v>219</v>
      </c>
      <c r="AP71" s="9" t="str">
        <f>IFERROR(MID(VLOOKUP($B71,Seqs!$A:$B,2,0),AQ71,1),"")</f>
        <v>C</v>
      </c>
      <c r="AQ71" s="9">
        <v>259</v>
      </c>
      <c r="AR71" s="9" t="str">
        <f>IFERROR(MID(VLOOKUP($B71,Seqs!$A:$B,2,0),AS71,1),"")</f>
        <v>P</v>
      </c>
      <c r="AS71" s="9">
        <v>266</v>
      </c>
      <c r="AT71" s="9" t="str">
        <f>IFERROR(MID(VLOOKUP($B71,Seqs!$A:$B,2,0),AU71,1),"")</f>
        <v>R</v>
      </c>
      <c r="AU71" s="9">
        <v>291</v>
      </c>
      <c r="AV71" s="9" t="str">
        <f>IFERROR(MID(VLOOKUP($B71,Seqs!$A:$B,2,0),AW71,1),"")</f>
        <v>I</v>
      </c>
      <c r="AW71" s="9">
        <v>292</v>
      </c>
      <c r="AX71" s="9" t="str">
        <f>IFERROR(MID(VLOOKUP($B71,Seqs!$A:$B,2,0),AY71,1),"")</f>
        <v>S</v>
      </c>
      <c r="AY71" s="9">
        <v>305</v>
      </c>
      <c r="AZ71" s="110" t="str">
        <f>VLOOKUP(B71,Classification!A:D,2,0)</f>
        <v>A</v>
      </c>
      <c r="BA71" s="98" t="str">
        <f>VLOOKUP(B71,Classification!A:D,4,0)</f>
        <v>Adenosine</v>
      </c>
      <c r="BB71" s="36" t="b">
        <f t="shared" ref="BB71" si="392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109">
        <f t="shared" ref="BC71" si="393">_xlfn.AGGREGATE(9,6,CH71:CS71)-_xlfn.AGGREGATE(9,6,BV71:CG71)+12</f>
        <v>262</v>
      </c>
      <c r="BD71" s="13" t="s">
        <v>23</v>
      </c>
      <c r="BE71" s="9" t="s">
        <v>1374</v>
      </c>
      <c r="BF71" s="119">
        <v>2</v>
      </c>
      <c r="BG71" s="51" t="s">
        <v>1</v>
      </c>
      <c r="BH71" s="51" t="s">
        <v>1</v>
      </c>
      <c r="BJ71" s="111" t="s">
        <v>1287</v>
      </c>
      <c r="BK71" s="112" t="s">
        <v>1287</v>
      </c>
      <c r="BL71" s="112" t="s">
        <v>1287</v>
      </c>
      <c r="BM71" s="112" t="s">
        <v>1287</v>
      </c>
      <c r="BN71" s="112" t="s">
        <v>1287</v>
      </c>
      <c r="BO71" s="112" t="s">
        <v>1287</v>
      </c>
      <c r="BP71" s="112" t="s">
        <v>1287</v>
      </c>
      <c r="BQ71" s="112" t="s">
        <v>1287</v>
      </c>
      <c r="BR71" s="112" t="s">
        <v>1287</v>
      </c>
      <c r="BS71" s="112" t="s">
        <v>1287</v>
      </c>
      <c r="BT71" s="112" t="s">
        <v>1287</v>
      </c>
      <c r="BU71" s="112" t="s">
        <v>1287</v>
      </c>
      <c r="BV71" s="111">
        <f t="shared" ref="BV71" si="394">E71</f>
        <v>1</v>
      </c>
      <c r="BW71" s="113">
        <f t="shared" ref="BW71" si="395">I71</f>
        <v>35</v>
      </c>
      <c r="BX71" s="114">
        <f t="shared" ref="BX71" si="396">M71</f>
        <v>39</v>
      </c>
      <c r="BY71" s="113">
        <f t="shared" ref="BY71" si="397">Q71</f>
        <v>70</v>
      </c>
      <c r="BZ71" s="114">
        <f t="shared" ref="BZ71" si="398">U71</f>
        <v>73</v>
      </c>
      <c r="CA71" s="113">
        <f t="shared" ref="CA71" si="399">Y71</f>
        <v>109</v>
      </c>
      <c r="CB71" s="114">
        <f t="shared" ref="CB71" si="400">AC71</f>
        <v>117</v>
      </c>
      <c r="CC71" s="113">
        <f t="shared" ref="CC71" si="401">AG71</f>
        <v>166</v>
      </c>
      <c r="CD71" s="114">
        <f t="shared" ref="CD71" si="402">AK71</f>
        <v>173</v>
      </c>
      <c r="CE71" s="113">
        <f t="shared" ref="CE71" si="403">AO71</f>
        <v>219</v>
      </c>
      <c r="CF71" s="114">
        <f t="shared" ref="CF71" si="404">AS71</f>
        <v>266</v>
      </c>
      <c r="CG71" s="113">
        <f t="shared" ref="CG71" si="405">AW71</f>
        <v>292</v>
      </c>
      <c r="CH71" s="111">
        <f t="shared" ref="CH71" si="406">G71</f>
        <v>34</v>
      </c>
      <c r="CI71" s="113">
        <f t="shared" ref="CI71" si="407">K71</f>
        <v>38</v>
      </c>
      <c r="CJ71" s="114">
        <f t="shared" ref="CJ71" si="408">O71</f>
        <v>69</v>
      </c>
      <c r="CK71" s="114">
        <f t="shared" ref="CK71" si="409">S71</f>
        <v>72</v>
      </c>
      <c r="CL71" s="114">
        <f t="shared" ref="CL71" si="410">W71</f>
        <v>108</v>
      </c>
      <c r="CM71" s="114">
        <f t="shared" ref="CM71" si="411">AA71</f>
        <v>116</v>
      </c>
      <c r="CN71" s="114">
        <f t="shared" ref="CN71" si="412">AE71</f>
        <v>142</v>
      </c>
      <c r="CO71" s="114">
        <f t="shared" ref="CO71" si="413">AI71</f>
        <v>168</v>
      </c>
      <c r="CP71" s="114">
        <f t="shared" ref="CP71" si="414">AM71</f>
        <v>208</v>
      </c>
      <c r="CQ71" s="114">
        <f t="shared" ref="CQ71" si="415">AQ71</f>
        <v>259</v>
      </c>
      <c r="CR71" s="114">
        <f t="shared" ref="CR71" si="416">AU71</f>
        <v>291</v>
      </c>
      <c r="CS71" s="114">
        <f t="shared" ref="CS71" si="417">AY71</f>
        <v>305</v>
      </c>
      <c r="CT71" s="109">
        <f t="shared" ref="CT71" si="418">M71-K71</f>
        <v>1</v>
      </c>
    </row>
    <row r="72" spans="1:1029" s="12" customFormat="1" x14ac:dyDescent="0.2">
      <c r="A72" s="9" t="str">
        <f t="shared" ref="A72" si="419">CONCATENATE(B72,"_",C72)</f>
        <v>aa2ar_human_6JZH</v>
      </c>
      <c r="B72" s="9" t="s">
        <v>139</v>
      </c>
      <c r="C72" s="9" t="s">
        <v>1603</v>
      </c>
      <c r="D72" s="9" t="str">
        <f>IFERROR(MID(VLOOKUP($B72,Seqs!$A:$B,2,0),E72,1),"")</f>
        <v>M</v>
      </c>
      <c r="E72" s="9">
        <v>1</v>
      </c>
      <c r="F72" s="9" t="str">
        <f>IFERROR(MID(VLOOKUP($B72,Seqs!$A:$B,2,0),G72,1),"")</f>
        <v>N</v>
      </c>
      <c r="G72" s="9">
        <v>34</v>
      </c>
      <c r="H72" s="9" t="str">
        <f>IFERROR(MID(VLOOKUP($B72,Seqs!$A:$B,2,0),I72,1),"")</f>
        <v>S</v>
      </c>
      <c r="I72" s="109">
        <v>35</v>
      </c>
      <c r="J72" s="9" t="str">
        <f>IFERROR(MID(VLOOKUP($B72,Seqs!$A:$B,2,0),K72,1),"")</f>
        <v>Q</v>
      </c>
      <c r="K72" s="109">
        <v>38</v>
      </c>
      <c r="L72" s="9" t="str">
        <f>IFERROR(MID(VLOOKUP($B72,Seqs!$A:$B,2,0),M72,1),"")</f>
        <v>N</v>
      </c>
      <c r="M72" s="9">
        <v>39</v>
      </c>
      <c r="N72" s="9" t="str">
        <f>IFERROR(MID(VLOOKUP($B72,Seqs!$A:$B,2,0),O72,1),"")</f>
        <v>G</v>
      </c>
      <c r="O72" s="9">
        <v>69</v>
      </c>
      <c r="P72" s="9" t="str">
        <f>IFERROR(MID(VLOOKUP($B72,Seqs!$A:$B,2,0),Q72,1),"")</f>
        <v>F</v>
      </c>
      <c r="Q72" s="9">
        <v>70</v>
      </c>
      <c r="R72" s="9" t="str">
        <f>IFERROR(MID(VLOOKUP($B72,Seqs!$A:$B,2,0),S72,1),"")</f>
        <v>A</v>
      </c>
      <c r="S72" s="9">
        <v>72</v>
      </c>
      <c r="T72" s="9" t="str">
        <f>IFERROR(MID(VLOOKUP($B72,Seqs!$A:$B,2,0),U72,1),"")</f>
        <v>A</v>
      </c>
      <c r="U72" s="9">
        <v>73</v>
      </c>
      <c r="V72" s="9" t="str">
        <f>IFERROR(MID(VLOOKUP($B72,Seqs!$A:$B,2,0),W72,1),"")</f>
        <v>I</v>
      </c>
      <c r="W72" s="9">
        <v>108</v>
      </c>
      <c r="X72" s="9" t="str">
        <f>IFERROR(MID(VLOOKUP($B72,Seqs!$A:$B,2,0),Y72,1),"")</f>
        <v>P</v>
      </c>
      <c r="Y72" s="9">
        <v>109</v>
      </c>
      <c r="Z72" s="9" t="str">
        <f>IFERROR(MID(VLOOKUP($B72,Seqs!$A:$B,2,0),AA72,1),"")</f>
        <v>V</v>
      </c>
      <c r="AA72" s="9">
        <v>116</v>
      </c>
      <c r="AB72" s="9" t="str">
        <f>IFERROR(MID(VLOOKUP($B72,Seqs!$A:$B,2,0),AC72,1),"")</f>
        <v>T</v>
      </c>
      <c r="AC72" s="9">
        <v>117</v>
      </c>
      <c r="AD72" s="9" t="str">
        <f>IFERROR(MID(VLOOKUP($B72,Seqs!$A:$B,2,0),AE72,1),"")</f>
        <v>G</v>
      </c>
      <c r="AE72" s="9">
        <v>142</v>
      </c>
      <c r="AF72" s="9" t="str">
        <f>IFERROR(MID(VLOOKUP($B72,Seqs!$A:$B,2,0),AG72,1),"")</f>
        <v>C</v>
      </c>
      <c r="AG72" s="9">
        <v>166</v>
      </c>
      <c r="AH72" s="9" t="str">
        <f>IFERROR(MID(VLOOKUP($B72,Seqs!$A:$B,2,0),AI72,1),"")</f>
        <v>F</v>
      </c>
      <c r="AI72" s="9">
        <v>168</v>
      </c>
      <c r="AJ72" s="9" t="str">
        <f>IFERROR(MID(VLOOKUP($B72,Seqs!$A:$B,2,0),AK72,1),"")</f>
        <v>P</v>
      </c>
      <c r="AK72" s="9">
        <v>173</v>
      </c>
      <c r="AL72" s="9" t="str">
        <f>IFERROR(MID(VLOOKUP($B72,Seqs!$A:$B,2,0),AM72,1),"")</f>
        <v>L</v>
      </c>
      <c r="AM72" s="9">
        <v>208</v>
      </c>
      <c r="AN72" s="9" t="str">
        <f>IFERROR(MID(VLOOKUP($B72,Seqs!$A:$B,2,0),AO72,1),"")</f>
        <v>E</v>
      </c>
      <c r="AO72" s="9">
        <v>219</v>
      </c>
      <c r="AP72" s="9" t="str">
        <f>IFERROR(MID(VLOOKUP($B72,Seqs!$A:$B,2,0),AQ72,1),"")</f>
        <v>C</v>
      </c>
      <c r="AQ72" s="9">
        <v>259</v>
      </c>
      <c r="AR72" s="9" t="str">
        <f>IFERROR(MID(VLOOKUP($B72,Seqs!$A:$B,2,0),AS72,1),"")</f>
        <v>P</v>
      </c>
      <c r="AS72" s="9">
        <v>266</v>
      </c>
      <c r="AT72" s="9" t="str">
        <f>IFERROR(MID(VLOOKUP($B72,Seqs!$A:$B,2,0),AU72,1),"")</f>
        <v>R</v>
      </c>
      <c r="AU72" s="9">
        <v>291</v>
      </c>
      <c r="AV72" s="9" t="str">
        <f>IFERROR(MID(VLOOKUP($B72,Seqs!$A:$B,2,0),AW72,1),"")</f>
        <v>I</v>
      </c>
      <c r="AW72" s="9">
        <v>292</v>
      </c>
      <c r="AX72" s="9" t="str">
        <f>IFERROR(MID(VLOOKUP($B72,Seqs!$A:$B,2,0),AY72,1),"")</f>
        <v>V</v>
      </c>
      <c r="AY72" s="9">
        <v>307</v>
      </c>
      <c r="AZ72" s="110" t="str">
        <f>VLOOKUP(B72,Classification!A:D,2,0)</f>
        <v>A</v>
      </c>
      <c r="BA72" s="98" t="str">
        <f>VLOOKUP(B72,Classification!A:D,4,0)</f>
        <v>Adenosine</v>
      </c>
      <c r="BB72" s="36" t="b">
        <f t="shared" ref="BB72" si="420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109">
        <f t="shared" ref="BC72" si="421">_xlfn.AGGREGATE(9,6,CH72:CS72)-_xlfn.AGGREGATE(9,6,BV72:CG72)+12</f>
        <v>264</v>
      </c>
      <c r="BD72" s="13" t="s">
        <v>23</v>
      </c>
      <c r="BE72" s="9" t="s">
        <v>1374</v>
      </c>
      <c r="BF72" s="119">
        <v>2.25</v>
      </c>
      <c r="BG72" s="51" t="s">
        <v>1</v>
      </c>
      <c r="BH72" s="51" t="s">
        <v>1</v>
      </c>
      <c r="BJ72" s="111" t="s">
        <v>1287</v>
      </c>
      <c r="BK72" s="112" t="s">
        <v>1287</v>
      </c>
      <c r="BL72" s="112" t="s">
        <v>1287</v>
      </c>
      <c r="BM72" s="112" t="s">
        <v>1287</v>
      </c>
      <c r="BN72" s="112" t="s">
        <v>1287</v>
      </c>
      <c r="BO72" s="112" t="s">
        <v>1287</v>
      </c>
      <c r="BP72" s="112" t="s">
        <v>1287</v>
      </c>
      <c r="BQ72" s="112" t="s">
        <v>1287</v>
      </c>
      <c r="BR72" s="112" t="s">
        <v>1287</v>
      </c>
      <c r="BS72" s="112" t="s">
        <v>1287</v>
      </c>
      <c r="BT72" s="112" t="s">
        <v>1287</v>
      </c>
      <c r="BU72" s="112" t="s">
        <v>1287</v>
      </c>
      <c r="BV72" s="111">
        <f t="shared" ref="BV72" si="422">E72</f>
        <v>1</v>
      </c>
      <c r="BW72" s="113">
        <f t="shared" ref="BW72" si="423">I72</f>
        <v>35</v>
      </c>
      <c r="BX72" s="114">
        <f t="shared" ref="BX72" si="424">M72</f>
        <v>39</v>
      </c>
      <c r="BY72" s="113">
        <f t="shared" ref="BY72" si="425">Q72</f>
        <v>70</v>
      </c>
      <c r="BZ72" s="114">
        <f t="shared" ref="BZ72" si="426">U72</f>
        <v>73</v>
      </c>
      <c r="CA72" s="113">
        <f t="shared" ref="CA72" si="427">Y72</f>
        <v>109</v>
      </c>
      <c r="CB72" s="114">
        <f t="shared" ref="CB72" si="428">AC72</f>
        <v>117</v>
      </c>
      <c r="CC72" s="113">
        <f t="shared" ref="CC72" si="429">AG72</f>
        <v>166</v>
      </c>
      <c r="CD72" s="114">
        <f t="shared" ref="CD72" si="430">AK72</f>
        <v>173</v>
      </c>
      <c r="CE72" s="113">
        <f t="shared" ref="CE72" si="431">AO72</f>
        <v>219</v>
      </c>
      <c r="CF72" s="114">
        <f t="shared" ref="CF72" si="432">AS72</f>
        <v>266</v>
      </c>
      <c r="CG72" s="113">
        <f t="shared" ref="CG72" si="433">AW72</f>
        <v>292</v>
      </c>
      <c r="CH72" s="111">
        <f t="shared" ref="CH72" si="434">G72</f>
        <v>34</v>
      </c>
      <c r="CI72" s="113">
        <f t="shared" ref="CI72" si="435">K72</f>
        <v>38</v>
      </c>
      <c r="CJ72" s="114">
        <f t="shared" ref="CJ72" si="436">O72</f>
        <v>69</v>
      </c>
      <c r="CK72" s="114">
        <f t="shared" ref="CK72" si="437">S72</f>
        <v>72</v>
      </c>
      <c r="CL72" s="114">
        <f t="shared" ref="CL72" si="438">W72</f>
        <v>108</v>
      </c>
      <c r="CM72" s="114">
        <f t="shared" ref="CM72" si="439">AA72</f>
        <v>116</v>
      </c>
      <c r="CN72" s="114">
        <f t="shared" ref="CN72" si="440">AE72</f>
        <v>142</v>
      </c>
      <c r="CO72" s="114">
        <f t="shared" ref="CO72" si="441">AI72</f>
        <v>168</v>
      </c>
      <c r="CP72" s="114">
        <f t="shared" ref="CP72" si="442">AM72</f>
        <v>208</v>
      </c>
      <c r="CQ72" s="114">
        <f t="shared" ref="CQ72" si="443">AQ72</f>
        <v>259</v>
      </c>
      <c r="CR72" s="114">
        <f t="shared" ref="CR72" si="444">AU72</f>
        <v>291</v>
      </c>
      <c r="CS72" s="114">
        <f t="shared" ref="CS72" si="445">AY72</f>
        <v>307</v>
      </c>
      <c r="CT72" s="109">
        <f t="shared" ref="CT72" si="446">M72-K72</f>
        <v>1</v>
      </c>
    </row>
    <row r="73" spans="1:1029" s="12" customFormat="1" x14ac:dyDescent="0.2">
      <c r="A73" s="9" t="str">
        <f t="shared" ref="A73" si="447">CONCATENATE(B73,"_",C73)</f>
        <v>aa2ar_human_6PS7</v>
      </c>
      <c r="B73" s="9" t="s">
        <v>139</v>
      </c>
      <c r="C73" s="9" t="s">
        <v>1615</v>
      </c>
      <c r="D73" s="9" t="str">
        <f>IFERROR(MID(VLOOKUP($B73,Seqs!$A:$B,2,0),E73,1),"")</f>
        <v>M</v>
      </c>
      <c r="E73" s="9">
        <v>1</v>
      </c>
      <c r="F73" s="9" t="str">
        <f>IFERROR(MID(VLOOKUP($B73,Seqs!$A:$B,2,0),G73,1),"")</f>
        <v>N</v>
      </c>
      <c r="G73" s="9">
        <v>34</v>
      </c>
      <c r="H73" s="9" t="str">
        <f>IFERROR(MID(VLOOKUP($B73,Seqs!$A:$B,2,0),I73,1),"")</f>
        <v>S</v>
      </c>
      <c r="I73" s="109">
        <v>35</v>
      </c>
      <c r="J73" s="9" t="str">
        <f>IFERROR(MID(VLOOKUP($B73,Seqs!$A:$B,2,0),K73,1),"")</f>
        <v>Q</v>
      </c>
      <c r="K73" s="109">
        <v>38</v>
      </c>
      <c r="L73" s="9" t="str">
        <f>IFERROR(MID(VLOOKUP($B73,Seqs!$A:$B,2,0),M73,1),"")</f>
        <v>N</v>
      </c>
      <c r="M73" s="9">
        <v>39</v>
      </c>
      <c r="N73" s="9" t="str">
        <f>IFERROR(MID(VLOOKUP($B73,Seqs!$A:$B,2,0),O73,1),"")</f>
        <v>G</v>
      </c>
      <c r="O73" s="9">
        <v>69</v>
      </c>
      <c r="P73" s="9" t="str">
        <f>IFERROR(MID(VLOOKUP($B73,Seqs!$A:$B,2,0),Q73,1),"")</f>
        <v>F</v>
      </c>
      <c r="Q73" s="9">
        <v>70</v>
      </c>
      <c r="R73" s="9" t="str">
        <f>IFERROR(MID(VLOOKUP($B73,Seqs!$A:$B,2,0),S73,1),"")</f>
        <v>A</v>
      </c>
      <c r="S73" s="9">
        <v>72</v>
      </c>
      <c r="T73" s="9" t="str">
        <f>IFERROR(MID(VLOOKUP($B73,Seqs!$A:$B,2,0),U73,1),"")</f>
        <v>A</v>
      </c>
      <c r="U73" s="9">
        <v>73</v>
      </c>
      <c r="V73" s="9" t="str">
        <f>IFERROR(MID(VLOOKUP($B73,Seqs!$A:$B,2,0),W73,1),"")</f>
        <v>I</v>
      </c>
      <c r="W73" s="9">
        <v>108</v>
      </c>
      <c r="X73" s="9" t="str">
        <f>IFERROR(MID(VLOOKUP($B73,Seqs!$A:$B,2,0),Y73,1),"")</f>
        <v>P</v>
      </c>
      <c r="Y73" s="9">
        <v>109</v>
      </c>
      <c r="Z73" s="9" t="str">
        <f>IFERROR(MID(VLOOKUP($B73,Seqs!$A:$B,2,0),AA73,1),"")</f>
        <v>V</v>
      </c>
      <c r="AA73" s="9">
        <v>116</v>
      </c>
      <c r="AB73" s="9" t="str">
        <f>IFERROR(MID(VLOOKUP($B73,Seqs!$A:$B,2,0),AC73,1),"")</f>
        <v>T</v>
      </c>
      <c r="AC73" s="9">
        <v>117</v>
      </c>
      <c r="AD73" s="9" t="str">
        <f>IFERROR(MID(VLOOKUP($B73,Seqs!$A:$B,2,0),AE73,1),"")</f>
        <v>G</v>
      </c>
      <c r="AE73" s="9">
        <v>142</v>
      </c>
      <c r="AF73" s="9" t="str">
        <f>IFERROR(MID(VLOOKUP($B73,Seqs!$A:$B,2,0),AG73,1),"")</f>
        <v>C</v>
      </c>
      <c r="AG73" s="9">
        <v>166</v>
      </c>
      <c r="AH73" s="9" t="str">
        <f>IFERROR(MID(VLOOKUP($B73,Seqs!$A:$B,2,0),AI73,1),"")</f>
        <v>F</v>
      </c>
      <c r="AI73" s="9">
        <v>168</v>
      </c>
      <c r="AJ73" s="9" t="str">
        <f>IFERROR(MID(VLOOKUP($B73,Seqs!$A:$B,2,0),AK73,1),"")</f>
        <v>P</v>
      </c>
      <c r="AK73" s="9">
        <v>173</v>
      </c>
      <c r="AL73" s="9" t="str">
        <f>IFERROR(MID(VLOOKUP($B73,Seqs!$A:$B,2,0),AM73,1),"")</f>
        <v>L</v>
      </c>
      <c r="AM73" s="9">
        <v>208</v>
      </c>
      <c r="AN73" s="9" t="str">
        <f>IFERROR(MID(VLOOKUP($B73,Seqs!$A:$B,2,0),AO73,1),"")</f>
        <v>E</v>
      </c>
      <c r="AO73" s="9">
        <v>219</v>
      </c>
      <c r="AP73" s="9" t="str">
        <f>IFERROR(MID(VLOOKUP($B73,Seqs!$A:$B,2,0),AQ73,1),"")</f>
        <v>C</v>
      </c>
      <c r="AQ73" s="9">
        <v>259</v>
      </c>
      <c r="AR73" s="9" t="str">
        <f>IFERROR(MID(VLOOKUP($B73,Seqs!$A:$B,2,0),AS73,1),"")</f>
        <v>P</v>
      </c>
      <c r="AS73" s="9">
        <v>266</v>
      </c>
      <c r="AT73" s="9" t="str">
        <f>IFERROR(MID(VLOOKUP($B73,Seqs!$A:$B,2,0),AU73,1),"")</f>
        <v>R</v>
      </c>
      <c r="AU73" s="9">
        <v>291</v>
      </c>
      <c r="AV73" s="9" t="str">
        <f>IFERROR(MID(VLOOKUP($B73,Seqs!$A:$B,2,0),AW73,1),"")</f>
        <v>I</v>
      </c>
      <c r="AW73" s="9">
        <v>292</v>
      </c>
      <c r="AX73" s="9" t="str">
        <f>IFERROR(MID(VLOOKUP($B73,Seqs!$A:$B,2,0),AY73,1),"")</f>
        <v>V</v>
      </c>
      <c r="AY73" s="9">
        <v>307</v>
      </c>
      <c r="AZ73" s="110" t="str">
        <f>VLOOKUP(B73,Classification!A:D,2,0)</f>
        <v>A</v>
      </c>
      <c r="BA73" s="98" t="str">
        <f>VLOOKUP(B73,Classification!A:D,4,0)</f>
        <v>Adenosine</v>
      </c>
      <c r="BB73" s="36" t="b">
        <f t="shared" ref="BB73" si="448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109">
        <f t="shared" ref="BC73" si="449">_xlfn.AGGREGATE(9,6,CH73:CS73)-_xlfn.AGGREGATE(9,6,BV73:CG73)+12</f>
        <v>264</v>
      </c>
      <c r="BD73" s="13" t="s">
        <v>23</v>
      </c>
      <c r="BE73" s="9" t="s">
        <v>1374</v>
      </c>
      <c r="BF73" s="119">
        <v>1.85</v>
      </c>
      <c r="BG73" s="51" t="s">
        <v>1</v>
      </c>
      <c r="BH73" s="51" t="s">
        <v>1</v>
      </c>
      <c r="BJ73" s="111" t="s">
        <v>1287</v>
      </c>
      <c r="BK73" s="112" t="s">
        <v>1287</v>
      </c>
      <c r="BL73" s="112" t="s">
        <v>1287</v>
      </c>
      <c r="BM73" s="112" t="s">
        <v>1287</v>
      </c>
      <c r="BN73" s="112" t="s">
        <v>1287</v>
      </c>
      <c r="BO73" s="112" t="s">
        <v>1287</v>
      </c>
      <c r="BP73" s="112" t="s">
        <v>1287</v>
      </c>
      <c r="BQ73" s="112" t="s">
        <v>1287</v>
      </c>
      <c r="BR73" s="112" t="s">
        <v>1287</v>
      </c>
      <c r="BS73" s="112" t="s">
        <v>1287</v>
      </c>
      <c r="BT73" s="112" t="s">
        <v>1287</v>
      </c>
      <c r="BU73" s="112" t="s">
        <v>1287</v>
      </c>
      <c r="BV73" s="111">
        <f t="shared" ref="BV73" si="450">E73</f>
        <v>1</v>
      </c>
      <c r="BW73" s="113">
        <f t="shared" ref="BW73" si="451">I73</f>
        <v>35</v>
      </c>
      <c r="BX73" s="114">
        <f t="shared" ref="BX73" si="452">M73</f>
        <v>39</v>
      </c>
      <c r="BY73" s="113">
        <f t="shared" ref="BY73" si="453">Q73</f>
        <v>70</v>
      </c>
      <c r="BZ73" s="114">
        <f t="shared" ref="BZ73" si="454">U73</f>
        <v>73</v>
      </c>
      <c r="CA73" s="113">
        <f t="shared" ref="CA73" si="455">Y73</f>
        <v>109</v>
      </c>
      <c r="CB73" s="114">
        <f t="shared" ref="CB73" si="456">AC73</f>
        <v>117</v>
      </c>
      <c r="CC73" s="113">
        <f t="shared" ref="CC73" si="457">AG73</f>
        <v>166</v>
      </c>
      <c r="CD73" s="114">
        <f t="shared" ref="CD73" si="458">AK73</f>
        <v>173</v>
      </c>
      <c r="CE73" s="113">
        <f t="shared" ref="CE73" si="459">AO73</f>
        <v>219</v>
      </c>
      <c r="CF73" s="114">
        <f t="shared" ref="CF73" si="460">AS73</f>
        <v>266</v>
      </c>
      <c r="CG73" s="113">
        <f t="shared" ref="CG73" si="461">AW73</f>
        <v>292</v>
      </c>
      <c r="CH73" s="111">
        <f t="shared" ref="CH73" si="462">G73</f>
        <v>34</v>
      </c>
      <c r="CI73" s="113">
        <f t="shared" ref="CI73" si="463">K73</f>
        <v>38</v>
      </c>
      <c r="CJ73" s="114">
        <f t="shared" ref="CJ73" si="464">O73</f>
        <v>69</v>
      </c>
      <c r="CK73" s="114">
        <f t="shared" ref="CK73" si="465">S73</f>
        <v>72</v>
      </c>
      <c r="CL73" s="114">
        <f t="shared" ref="CL73" si="466">W73</f>
        <v>108</v>
      </c>
      <c r="CM73" s="114">
        <f t="shared" ref="CM73" si="467">AA73</f>
        <v>116</v>
      </c>
      <c r="CN73" s="114">
        <f t="shared" ref="CN73" si="468">AE73</f>
        <v>142</v>
      </c>
      <c r="CO73" s="114">
        <f t="shared" ref="CO73" si="469">AI73</f>
        <v>168</v>
      </c>
      <c r="CP73" s="114">
        <f t="shared" ref="CP73" si="470">AM73</f>
        <v>208</v>
      </c>
      <c r="CQ73" s="114">
        <f t="shared" ref="CQ73" si="471">AQ73</f>
        <v>259</v>
      </c>
      <c r="CR73" s="114">
        <f t="shared" ref="CR73" si="472">AU73</f>
        <v>291</v>
      </c>
      <c r="CS73" s="114">
        <f t="shared" ref="CS73" si="473">AY73</f>
        <v>307</v>
      </c>
      <c r="CT73" s="109">
        <f t="shared" ref="CT73" si="474">M73-K73</f>
        <v>1</v>
      </c>
    </row>
    <row r="74" spans="1:1029" x14ac:dyDescent="0.2">
      <c r="A74" s="3" t="str">
        <f t="shared" si="0"/>
        <v>acm1_human__wt</v>
      </c>
      <c r="B74" s="3" t="s">
        <v>146</v>
      </c>
      <c r="C74" s="3" t="s">
        <v>100</v>
      </c>
      <c r="D74" s="3" t="str">
        <f>IFERROR(MID(VLOOKUP($B74,Seqs!$A:$B,2,0),E74,1),"")</f>
        <v>P</v>
      </c>
      <c r="E74" s="3">
        <v>22</v>
      </c>
      <c r="F74" s="3" t="str">
        <f>IFERROR(MID(VLOOKUP($B74,Seqs!$A:$B,2,0),G74,1),"")</f>
        <v>N</v>
      </c>
      <c r="G74" s="3">
        <v>53</v>
      </c>
      <c r="H74" s="3" t="str">
        <f>IFERROR(MID(VLOOKUP($B74,Seqs!$A:$B,2,0),I74,1),"")</f>
        <v>T</v>
      </c>
      <c r="I74" s="23">
        <v>54</v>
      </c>
      <c r="J74" s="3" t="str">
        <f>IFERROR(MID(VLOOKUP($B74,Seqs!$A:$B,2,0),K74,1),"")</f>
        <v>K</v>
      </c>
      <c r="K74" s="23">
        <v>57</v>
      </c>
      <c r="L74" s="3" t="str">
        <f>IFERROR(MID(VLOOKUP($B74,Seqs!$A:$B,2,0),M74,1),"")</f>
        <v>T</v>
      </c>
      <c r="M74" s="3">
        <v>58</v>
      </c>
      <c r="N74" s="3" t="str">
        <f>IFERROR(MID(VLOOKUP($B74,Seqs!$A:$B,2,0),O74,1),"")</f>
        <v>G</v>
      </c>
      <c r="O74" s="3">
        <v>89</v>
      </c>
      <c r="P74" s="3" t="str">
        <f>IFERROR(MID(VLOOKUP($B74,Seqs!$A:$B,2,0),Q74,1),"")</f>
        <v>H</v>
      </c>
      <c r="Q74" s="3">
        <v>90</v>
      </c>
      <c r="R74" s="3" t="str">
        <f>IFERROR(MID(VLOOKUP($B74,Seqs!$A:$B,2,0),S74,1),"")</f>
        <v>L</v>
      </c>
      <c r="S74" s="3">
        <v>93</v>
      </c>
      <c r="T74" s="3" t="str">
        <f>IFERROR(MID(VLOOKUP($B74,Seqs!$A:$B,2,0),U74,1),"")</f>
        <v>G</v>
      </c>
      <c r="U74" s="3">
        <v>94</v>
      </c>
      <c r="V74" s="3" t="str">
        <f>IFERROR(MID(VLOOKUP($B74,Seqs!$A:$B,2,0),W74,1),"")</f>
        <v>R</v>
      </c>
      <c r="W74" s="3">
        <v>129</v>
      </c>
      <c r="X74" s="3" t="str">
        <f>IFERROR(MID(VLOOKUP($B74,Seqs!$A:$B,2,0),Y74,1),"")</f>
        <v>P</v>
      </c>
      <c r="Y74" s="3">
        <v>130</v>
      </c>
      <c r="Z74" s="3" t="str">
        <f>IFERROR(MID(VLOOKUP($B74,Seqs!$A:$B,2,0),AA74,1),"")</f>
        <v>R</v>
      </c>
      <c r="AA74" s="3">
        <v>137</v>
      </c>
      <c r="AB74" s="3" t="str">
        <f>IFERROR(MID(VLOOKUP($B74,Seqs!$A:$B,2,0),AC74,1),"")</f>
        <v>T</v>
      </c>
      <c r="AC74" s="3">
        <v>138</v>
      </c>
      <c r="AD74" s="3" t="str">
        <f>IFERROR(MID(VLOOKUP($B74,Seqs!$A:$B,2,0),AE74,1),"")</f>
        <v>G</v>
      </c>
      <c r="AE74" s="3">
        <v>169</v>
      </c>
      <c r="AF74" s="3" t="str">
        <f>IFERROR(MID(VLOOKUP($B74,Seqs!$A:$B,2,0),AG74,1),"")</f>
        <v>C</v>
      </c>
      <c r="AG74" s="3">
        <v>178</v>
      </c>
      <c r="AH74" s="3" t="str">
        <f>IFERROR(MID(VLOOKUP($B74,Seqs!$A:$B,2,0),AI74,1),"")</f>
        <v>I</v>
      </c>
      <c r="AI74" s="3">
        <v>180</v>
      </c>
      <c r="AJ74" s="3" t="str">
        <f>IFERROR(MID(VLOOKUP($B74,Seqs!$A:$B,2,0),AK74,1),"")</f>
        <v>Q</v>
      </c>
      <c r="AK74" s="3">
        <v>185</v>
      </c>
      <c r="AL74" s="3" t="str">
        <f>IFERROR(MID(VLOOKUP($B74,Seqs!$A:$B,2,0),AM74,1),"")</f>
        <v>L</v>
      </c>
      <c r="AM74" s="3">
        <v>225</v>
      </c>
      <c r="AN74" s="3" t="str">
        <f>IFERROR(MID(VLOOKUP($B74,Seqs!$A:$B,2,0),AO74,1),"")</f>
        <v>T</v>
      </c>
      <c r="AO74" s="3">
        <v>354</v>
      </c>
      <c r="AP74" s="3" t="str">
        <f>IFERROR(MID(VLOOKUP($B74,Seqs!$A:$B,2,0),AQ74,1),"")</f>
        <v>C</v>
      </c>
      <c r="AQ74" s="3">
        <v>391</v>
      </c>
      <c r="AR74" s="3" t="str">
        <f>IFERROR(MID(VLOOKUP($B74,Seqs!$A:$B,2,0),AS74,1),"")</f>
        <v>P</v>
      </c>
      <c r="AS74" s="3">
        <v>396</v>
      </c>
      <c r="AT74" s="3" t="str">
        <f>IFERROR(MID(VLOOKUP($B74,Seqs!$A:$B,2,0),AU74,1),"")</f>
        <v>C</v>
      </c>
      <c r="AU74" s="3">
        <v>421</v>
      </c>
      <c r="AV74" s="3" t="str">
        <f>IFERROR(MID(VLOOKUP($B74,Seqs!$A:$B,2,0),AW74,1),"")</f>
        <v>N</v>
      </c>
      <c r="AW74" s="3">
        <v>422</v>
      </c>
      <c r="AX74" s="3" t="str">
        <f>IFERROR(MID(VLOOKUP($B74,Seqs!$A:$B,2,0),AY74,1),"")</f>
        <v>L</v>
      </c>
      <c r="AY74" s="3">
        <v>434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1"/>
        <v>1</v>
      </c>
      <c r="BC74" s="23">
        <f t="shared" si="225"/>
        <v>269</v>
      </c>
      <c r="BD74" s="56" t="s">
        <v>23</v>
      </c>
      <c r="BE74" s="3" t="s">
        <v>23</v>
      </c>
      <c r="BF74" s="118" t="s">
        <v>23</v>
      </c>
      <c r="BG74" s="49" t="s">
        <v>1372</v>
      </c>
      <c r="BH74" s="49" t="s">
        <v>1377</v>
      </c>
      <c r="BI74" s="1"/>
      <c r="BJ74" s="70" t="s">
        <v>1287</v>
      </c>
      <c r="BK74" s="57" t="s">
        <v>1287</v>
      </c>
      <c r="BL74" s="57" t="s">
        <v>1287</v>
      </c>
      <c r="BM74" s="57" t="s">
        <v>1287</v>
      </c>
      <c r="BN74" s="57" t="s">
        <v>1287</v>
      </c>
      <c r="BO74" s="57" t="s">
        <v>1287</v>
      </c>
      <c r="BP74" s="57" t="s">
        <v>1287</v>
      </c>
      <c r="BQ74" s="57" t="s">
        <v>1287</v>
      </c>
      <c r="BR74" s="57" t="s">
        <v>1287</v>
      </c>
      <c r="BS74" s="57" t="s">
        <v>1287</v>
      </c>
      <c r="BT74" s="57" t="s">
        <v>1287</v>
      </c>
      <c r="BU74" s="57" t="s">
        <v>1287</v>
      </c>
      <c r="BV74" s="70">
        <f t="shared" si="226"/>
        <v>22</v>
      </c>
      <c r="BW74" s="71">
        <f t="shared" si="227"/>
        <v>54</v>
      </c>
      <c r="BX74" s="72">
        <f t="shared" si="228"/>
        <v>58</v>
      </c>
      <c r="BY74" s="71">
        <f t="shared" si="229"/>
        <v>90</v>
      </c>
      <c r="BZ74" s="72">
        <f t="shared" si="230"/>
        <v>94</v>
      </c>
      <c r="CA74" s="71">
        <f t="shared" si="231"/>
        <v>130</v>
      </c>
      <c r="CB74" s="72">
        <f t="shared" si="232"/>
        <v>138</v>
      </c>
      <c r="CC74" s="71">
        <f t="shared" si="233"/>
        <v>178</v>
      </c>
      <c r="CD74" s="72">
        <f t="shared" si="234"/>
        <v>185</v>
      </c>
      <c r="CE74" s="71">
        <f t="shared" si="235"/>
        <v>354</v>
      </c>
      <c r="CF74" s="72">
        <f t="shared" si="236"/>
        <v>396</v>
      </c>
      <c r="CG74" s="71">
        <f t="shared" si="237"/>
        <v>422</v>
      </c>
      <c r="CH74" s="70">
        <f t="shared" si="238"/>
        <v>53</v>
      </c>
      <c r="CI74" s="71">
        <f t="shared" si="239"/>
        <v>57</v>
      </c>
      <c r="CJ74" s="72">
        <f t="shared" si="240"/>
        <v>89</v>
      </c>
      <c r="CK74" s="72">
        <f t="shared" si="241"/>
        <v>93</v>
      </c>
      <c r="CL74" s="72">
        <f t="shared" si="242"/>
        <v>129</v>
      </c>
      <c r="CM74" s="72">
        <f t="shared" si="243"/>
        <v>137</v>
      </c>
      <c r="CN74" s="72">
        <f t="shared" si="244"/>
        <v>169</v>
      </c>
      <c r="CO74" s="72">
        <f t="shared" si="245"/>
        <v>180</v>
      </c>
      <c r="CP74" s="72">
        <f t="shared" si="246"/>
        <v>225</v>
      </c>
      <c r="CQ74" s="72">
        <f t="shared" si="247"/>
        <v>391</v>
      </c>
      <c r="CR74" s="72">
        <f t="shared" si="248"/>
        <v>421</v>
      </c>
      <c r="CS74" s="72">
        <f t="shared" si="249"/>
        <v>434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0"/>
        <v>acm1_human_5CXV</v>
      </c>
      <c r="B75" s="3" t="s">
        <v>146</v>
      </c>
      <c r="C75" s="3" t="s">
        <v>62</v>
      </c>
      <c r="D75" s="3" t="str">
        <f>IFERROR(MID(VLOOKUP($B75,Seqs!$A:$B,2,0),E75,1),"")</f>
        <v>P</v>
      </c>
      <c r="E75" s="3">
        <v>22</v>
      </c>
      <c r="F75" s="3" t="str">
        <f>IFERROR(MID(VLOOKUP($B75,Seqs!$A:$B,2,0),G75,1),"")</f>
        <v>N</v>
      </c>
      <c r="G75" s="3">
        <v>53</v>
      </c>
      <c r="H75" s="3" t="str">
        <f>IFERROR(MID(VLOOKUP($B75,Seqs!$A:$B,2,0),I75,1),"")</f>
        <v>T</v>
      </c>
      <c r="I75" s="23">
        <v>54</v>
      </c>
      <c r="J75" s="3" t="str">
        <f>IFERROR(MID(VLOOKUP($B75,Seqs!$A:$B,2,0),K75,1),"")</f>
        <v>K</v>
      </c>
      <c r="K75" s="23">
        <v>57</v>
      </c>
      <c r="L75" s="3" t="str">
        <f>IFERROR(MID(VLOOKUP($B75,Seqs!$A:$B,2,0),M75,1),"")</f>
        <v>T</v>
      </c>
      <c r="M75" s="3">
        <v>58</v>
      </c>
      <c r="N75" s="3" t="str">
        <f>IFERROR(MID(VLOOKUP($B75,Seqs!$A:$B,2,0),O75,1),"")</f>
        <v>G</v>
      </c>
      <c r="O75" s="3">
        <v>89</v>
      </c>
      <c r="P75" s="3" t="str">
        <f>IFERROR(MID(VLOOKUP($B75,Seqs!$A:$B,2,0),Q75,1),"")</f>
        <v>H</v>
      </c>
      <c r="Q75" s="3">
        <v>90</v>
      </c>
      <c r="R75" s="3" t="str">
        <f>IFERROR(MID(VLOOKUP($B75,Seqs!$A:$B,2,0),S75,1),"")</f>
        <v>L</v>
      </c>
      <c r="S75" s="3">
        <v>93</v>
      </c>
      <c r="T75" s="3" t="str">
        <f>IFERROR(MID(VLOOKUP($B75,Seqs!$A:$B,2,0),U75,1),"")</f>
        <v>G</v>
      </c>
      <c r="U75" s="3">
        <v>94</v>
      </c>
      <c r="V75" s="3" t="str">
        <f>IFERROR(MID(VLOOKUP($B75,Seqs!$A:$B,2,0),W75,1),"")</f>
        <v>R</v>
      </c>
      <c r="W75" s="3">
        <v>129</v>
      </c>
      <c r="X75" s="3" t="str">
        <f>IFERROR(MID(VLOOKUP($B75,Seqs!$A:$B,2,0),Y75,1),"")</f>
        <v>P</v>
      </c>
      <c r="Y75" s="3">
        <v>130</v>
      </c>
      <c r="Z75" s="3" t="str">
        <f>IFERROR(MID(VLOOKUP($B75,Seqs!$A:$B,2,0),AA75,1),"")</f>
        <v>R</v>
      </c>
      <c r="AA75" s="3">
        <v>137</v>
      </c>
      <c r="AB75" s="3" t="str">
        <f>IFERROR(MID(VLOOKUP($B75,Seqs!$A:$B,2,0),AC75,1),"")</f>
        <v>T</v>
      </c>
      <c r="AC75" s="9">
        <v>138</v>
      </c>
      <c r="AD75" s="3" t="str">
        <f>IFERROR(MID(VLOOKUP($B75,Seqs!$A:$B,2,0),AE75,1),"")</f>
        <v>G</v>
      </c>
      <c r="AE75" s="3">
        <v>169</v>
      </c>
      <c r="AF75" s="3" t="str">
        <f>IFERROR(MID(VLOOKUP($B75,Seqs!$A:$B,2,0),AG75,1),"")</f>
        <v>C</v>
      </c>
      <c r="AG75" s="3">
        <v>178</v>
      </c>
      <c r="AH75" s="3" t="str">
        <f>IFERROR(MID(VLOOKUP($B75,Seqs!$A:$B,2,0),AI75,1),"")</f>
        <v>I</v>
      </c>
      <c r="AI75" s="3">
        <v>180</v>
      </c>
      <c r="AJ75" s="3" t="str">
        <f>IFERROR(MID(VLOOKUP($B75,Seqs!$A:$B,2,0),AK75,1),"")</f>
        <v>Q</v>
      </c>
      <c r="AK75" s="3">
        <v>185</v>
      </c>
      <c r="AL75" s="3" t="str">
        <f>IFERROR(MID(VLOOKUP($B75,Seqs!$A:$B,2,0),AM75,1),"")</f>
        <v>R</v>
      </c>
      <c r="AM75" s="3">
        <v>213</v>
      </c>
      <c r="AN75" s="3" t="str">
        <f>IFERROR(MID(VLOOKUP($B75,Seqs!$A:$B,2,0),AO75,1),"")</f>
        <v>L</v>
      </c>
      <c r="AO75" s="3">
        <v>357</v>
      </c>
      <c r="AP75" s="3" t="str">
        <f>IFERROR(MID(VLOOKUP($B75,Seqs!$A:$B,2,0),AQ75,1),"")</f>
        <v>C</v>
      </c>
      <c r="AQ75" s="3">
        <v>391</v>
      </c>
      <c r="AR75" s="3" t="str">
        <f>IFERROR(MID(VLOOKUP($B75,Seqs!$A:$B,2,0),AS75,1),"")</f>
        <v>P</v>
      </c>
      <c r="AS75" s="3">
        <v>396</v>
      </c>
      <c r="AT75" s="3" t="str">
        <f>IFERROR(MID(VLOOKUP($B75,Seqs!$A:$B,2,0),AU75,1),"")</f>
        <v>C</v>
      </c>
      <c r="AU75" s="3">
        <v>421</v>
      </c>
      <c r="AV75" s="3" t="str">
        <f>IFERROR(MID(VLOOKUP($B75,Seqs!$A:$B,2,0),AW75,1),"")</f>
        <v>N</v>
      </c>
      <c r="AW75" s="3">
        <v>422</v>
      </c>
      <c r="AX75" s="3" t="str">
        <f>IFERROR(MID(VLOOKUP($B75,Seqs!$A:$B,2,0),AY75,1),"")</f>
        <v>L</v>
      </c>
      <c r="AY75" s="3">
        <v>434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1"/>
        <v>1</v>
      </c>
      <c r="BC75" s="23">
        <f t="shared" si="225"/>
        <v>254</v>
      </c>
      <c r="BD75" s="16" t="s">
        <v>1376</v>
      </c>
      <c r="BE75" s="3" t="s">
        <v>1374</v>
      </c>
      <c r="BF75" s="118">
        <v>2.7</v>
      </c>
      <c r="BG75" s="49" t="s">
        <v>1377</v>
      </c>
      <c r="BH75" s="49" t="s">
        <v>1377</v>
      </c>
      <c r="BI75" s="1"/>
      <c r="BJ75" s="70" t="s">
        <v>1287</v>
      </c>
      <c r="BK75" s="57" t="s">
        <v>1287</v>
      </c>
      <c r="BL75" s="57" t="s">
        <v>1287</v>
      </c>
      <c r="BM75" s="57" t="s">
        <v>1287</v>
      </c>
      <c r="BN75" s="57" t="s">
        <v>1287</v>
      </c>
      <c r="BO75" s="57" t="s">
        <v>1287</v>
      </c>
      <c r="BP75" s="57" t="s">
        <v>1287</v>
      </c>
      <c r="BQ75" s="57" t="s">
        <v>1287</v>
      </c>
      <c r="BR75" s="57" t="s">
        <v>1287</v>
      </c>
      <c r="BS75" s="57" t="s">
        <v>1287</v>
      </c>
      <c r="BT75" s="57" t="s">
        <v>1287</v>
      </c>
      <c r="BU75" s="57" t="s">
        <v>1287</v>
      </c>
      <c r="BV75" s="70">
        <f t="shared" si="226"/>
        <v>22</v>
      </c>
      <c r="BW75" s="71">
        <f t="shared" si="227"/>
        <v>54</v>
      </c>
      <c r="BX75" s="72">
        <f t="shared" si="228"/>
        <v>58</v>
      </c>
      <c r="BY75" s="71">
        <f t="shared" si="229"/>
        <v>90</v>
      </c>
      <c r="BZ75" s="72">
        <f t="shared" si="230"/>
        <v>94</v>
      </c>
      <c r="CA75" s="71">
        <f t="shared" si="231"/>
        <v>130</v>
      </c>
      <c r="CB75" s="72">
        <f t="shared" si="232"/>
        <v>138</v>
      </c>
      <c r="CC75" s="71">
        <f t="shared" si="233"/>
        <v>178</v>
      </c>
      <c r="CD75" s="72">
        <f t="shared" si="234"/>
        <v>185</v>
      </c>
      <c r="CE75" s="71">
        <f t="shared" si="235"/>
        <v>357</v>
      </c>
      <c r="CF75" s="72">
        <f t="shared" si="236"/>
        <v>396</v>
      </c>
      <c r="CG75" s="71">
        <f t="shared" si="237"/>
        <v>422</v>
      </c>
      <c r="CH75" s="70">
        <f t="shared" si="238"/>
        <v>53</v>
      </c>
      <c r="CI75" s="71">
        <f t="shared" si="239"/>
        <v>57</v>
      </c>
      <c r="CJ75" s="72">
        <f t="shared" si="240"/>
        <v>89</v>
      </c>
      <c r="CK75" s="72">
        <f t="shared" si="241"/>
        <v>93</v>
      </c>
      <c r="CL75" s="72">
        <f t="shared" si="242"/>
        <v>129</v>
      </c>
      <c r="CM75" s="72">
        <f t="shared" si="243"/>
        <v>137</v>
      </c>
      <c r="CN75" s="72">
        <f t="shared" si="244"/>
        <v>169</v>
      </c>
      <c r="CO75" s="72">
        <f t="shared" si="245"/>
        <v>180</v>
      </c>
      <c r="CP75" s="72">
        <f t="shared" si="246"/>
        <v>213</v>
      </c>
      <c r="CQ75" s="72">
        <f t="shared" si="247"/>
        <v>391</v>
      </c>
      <c r="CR75" s="72">
        <f t="shared" si="248"/>
        <v>421</v>
      </c>
      <c r="CS75" s="72">
        <f t="shared" si="249"/>
        <v>434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s="12" customFormat="1" x14ac:dyDescent="0.2">
      <c r="A76" s="9" t="str">
        <f t="shared" ref="A76" si="475">CONCATENATE(B76,"_",C76)</f>
        <v>acm1_human_6OIJ</v>
      </c>
      <c r="B76" s="9" t="s">
        <v>146</v>
      </c>
      <c r="C76" s="9" t="s">
        <v>1577</v>
      </c>
      <c r="D76" s="9" t="str">
        <f>IFERROR(MID(VLOOKUP($B76,Seqs!$A:$B,2,0),E76,1),"")</f>
        <v>W</v>
      </c>
      <c r="E76" s="9">
        <v>23</v>
      </c>
      <c r="F76" s="9" t="str">
        <f>IFERROR(MID(VLOOKUP($B76,Seqs!$A:$B,2,0),G76,1),"")</f>
        <v>N</v>
      </c>
      <c r="G76" s="9">
        <v>53</v>
      </c>
      <c r="H76" s="9" t="str">
        <f>IFERROR(MID(VLOOKUP($B76,Seqs!$A:$B,2,0),I76,1),"")</f>
        <v>T</v>
      </c>
      <c r="I76" s="109">
        <v>54</v>
      </c>
      <c r="J76" s="9" t="str">
        <f>IFERROR(MID(VLOOKUP($B76,Seqs!$A:$B,2,0),K76,1),"")</f>
        <v>K</v>
      </c>
      <c r="K76" s="109">
        <v>57</v>
      </c>
      <c r="L76" s="9" t="str">
        <f>IFERROR(MID(VLOOKUP($B76,Seqs!$A:$B,2,0),M76,1),"")</f>
        <v>N</v>
      </c>
      <c r="M76" s="9">
        <v>60</v>
      </c>
      <c r="N76" s="9" t="str">
        <f>IFERROR(MID(VLOOKUP($B76,Seqs!$A:$B,2,0),O76,1),"")</f>
        <v>G</v>
      </c>
      <c r="O76" s="9">
        <v>89</v>
      </c>
      <c r="P76" s="9" t="str">
        <f>IFERROR(MID(VLOOKUP($B76,Seqs!$A:$B,2,0),Q76,1),"")</f>
        <v>H</v>
      </c>
      <c r="Q76" s="9">
        <v>90</v>
      </c>
      <c r="R76" s="9" t="str">
        <f>IFERROR(MID(VLOOKUP($B76,Seqs!$A:$B,2,0),S76,1),"")</f>
        <v>L</v>
      </c>
      <c r="S76" s="9">
        <v>93</v>
      </c>
      <c r="T76" s="9" t="str">
        <f>IFERROR(MID(VLOOKUP($B76,Seqs!$A:$B,2,0),U76,1),"")</f>
        <v>G</v>
      </c>
      <c r="U76" s="9">
        <v>94</v>
      </c>
      <c r="V76" s="9" t="str">
        <f>IFERROR(MID(VLOOKUP($B76,Seqs!$A:$B,2,0),W76,1),"")</f>
        <v>R</v>
      </c>
      <c r="W76" s="9">
        <v>129</v>
      </c>
      <c r="X76" s="9" t="str">
        <f>IFERROR(MID(VLOOKUP($B76,Seqs!$A:$B,2,0),Y76,1),"")</f>
        <v>P</v>
      </c>
      <c r="Y76" s="9">
        <v>130</v>
      </c>
      <c r="Z76" s="9" t="str">
        <f>IFERROR(MID(VLOOKUP($B76,Seqs!$A:$B,2,0),AA76,1),"")</f>
        <v>R</v>
      </c>
      <c r="AA76" s="9">
        <v>137</v>
      </c>
      <c r="AB76" s="9" t="str">
        <f>IFERROR(MID(VLOOKUP($B76,Seqs!$A:$B,2,0),AC76,1),"")</f>
        <v>T</v>
      </c>
      <c r="AC76" s="9">
        <v>138</v>
      </c>
      <c r="AD76" s="9" t="str">
        <f>IFERROR(MID(VLOOKUP($B76,Seqs!$A:$B,2,0),AE76,1),"")</f>
        <v>G</v>
      </c>
      <c r="AE76" s="9">
        <v>169</v>
      </c>
      <c r="AF76" s="9" t="str">
        <f>IFERROR(MID(VLOOKUP($B76,Seqs!$A:$B,2,0),AG76,1),"")</f>
        <v>C</v>
      </c>
      <c r="AG76" s="9">
        <v>178</v>
      </c>
      <c r="AH76" s="9" t="str">
        <f>IFERROR(MID(VLOOKUP($B76,Seqs!$A:$B,2,0),AI76,1),"")</f>
        <v>I</v>
      </c>
      <c r="AI76" s="9">
        <v>180</v>
      </c>
      <c r="AJ76" s="9" t="str">
        <f>IFERROR(MID(VLOOKUP($B76,Seqs!$A:$B,2,0),AK76,1),"")</f>
        <v>Q</v>
      </c>
      <c r="AK76" s="9">
        <v>185</v>
      </c>
      <c r="AL76" s="9" t="str">
        <f>IFERROR(MID(VLOOKUP($B76,Seqs!$A:$B,2,0),AM76,1),"")</f>
        <v>L</v>
      </c>
      <c r="AM76" s="9">
        <v>225</v>
      </c>
      <c r="AN76" s="9" t="str">
        <f>IFERROR(MID(VLOOKUP($B76,Seqs!$A:$B,2,0),AO76,1),"")</f>
        <v>K</v>
      </c>
      <c r="AO76" s="9">
        <v>362</v>
      </c>
      <c r="AP76" s="9" t="str">
        <f>IFERROR(MID(VLOOKUP($B76,Seqs!$A:$B,2,0),AQ76,1),"")</f>
        <v>C</v>
      </c>
      <c r="AQ76" s="9">
        <v>391</v>
      </c>
      <c r="AR76" s="9" t="str">
        <f>IFERROR(MID(VLOOKUP($B76,Seqs!$A:$B,2,0),AS76,1),"")</f>
        <v>E</v>
      </c>
      <c r="AS76" s="9">
        <v>397</v>
      </c>
      <c r="AT76" s="9" t="str">
        <f>IFERROR(MID(VLOOKUP($B76,Seqs!$A:$B,2,0),AU76,1),"")</f>
        <v>C</v>
      </c>
      <c r="AU76" s="9">
        <v>421</v>
      </c>
      <c r="AV76" s="9" t="str">
        <f>IFERROR(MID(VLOOKUP($B76,Seqs!$A:$B,2,0),AW76,1),"")</f>
        <v>N</v>
      </c>
      <c r="AW76" s="9">
        <v>422</v>
      </c>
      <c r="AX76" s="9" t="str">
        <f>IFERROR(MID(VLOOKUP($B76,Seqs!$A:$B,2,0),AY76,1),"")</f>
        <v>L</v>
      </c>
      <c r="AY76" s="9">
        <v>433</v>
      </c>
      <c r="AZ76" s="110" t="str">
        <f>VLOOKUP(B76,Classification!A:D,2,0)</f>
        <v>A</v>
      </c>
      <c r="BA76" s="98" t="str">
        <f>VLOOKUP(B76,Classification!A:D,4,0)</f>
        <v>Acetylcholine(muscarinic)</v>
      </c>
      <c r="BB76" s="36" t="b">
        <f t="shared" ref="BB76" si="476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109">
        <f t="shared" ref="BC76" si="477">_xlfn.AGGREGATE(9,6,CH76:CS76)-_xlfn.AGGREGATE(9,6,BV76:CG76)+12</f>
        <v>256</v>
      </c>
      <c r="BD76" s="126" t="s">
        <v>1375</v>
      </c>
      <c r="BE76" s="9" t="s">
        <v>1291</v>
      </c>
      <c r="BF76" s="119">
        <v>3.3</v>
      </c>
      <c r="BG76" s="51" t="s">
        <v>1422</v>
      </c>
      <c r="BH76" s="51" t="s">
        <v>1422</v>
      </c>
      <c r="BJ76" s="111" t="s">
        <v>1287</v>
      </c>
      <c r="BK76" s="112" t="s">
        <v>1287</v>
      </c>
      <c r="BL76" s="112" t="s">
        <v>1287</v>
      </c>
      <c r="BM76" s="112" t="s">
        <v>1287</v>
      </c>
      <c r="BN76" s="112" t="s">
        <v>1287</v>
      </c>
      <c r="BO76" s="112" t="s">
        <v>1287</v>
      </c>
      <c r="BP76" s="112" t="s">
        <v>1287</v>
      </c>
      <c r="BQ76" s="112" t="s">
        <v>1287</v>
      </c>
      <c r="BR76" s="112" t="s">
        <v>1287</v>
      </c>
      <c r="BS76" s="112" t="s">
        <v>1287</v>
      </c>
      <c r="BT76" s="112" t="s">
        <v>1287</v>
      </c>
      <c r="BU76" s="112" t="s">
        <v>1287</v>
      </c>
      <c r="BV76" s="111">
        <f t="shared" ref="BV76" si="478">E76</f>
        <v>23</v>
      </c>
      <c r="BW76" s="113">
        <f t="shared" ref="BW76" si="479">I76</f>
        <v>54</v>
      </c>
      <c r="BX76" s="114">
        <f t="shared" ref="BX76" si="480">M76</f>
        <v>60</v>
      </c>
      <c r="BY76" s="113">
        <f t="shared" ref="BY76" si="481">Q76</f>
        <v>90</v>
      </c>
      <c r="BZ76" s="114">
        <f t="shared" ref="BZ76" si="482">U76</f>
        <v>94</v>
      </c>
      <c r="CA76" s="113">
        <f t="shared" ref="CA76" si="483">Y76</f>
        <v>130</v>
      </c>
      <c r="CB76" s="114">
        <f t="shared" ref="CB76" si="484">AC76</f>
        <v>138</v>
      </c>
      <c r="CC76" s="113">
        <f t="shared" ref="CC76" si="485">AG76</f>
        <v>178</v>
      </c>
      <c r="CD76" s="114">
        <f t="shared" ref="CD76" si="486">AK76</f>
        <v>185</v>
      </c>
      <c r="CE76" s="113">
        <f t="shared" ref="CE76" si="487">AO76</f>
        <v>362</v>
      </c>
      <c r="CF76" s="114">
        <f t="shared" ref="CF76" si="488">AS76</f>
        <v>397</v>
      </c>
      <c r="CG76" s="113">
        <f t="shared" ref="CG76" si="489">AW76</f>
        <v>422</v>
      </c>
      <c r="CH76" s="111">
        <f t="shared" ref="CH76" si="490">G76</f>
        <v>53</v>
      </c>
      <c r="CI76" s="113">
        <f t="shared" ref="CI76" si="491">K76</f>
        <v>57</v>
      </c>
      <c r="CJ76" s="114">
        <f t="shared" ref="CJ76" si="492">O76</f>
        <v>89</v>
      </c>
      <c r="CK76" s="114">
        <f t="shared" ref="CK76" si="493">S76</f>
        <v>93</v>
      </c>
      <c r="CL76" s="114">
        <f t="shared" ref="CL76" si="494">W76</f>
        <v>129</v>
      </c>
      <c r="CM76" s="114">
        <f t="shared" ref="CM76" si="495">AA76</f>
        <v>137</v>
      </c>
      <c r="CN76" s="114">
        <f t="shared" ref="CN76" si="496">AE76</f>
        <v>169</v>
      </c>
      <c r="CO76" s="114">
        <f t="shared" ref="CO76" si="497">AI76</f>
        <v>180</v>
      </c>
      <c r="CP76" s="114">
        <f t="shared" ref="CP76" si="498">AM76</f>
        <v>225</v>
      </c>
      <c r="CQ76" s="114">
        <f t="shared" ref="CQ76" si="499">AQ76</f>
        <v>391</v>
      </c>
      <c r="CR76" s="114">
        <f t="shared" ref="CR76" si="500">AU76</f>
        <v>421</v>
      </c>
      <c r="CS76" s="114">
        <f t="shared" ref="CS76" si="501">AY76</f>
        <v>433</v>
      </c>
      <c r="CT76" s="109">
        <f t="shared" ref="CT76" si="502">M76-K76</f>
        <v>3</v>
      </c>
    </row>
    <row r="77" spans="1:1029" x14ac:dyDescent="0.2">
      <c r="A77" s="3" t="str">
        <f t="shared" si="0"/>
        <v>acm2_human__wt</v>
      </c>
      <c r="B77" s="3" t="s">
        <v>147</v>
      </c>
      <c r="C77" s="3" t="s">
        <v>100</v>
      </c>
      <c r="D77" s="3" t="str">
        <f>IFERROR(MID(VLOOKUP($B77,Seqs!$A:$B,2,0),E77,1),"")</f>
        <v>K</v>
      </c>
      <c r="E77" s="3">
        <v>19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105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9">
        <v>136</v>
      </c>
      <c r="AD77" s="3" t="str">
        <f>IFERROR(MID(VLOOKUP($B77,Seqs!$A:$B,2,0),AE77,1),"")</f>
        <v>G</v>
      </c>
      <c r="AE77" s="3">
        <v>167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E</v>
      </c>
      <c r="AM77" s="3">
        <v>223</v>
      </c>
      <c r="AN77" s="3" t="str">
        <f>IFERROR(MID(VLOOKUP($B77,Seqs!$A:$B,2,0),AO77,1),"")</f>
        <v>K</v>
      </c>
      <c r="AO77" s="3">
        <v>376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3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1"/>
        <v>1</v>
      </c>
      <c r="BC77" s="23">
        <f t="shared" si="225"/>
        <v>270</v>
      </c>
      <c r="BD77" s="56" t="s">
        <v>23</v>
      </c>
      <c r="BE77" s="3" t="s">
        <v>23</v>
      </c>
      <c r="BF77" s="118" t="s">
        <v>23</v>
      </c>
      <c r="BG77" s="49" t="s">
        <v>1372</v>
      </c>
      <c r="BH77" s="49" t="s">
        <v>1377</v>
      </c>
      <c r="BI77" s="1"/>
      <c r="BJ77" s="70" t="s">
        <v>1287</v>
      </c>
      <c r="BK77" s="57" t="s">
        <v>1287</v>
      </c>
      <c r="BL77" s="57" t="s">
        <v>1287</v>
      </c>
      <c r="BM77" s="57" t="s">
        <v>1287</v>
      </c>
      <c r="BN77" s="57" t="s">
        <v>1287</v>
      </c>
      <c r="BO77" s="57" t="s">
        <v>1287</v>
      </c>
      <c r="BP77" s="57" t="s">
        <v>1287</v>
      </c>
      <c r="BQ77" s="57" t="s">
        <v>1287</v>
      </c>
      <c r="BR77" s="57" t="s">
        <v>1287</v>
      </c>
      <c r="BS77" s="57" t="s">
        <v>1287</v>
      </c>
      <c r="BT77" s="57" t="s">
        <v>1287</v>
      </c>
      <c r="BU77" s="57" t="s">
        <v>1287</v>
      </c>
      <c r="BV77" s="70">
        <f t="shared" si="226"/>
        <v>19</v>
      </c>
      <c r="BW77" s="71">
        <f t="shared" si="227"/>
        <v>52</v>
      </c>
      <c r="BX77" s="72">
        <f t="shared" si="228"/>
        <v>56</v>
      </c>
      <c r="BY77" s="71">
        <f t="shared" si="229"/>
        <v>88</v>
      </c>
      <c r="BZ77" s="72">
        <f t="shared" si="230"/>
        <v>92</v>
      </c>
      <c r="CA77" s="71">
        <f t="shared" si="231"/>
        <v>128</v>
      </c>
      <c r="CB77" s="72">
        <f t="shared" si="232"/>
        <v>136</v>
      </c>
      <c r="CC77" s="71">
        <f t="shared" si="233"/>
        <v>176</v>
      </c>
      <c r="CD77" s="72">
        <f t="shared" si="234"/>
        <v>183</v>
      </c>
      <c r="CE77" s="71">
        <f t="shared" si="235"/>
        <v>376</v>
      </c>
      <c r="CF77" s="72">
        <f t="shared" si="236"/>
        <v>418</v>
      </c>
      <c r="CG77" s="71">
        <f t="shared" si="237"/>
        <v>444</v>
      </c>
      <c r="CH77" s="70">
        <f t="shared" si="238"/>
        <v>51</v>
      </c>
      <c r="CI77" s="71">
        <f t="shared" si="239"/>
        <v>55</v>
      </c>
      <c r="CJ77" s="72">
        <f t="shared" si="240"/>
        <v>87</v>
      </c>
      <c r="CK77" s="72">
        <f t="shared" si="241"/>
        <v>91</v>
      </c>
      <c r="CL77" s="72">
        <f t="shared" si="242"/>
        <v>127</v>
      </c>
      <c r="CM77" s="72">
        <f t="shared" si="243"/>
        <v>135</v>
      </c>
      <c r="CN77" s="72">
        <f t="shared" si="244"/>
        <v>167</v>
      </c>
      <c r="CO77" s="72">
        <f t="shared" si="245"/>
        <v>178</v>
      </c>
      <c r="CP77" s="72">
        <f t="shared" si="246"/>
        <v>223</v>
      </c>
      <c r="CQ77" s="72">
        <f t="shared" si="247"/>
        <v>413</v>
      </c>
      <c r="CR77" s="72">
        <f t="shared" si="248"/>
        <v>443</v>
      </c>
      <c r="CS77" s="72">
        <f t="shared" si="249"/>
        <v>456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:A126" si="503">CONCATENATE(B78,"_",C78)</f>
        <v>acm2_human_3UON</v>
      </c>
      <c r="B78" s="3" t="s">
        <v>147</v>
      </c>
      <c r="C78" s="3" t="s">
        <v>79</v>
      </c>
      <c r="D78" s="3" t="str">
        <f>IFERROR(MID(VLOOKUP($B78,Seqs!$A:$B,2,0),E78,1),"")</f>
        <v>V</v>
      </c>
      <c r="E78" s="3">
        <v>23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I</v>
      </c>
      <c r="O78" s="3">
        <v>86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9">
        <v>136</v>
      </c>
      <c r="AD78" s="3" t="str">
        <f>IFERROR(MID(VLOOKUP($B78,Seqs!$A:$B,2,0),AE78,1),"")</f>
        <v>G</v>
      </c>
      <c r="AE78" s="3">
        <v>167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S</v>
      </c>
      <c r="AM78" s="3">
        <v>213</v>
      </c>
      <c r="AN78" s="3" t="str">
        <f>IFERROR(MID(VLOOKUP($B78,Seqs!$A:$B,2,0),AO78,1),"")</f>
        <v>K</v>
      </c>
      <c r="AO78" s="3">
        <v>384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3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:BB126" si="504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si="225"/>
        <v>247</v>
      </c>
      <c r="BD78" s="16" t="s">
        <v>23</v>
      </c>
      <c r="BE78" s="3" t="s">
        <v>1374</v>
      </c>
      <c r="BF78" s="118">
        <v>3</v>
      </c>
      <c r="BG78" s="49" t="s">
        <v>1377</v>
      </c>
      <c r="BH78" s="49" t="s">
        <v>1377</v>
      </c>
      <c r="BI78" s="1"/>
      <c r="BJ78" s="70" t="s">
        <v>1287</v>
      </c>
      <c r="BK78" s="57" t="s">
        <v>1287</v>
      </c>
      <c r="BL78" s="57" t="s">
        <v>1287</v>
      </c>
      <c r="BM78" s="57" t="s">
        <v>1287</v>
      </c>
      <c r="BN78" s="57" t="s">
        <v>1287</v>
      </c>
      <c r="BO78" s="57" t="s">
        <v>1287</v>
      </c>
      <c r="BP78" s="57" t="s">
        <v>1287</v>
      </c>
      <c r="BQ78" s="57" t="s">
        <v>1287</v>
      </c>
      <c r="BR78" s="57" t="s">
        <v>1287</v>
      </c>
      <c r="BS78" s="57" t="s">
        <v>1287</v>
      </c>
      <c r="BT78" s="57" t="s">
        <v>1287</v>
      </c>
      <c r="BU78" s="57" t="s">
        <v>1287</v>
      </c>
      <c r="BV78" s="70">
        <f t="shared" si="226"/>
        <v>23</v>
      </c>
      <c r="BW78" s="71">
        <f t="shared" si="227"/>
        <v>52</v>
      </c>
      <c r="BX78" s="72">
        <f t="shared" si="228"/>
        <v>56</v>
      </c>
      <c r="BY78" s="71">
        <f t="shared" si="229"/>
        <v>88</v>
      </c>
      <c r="BZ78" s="72">
        <f t="shared" si="230"/>
        <v>92</v>
      </c>
      <c r="CA78" s="71">
        <f t="shared" si="231"/>
        <v>128</v>
      </c>
      <c r="CB78" s="72">
        <f t="shared" si="232"/>
        <v>136</v>
      </c>
      <c r="CC78" s="71">
        <f t="shared" si="233"/>
        <v>176</v>
      </c>
      <c r="CD78" s="72">
        <f t="shared" si="234"/>
        <v>183</v>
      </c>
      <c r="CE78" s="71">
        <f t="shared" si="235"/>
        <v>384</v>
      </c>
      <c r="CF78" s="72">
        <f t="shared" si="236"/>
        <v>418</v>
      </c>
      <c r="CG78" s="71">
        <f t="shared" si="237"/>
        <v>444</v>
      </c>
      <c r="CH78" s="70">
        <f t="shared" si="238"/>
        <v>51</v>
      </c>
      <c r="CI78" s="71">
        <f t="shared" si="239"/>
        <v>55</v>
      </c>
      <c r="CJ78" s="72">
        <f t="shared" si="240"/>
        <v>86</v>
      </c>
      <c r="CK78" s="72">
        <f t="shared" si="241"/>
        <v>91</v>
      </c>
      <c r="CL78" s="72">
        <f t="shared" si="242"/>
        <v>127</v>
      </c>
      <c r="CM78" s="72">
        <f t="shared" si="243"/>
        <v>135</v>
      </c>
      <c r="CN78" s="72">
        <f t="shared" si="244"/>
        <v>167</v>
      </c>
      <c r="CO78" s="72">
        <f t="shared" si="245"/>
        <v>178</v>
      </c>
      <c r="CP78" s="72">
        <f t="shared" si="246"/>
        <v>213</v>
      </c>
      <c r="CQ78" s="72">
        <f t="shared" si="247"/>
        <v>413</v>
      </c>
      <c r="CR78" s="72">
        <f t="shared" si="248"/>
        <v>443</v>
      </c>
      <c r="CS78" s="72">
        <f t="shared" si="249"/>
        <v>456</v>
      </c>
      <c r="CT78" s="23">
        <f t="shared" si="250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503"/>
        <v>acm2_human_4MQS</v>
      </c>
      <c r="B79" s="3" t="s">
        <v>147</v>
      </c>
      <c r="C79" s="3" t="s">
        <v>68</v>
      </c>
      <c r="D79" s="3" t="str">
        <f>IFERROR(MID(VLOOKUP($B79,Seqs!$A:$B,2,0),E79,1),"")</f>
        <v>K</v>
      </c>
      <c r="E79" s="3">
        <v>19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9">
        <v>136</v>
      </c>
      <c r="AD79" s="3" t="str">
        <f>IFERROR(MID(VLOOKUP($B79,Seqs!$A:$B,2,0),AE79,1),"")</f>
        <v>G</v>
      </c>
      <c r="AE79" s="3">
        <v>167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S</v>
      </c>
      <c r="AO79" s="3">
        <v>380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3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504"/>
        <v>1</v>
      </c>
      <c r="BC79" s="23">
        <f t="shared" si="225"/>
        <v>257</v>
      </c>
      <c r="BD79" s="4" t="s">
        <v>23</v>
      </c>
      <c r="BE79" s="3" t="s">
        <v>1291</v>
      </c>
      <c r="BF79" s="118">
        <v>3.5</v>
      </c>
      <c r="BG79" s="49" t="s">
        <v>1377</v>
      </c>
      <c r="BH79" s="49" t="s">
        <v>1377</v>
      </c>
      <c r="BI79" s="1"/>
      <c r="BJ79" s="70" t="s">
        <v>1287</v>
      </c>
      <c r="BK79" s="57" t="s">
        <v>1287</v>
      </c>
      <c r="BL79" s="57" t="s">
        <v>1287</v>
      </c>
      <c r="BM79" s="57" t="s">
        <v>1287</v>
      </c>
      <c r="BN79" s="57" t="s">
        <v>1287</v>
      </c>
      <c r="BO79" s="57" t="s">
        <v>1287</v>
      </c>
      <c r="BP79" s="57" t="s">
        <v>1287</v>
      </c>
      <c r="BQ79" s="57" t="s">
        <v>1287</v>
      </c>
      <c r="BR79" s="57" t="s">
        <v>1287</v>
      </c>
      <c r="BS79" s="57" t="s">
        <v>1287</v>
      </c>
      <c r="BT79" s="57" t="s">
        <v>1287</v>
      </c>
      <c r="BU79" s="57" t="s">
        <v>1287</v>
      </c>
      <c r="BV79" s="70">
        <f t="shared" si="226"/>
        <v>19</v>
      </c>
      <c r="BW79" s="71">
        <f t="shared" si="227"/>
        <v>52</v>
      </c>
      <c r="BX79" s="72">
        <f t="shared" si="228"/>
        <v>56</v>
      </c>
      <c r="BY79" s="71">
        <f t="shared" si="229"/>
        <v>88</v>
      </c>
      <c r="BZ79" s="72">
        <f t="shared" si="230"/>
        <v>92</v>
      </c>
      <c r="CA79" s="71">
        <f t="shared" si="231"/>
        <v>128</v>
      </c>
      <c r="CB79" s="72">
        <f t="shared" si="232"/>
        <v>136</v>
      </c>
      <c r="CC79" s="71">
        <f t="shared" si="233"/>
        <v>176</v>
      </c>
      <c r="CD79" s="72">
        <f t="shared" si="234"/>
        <v>183</v>
      </c>
      <c r="CE79" s="71">
        <f t="shared" si="235"/>
        <v>380</v>
      </c>
      <c r="CF79" s="72">
        <f t="shared" si="236"/>
        <v>418</v>
      </c>
      <c r="CG79" s="71">
        <f t="shared" si="237"/>
        <v>444</v>
      </c>
      <c r="CH79" s="70">
        <f t="shared" si="238"/>
        <v>51</v>
      </c>
      <c r="CI79" s="71">
        <f t="shared" si="239"/>
        <v>55</v>
      </c>
      <c r="CJ79" s="72">
        <f t="shared" si="240"/>
        <v>87</v>
      </c>
      <c r="CK79" s="72">
        <f t="shared" si="241"/>
        <v>91</v>
      </c>
      <c r="CL79" s="72">
        <f t="shared" si="242"/>
        <v>127</v>
      </c>
      <c r="CM79" s="72">
        <f t="shared" si="243"/>
        <v>135</v>
      </c>
      <c r="CN79" s="72">
        <f t="shared" si="244"/>
        <v>167</v>
      </c>
      <c r="CO79" s="72">
        <f t="shared" si="245"/>
        <v>178</v>
      </c>
      <c r="CP79" s="72">
        <f t="shared" si="246"/>
        <v>214</v>
      </c>
      <c r="CQ79" s="72">
        <f t="shared" si="247"/>
        <v>413</v>
      </c>
      <c r="CR79" s="72">
        <f t="shared" si="248"/>
        <v>443</v>
      </c>
      <c r="CS79" s="72">
        <f t="shared" si="249"/>
        <v>456</v>
      </c>
      <c r="CT79" s="23">
        <f t="shared" si="250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503"/>
        <v>acm2_human_4MQT</v>
      </c>
      <c r="B80" s="3" t="s">
        <v>147</v>
      </c>
      <c r="C80" s="3" t="s">
        <v>1046</v>
      </c>
      <c r="D80" s="3" t="str">
        <f>IFERROR(MID(VLOOKUP($B80,Seqs!$A:$B,2,0),E80,1),"")</f>
        <v>K</v>
      </c>
      <c r="E80" s="3">
        <v>19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3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9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S</v>
      </c>
      <c r="AM80" s="3">
        <v>215</v>
      </c>
      <c r="AN80" s="3" t="str">
        <f>IFERROR(MID(VLOOKUP($B80,Seqs!$A:$B,2,0),AO80,1),"")</f>
        <v>P</v>
      </c>
      <c r="AO80" s="3">
        <v>379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3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C</v>
      </c>
      <c r="AY80" s="3">
        <v>457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504"/>
        <v>1</v>
      </c>
      <c r="BC80" s="23">
        <f t="shared" si="225"/>
        <v>260</v>
      </c>
      <c r="BD80" s="4" t="s">
        <v>1375</v>
      </c>
      <c r="BE80" s="3" t="s">
        <v>1291</v>
      </c>
      <c r="BF80" s="118">
        <v>3.7</v>
      </c>
      <c r="BG80" s="49" t="s">
        <v>1377</v>
      </c>
      <c r="BH80" s="49" t="s">
        <v>1377</v>
      </c>
      <c r="BI80" s="1"/>
      <c r="BJ80" s="70" t="s">
        <v>1287</v>
      </c>
      <c r="BK80" s="57" t="s">
        <v>1287</v>
      </c>
      <c r="BL80" s="57" t="s">
        <v>1287</v>
      </c>
      <c r="BM80" s="57" t="s">
        <v>1287</v>
      </c>
      <c r="BN80" s="57" t="s">
        <v>1287</v>
      </c>
      <c r="BO80" s="57" t="s">
        <v>1287</v>
      </c>
      <c r="BP80" s="57" t="s">
        <v>1287</v>
      </c>
      <c r="BQ80" s="57" t="s">
        <v>1287</v>
      </c>
      <c r="BR80" s="57" t="s">
        <v>1287</v>
      </c>
      <c r="BS80" s="57" t="s">
        <v>1287</v>
      </c>
      <c r="BT80" s="57" t="s">
        <v>1287</v>
      </c>
      <c r="BU80" s="57" t="s">
        <v>1287</v>
      </c>
      <c r="BV80" s="70">
        <f t="shared" si="226"/>
        <v>19</v>
      </c>
      <c r="BW80" s="71">
        <f t="shared" si="227"/>
        <v>52</v>
      </c>
      <c r="BX80" s="72">
        <f t="shared" si="228"/>
        <v>56</v>
      </c>
      <c r="BY80" s="71">
        <f t="shared" si="229"/>
        <v>88</v>
      </c>
      <c r="BZ80" s="72">
        <f t="shared" si="230"/>
        <v>92</v>
      </c>
      <c r="CA80" s="71">
        <f t="shared" si="231"/>
        <v>128</v>
      </c>
      <c r="CB80" s="72">
        <f t="shared" si="232"/>
        <v>136</v>
      </c>
      <c r="CC80" s="71">
        <f t="shared" si="233"/>
        <v>176</v>
      </c>
      <c r="CD80" s="72">
        <f t="shared" si="234"/>
        <v>183</v>
      </c>
      <c r="CE80" s="71">
        <f t="shared" si="235"/>
        <v>379</v>
      </c>
      <c r="CF80" s="72">
        <f t="shared" si="236"/>
        <v>418</v>
      </c>
      <c r="CG80" s="71">
        <f t="shared" si="237"/>
        <v>444</v>
      </c>
      <c r="CH80" s="70">
        <f t="shared" si="238"/>
        <v>51</v>
      </c>
      <c r="CI80" s="71">
        <f t="shared" si="239"/>
        <v>55</v>
      </c>
      <c r="CJ80" s="72">
        <f t="shared" si="240"/>
        <v>87</v>
      </c>
      <c r="CK80" s="72">
        <f t="shared" si="241"/>
        <v>91</v>
      </c>
      <c r="CL80" s="72">
        <f t="shared" si="242"/>
        <v>127</v>
      </c>
      <c r="CM80" s="72">
        <f t="shared" si="243"/>
        <v>135</v>
      </c>
      <c r="CN80" s="72">
        <f t="shared" si="244"/>
        <v>167</v>
      </c>
      <c r="CO80" s="72">
        <f t="shared" si="245"/>
        <v>178</v>
      </c>
      <c r="CP80" s="72">
        <f t="shared" si="246"/>
        <v>215</v>
      </c>
      <c r="CQ80" s="72">
        <f t="shared" si="247"/>
        <v>413</v>
      </c>
      <c r="CR80" s="72">
        <f t="shared" si="248"/>
        <v>443</v>
      </c>
      <c r="CS80" s="72">
        <f t="shared" si="249"/>
        <v>457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" si="505">CONCATENATE(B81,"_",C81)</f>
        <v>acm2_human_5ZKC</v>
      </c>
      <c r="B81" s="3" t="s">
        <v>147</v>
      </c>
      <c r="C81" s="3" t="s">
        <v>1530</v>
      </c>
      <c r="D81" s="3" t="str">
        <f>IFERROR(MID(VLOOKUP($B81,Seqs!$A:$B,2,0),E81,1),"")</f>
        <v>P</v>
      </c>
      <c r="E81" s="3">
        <v>17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3">
        <v>136</v>
      </c>
      <c r="AD81" s="3" t="str">
        <f>IFERROR(MID(VLOOKUP($B81,Seqs!$A:$B,2,0),AE81,1),"")</f>
        <v>V</v>
      </c>
      <c r="AE81" s="3">
        <v>166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R</v>
      </c>
      <c r="AO81" s="3">
        <v>381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105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" si="50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" si="507">_xlfn.AGGREGATE(9,6,CH81:CS81)-_xlfn.AGGREGATE(9,6,BV81:CG81)+12</f>
        <v>257</v>
      </c>
      <c r="BD81" s="4" t="s">
        <v>1376</v>
      </c>
      <c r="BE81" s="3" t="s">
        <v>1374</v>
      </c>
      <c r="BF81" s="118">
        <v>2.2999999999999998</v>
      </c>
      <c r="BG81" s="49" t="s">
        <v>1</v>
      </c>
      <c r="BH81" s="49" t="s">
        <v>1</v>
      </c>
      <c r="BI81" s="1"/>
      <c r="BJ81" s="70" t="s">
        <v>1287</v>
      </c>
      <c r="BK81" s="57" t="s">
        <v>1287</v>
      </c>
      <c r="BL81" s="57" t="s">
        <v>1287</v>
      </c>
      <c r="BM81" s="57" t="s">
        <v>1287</v>
      </c>
      <c r="BN81" s="57" t="s">
        <v>1287</v>
      </c>
      <c r="BO81" s="57" t="s">
        <v>1287</v>
      </c>
      <c r="BP81" s="57" t="s">
        <v>1287</v>
      </c>
      <c r="BQ81" s="57" t="s">
        <v>1287</v>
      </c>
      <c r="BR81" s="57" t="s">
        <v>1287</v>
      </c>
      <c r="BS81" s="57" t="s">
        <v>1287</v>
      </c>
      <c r="BT81" s="57" t="s">
        <v>1287</v>
      </c>
      <c r="BU81" s="57" t="s">
        <v>1287</v>
      </c>
      <c r="BV81" s="70">
        <f t="shared" ref="BV81" si="508">E81</f>
        <v>17</v>
      </c>
      <c r="BW81" s="71">
        <f t="shared" ref="BW81" si="509">I81</f>
        <v>52</v>
      </c>
      <c r="BX81" s="72">
        <f t="shared" ref="BX81" si="510">M81</f>
        <v>56</v>
      </c>
      <c r="BY81" s="71">
        <f t="shared" ref="BY81" si="511">Q81</f>
        <v>88</v>
      </c>
      <c r="BZ81" s="72">
        <f t="shared" ref="BZ81" si="512">U81</f>
        <v>92</v>
      </c>
      <c r="CA81" s="71">
        <f t="shared" ref="CA81" si="513">Y81</f>
        <v>128</v>
      </c>
      <c r="CB81" s="72">
        <f t="shared" ref="CB81" si="514">AC81</f>
        <v>136</v>
      </c>
      <c r="CC81" s="71">
        <f t="shared" ref="CC81" si="515">AG81</f>
        <v>176</v>
      </c>
      <c r="CD81" s="72">
        <f t="shared" ref="CD81" si="516">AK81</f>
        <v>183</v>
      </c>
      <c r="CE81" s="71">
        <f t="shared" ref="CE81" si="517">AO81</f>
        <v>381</v>
      </c>
      <c r="CF81" s="72">
        <f t="shared" ref="CF81" si="518">AS81</f>
        <v>418</v>
      </c>
      <c r="CG81" s="71">
        <f t="shared" ref="CG81" si="519">AW81</f>
        <v>444</v>
      </c>
      <c r="CH81" s="70">
        <f t="shared" ref="CH81" si="520">G81</f>
        <v>51</v>
      </c>
      <c r="CI81" s="71">
        <f t="shared" ref="CI81" si="521">K81</f>
        <v>55</v>
      </c>
      <c r="CJ81" s="72">
        <f t="shared" ref="CJ81" si="522">O81</f>
        <v>87</v>
      </c>
      <c r="CK81" s="72">
        <f t="shared" ref="CK81" si="523">S81</f>
        <v>91</v>
      </c>
      <c r="CL81" s="72">
        <f t="shared" ref="CL81" si="524">W81</f>
        <v>127</v>
      </c>
      <c r="CM81" s="72">
        <f t="shared" ref="CM81" si="525">AA81</f>
        <v>135</v>
      </c>
      <c r="CN81" s="72">
        <f t="shared" ref="CN81" si="526">AE81</f>
        <v>166</v>
      </c>
      <c r="CO81" s="72">
        <f t="shared" ref="CO81" si="527">AI81</f>
        <v>178</v>
      </c>
      <c r="CP81" s="72">
        <f t="shared" ref="CP81" si="528">AM81</f>
        <v>214</v>
      </c>
      <c r="CQ81" s="72">
        <f t="shared" ref="CQ81" si="529">AQ81</f>
        <v>413</v>
      </c>
      <c r="CR81" s="72">
        <f t="shared" ref="CR81" si="530">AU81</f>
        <v>443</v>
      </c>
      <c r="CS81" s="72">
        <f t="shared" ref="CS81" si="531">AY81</f>
        <v>456</v>
      </c>
      <c r="CT81" s="23">
        <f t="shared" ref="CT81" si="532">M81-K81</f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ref="A82" si="533">CONCATENATE(B82,"_",C82)</f>
        <v>acm2_human_5ZKB</v>
      </c>
      <c r="B82" s="3" t="s">
        <v>147</v>
      </c>
      <c r="C82" s="3" t="s">
        <v>1531</v>
      </c>
      <c r="D82" s="3" t="str">
        <f>IFERROR(MID(VLOOKUP($B82,Seqs!$A:$B,2,0),E82,1),"")</f>
        <v>Y</v>
      </c>
      <c r="E82" s="3">
        <v>18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3">
        <v>136</v>
      </c>
      <c r="AD82" s="3" t="str">
        <f>IFERROR(MID(VLOOKUP($B82,Seqs!$A:$B,2,0),AE82,1),"")</f>
        <v>V</v>
      </c>
      <c r="AE82" s="3">
        <v>166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S</v>
      </c>
      <c r="AO82" s="3">
        <v>380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105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ref="BB82" si="53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23">
        <f t="shared" ref="BC82" si="535">_xlfn.AGGREGATE(9,6,CH82:CS82)-_xlfn.AGGREGATE(9,6,BV82:CG82)+12</f>
        <v>257</v>
      </c>
      <c r="BD82" s="4" t="s">
        <v>23</v>
      </c>
      <c r="BE82" s="3" t="s">
        <v>1374</v>
      </c>
      <c r="BF82" s="118">
        <v>2.95</v>
      </c>
      <c r="BG82" s="49" t="s">
        <v>1</v>
      </c>
      <c r="BH82" s="49" t="s">
        <v>1</v>
      </c>
      <c r="BI82" s="1"/>
      <c r="BJ82" s="70" t="s">
        <v>1287</v>
      </c>
      <c r="BK82" s="57" t="s">
        <v>1287</v>
      </c>
      <c r="BL82" s="57" t="s">
        <v>1287</v>
      </c>
      <c r="BM82" s="57" t="s">
        <v>1287</v>
      </c>
      <c r="BN82" s="57" t="s">
        <v>1287</v>
      </c>
      <c r="BO82" s="57" t="s">
        <v>1287</v>
      </c>
      <c r="BP82" s="57" t="s">
        <v>1287</v>
      </c>
      <c r="BQ82" s="57" t="s">
        <v>1287</v>
      </c>
      <c r="BR82" s="57" t="s">
        <v>1287</v>
      </c>
      <c r="BS82" s="57" t="s">
        <v>1287</v>
      </c>
      <c r="BT82" s="57" t="s">
        <v>1287</v>
      </c>
      <c r="BU82" s="57" t="s">
        <v>1287</v>
      </c>
      <c r="BV82" s="70">
        <f t="shared" ref="BV82" si="536">E82</f>
        <v>18</v>
      </c>
      <c r="BW82" s="71">
        <f t="shared" ref="BW82" si="537">I82</f>
        <v>52</v>
      </c>
      <c r="BX82" s="72">
        <f t="shared" ref="BX82" si="538">M82</f>
        <v>56</v>
      </c>
      <c r="BY82" s="71">
        <f t="shared" ref="BY82" si="539">Q82</f>
        <v>88</v>
      </c>
      <c r="BZ82" s="72">
        <f t="shared" ref="BZ82" si="540">U82</f>
        <v>92</v>
      </c>
      <c r="CA82" s="71">
        <f t="shared" ref="CA82" si="541">Y82</f>
        <v>128</v>
      </c>
      <c r="CB82" s="72">
        <f t="shared" ref="CB82" si="542">AC82</f>
        <v>136</v>
      </c>
      <c r="CC82" s="71">
        <f t="shared" ref="CC82" si="543">AG82</f>
        <v>176</v>
      </c>
      <c r="CD82" s="72">
        <f t="shared" ref="CD82" si="544">AK82</f>
        <v>183</v>
      </c>
      <c r="CE82" s="71">
        <f t="shared" ref="CE82" si="545">AO82</f>
        <v>380</v>
      </c>
      <c r="CF82" s="72">
        <f t="shared" ref="CF82" si="546">AS82</f>
        <v>418</v>
      </c>
      <c r="CG82" s="71">
        <f t="shared" ref="CG82" si="547">AW82</f>
        <v>444</v>
      </c>
      <c r="CH82" s="70">
        <f t="shared" ref="CH82" si="548">G82</f>
        <v>51</v>
      </c>
      <c r="CI82" s="71">
        <f t="shared" ref="CI82" si="549">K82</f>
        <v>55</v>
      </c>
      <c r="CJ82" s="72">
        <f t="shared" ref="CJ82" si="550">O82</f>
        <v>87</v>
      </c>
      <c r="CK82" s="72">
        <f t="shared" ref="CK82" si="551">S82</f>
        <v>91</v>
      </c>
      <c r="CL82" s="72">
        <f t="shared" ref="CL82" si="552">W82</f>
        <v>127</v>
      </c>
      <c r="CM82" s="72">
        <f t="shared" ref="CM82" si="553">AA82</f>
        <v>135</v>
      </c>
      <c r="CN82" s="72">
        <f t="shared" ref="CN82" si="554">AE82</f>
        <v>166</v>
      </c>
      <c r="CO82" s="72">
        <f t="shared" ref="CO82" si="555">AI82</f>
        <v>178</v>
      </c>
      <c r="CP82" s="72">
        <f t="shared" ref="CP82" si="556">AM82</f>
        <v>214</v>
      </c>
      <c r="CQ82" s="72">
        <f t="shared" ref="CQ82" si="557">AQ82</f>
        <v>413</v>
      </c>
      <c r="CR82" s="72">
        <f t="shared" ref="CR82" si="558">AU82</f>
        <v>443</v>
      </c>
      <c r="CS82" s="72">
        <f t="shared" ref="CS82" si="559">AY82</f>
        <v>456</v>
      </c>
      <c r="CT82" s="23">
        <f t="shared" ref="CT82" si="560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561">CONCATENATE(B83,"_",C83)</f>
        <v>acm2_human_5ZK8</v>
      </c>
      <c r="B83" s="3" t="s">
        <v>147</v>
      </c>
      <c r="C83" s="3" t="s">
        <v>1532</v>
      </c>
      <c r="D83" s="3" t="str">
        <f>IFERROR(MID(VLOOKUP($B83,Seqs!$A:$B,2,0),E83,1),"")</f>
        <v>Y</v>
      </c>
      <c r="E83" s="3">
        <v>18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3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K</v>
      </c>
      <c r="AM83" s="3">
        <v>214</v>
      </c>
      <c r="AN83" s="3" t="str">
        <f>IFERROR(MID(VLOOKUP($B83,Seqs!$A:$B,2,0),AO83,1),"")</f>
        <v>K</v>
      </c>
      <c r="AO83" s="3">
        <v>383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105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M</v>
      </c>
      <c r="AY83" s="3">
        <v>456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563">_xlfn.AGGREGATE(9,6,CH83:CS83)-_xlfn.AGGREGATE(9,6,BV83:CG83)+12</f>
        <v>255</v>
      </c>
      <c r="BD83" s="4" t="s">
        <v>23</v>
      </c>
      <c r="BE83" s="3" t="s">
        <v>1374</v>
      </c>
      <c r="BF83" s="118">
        <v>3</v>
      </c>
      <c r="BG83" s="49" t="s">
        <v>1</v>
      </c>
      <c r="BH83" s="49" t="s">
        <v>1</v>
      </c>
      <c r="BI83" s="1"/>
      <c r="BJ83" s="70" t="s">
        <v>1287</v>
      </c>
      <c r="BK83" s="57" t="s">
        <v>1287</v>
      </c>
      <c r="BL83" s="57" t="s">
        <v>1287</v>
      </c>
      <c r="BM83" s="57" t="s">
        <v>1287</v>
      </c>
      <c r="BN83" s="57" t="s">
        <v>1287</v>
      </c>
      <c r="BO83" s="57" t="s">
        <v>1287</v>
      </c>
      <c r="BP83" s="57" t="s">
        <v>1287</v>
      </c>
      <c r="BQ83" s="57" t="s">
        <v>1287</v>
      </c>
      <c r="BR83" s="57" t="s">
        <v>1287</v>
      </c>
      <c r="BS83" s="57" t="s">
        <v>1287</v>
      </c>
      <c r="BT83" s="57" t="s">
        <v>1287</v>
      </c>
      <c r="BU83" s="57" t="s">
        <v>1287</v>
      </c>
      <c r="BV83" s="70">
        <f t="shared" ref="BV83" si="564">E83</f>
        <v>18</v>
      </c>
      <c r="BW83" s="71">
        <f t="shared" ref="BW83" si="565">I83</f>
        <v>52</v>
      </c>
      <c r="BX83" s="72">
        <f t="shared" ref="BX83" si="566">M83</f>
        <v>56</v>
      </c>
      <c r="BY83" s="71">
        <f t="shared" ref="BY83" si="567">Q83</f>
        <v>88</v>
      </c>
      <c r="BZ83" s="72">
        <f t="shared" ref="BZ83" si="568">U83</f>
        <v>92</v>
      </c>
      <c r="CA83" s="71">
        <f t="shared" ref="CA83" si="569">Y83</f>
        <v>128</v>
      </c>
      <c r="CB83" s="72">
        <f t="shared" ref="CB83" si="570">AC83</f>
        <v>136</v>
      </c>
      <c r="CC83" s="71">
        <f t="shared" ref="CC83" si="571">AG83</f>
        <v>176</v>
      </c>
      <c r="CD83" s="72">
        <f t="shared" ref="CD83" si="572">AK83</f>
        <v>183</v>
      </c>
      <c r="CE83" s="71">
        <f t="shared" ref="CE83" si="573">AO83</f>
        <v>383</v>
      </c>
      <c r="CF83" s="72">
        <f t="shared" ref="CF83" si="574">AS83</f>
        <v>418</v>
      </c>
      <c r="CG83" s="71">
        <f t="shared" ref="CG83" si="575">AW83</f>
        <v>444</v>
      </c>
      <c r="CH83" s="70">
        <f t="shared" ref="CH83" si="576">G83</f>
        <v>51</v>
      </c>
      <c r="CI83" s="71">
        <f t="shared" ref="CI83" si="577">K83</f>
        <v>55</v>
      </c>
      <c r="CJ83" s="72">
        <f t="shared" ref="CJ83" si="578">O83</f>
        <v>87</v>
      </c>
      <c r="CK83" s="72">
        <f t="shared" ref="CK83" si="579">S83</f>
        <v>91</v>
      </c>
      <c r="CL83" s="72">
        <f t="shared" ref="CL83" si="580">W83</f>
        <v>127</v>
      </c>
      <c r="CM83" s="72">
        <f t="shared" ref="CM83" si="581">AA83</f>
        <v>135</v>
      </c>
      <c r="CN83" s="72">
        <f t="shared" ref="CN83" si="582">AE83</f>
        <v>167</v>
      </c>
      <c r="CO83" s="72">
        <f t="shared" ref="CO83" si="583">AI83</f>
        <v>178</v>
      </c>
      <c r="CP83" s="72">
        <f t="shared" ref="CP83" si="584">AM83</f>
        <v>214</v>
      </c>
      <c r="CQ83" s="72">
        <f t="shared" ref="CQ83" si="585">AQ83</f>
        <v>413</v>
      </c>
      <c r="CR83" s="72">
        <f t="shared" ref="CR83" si="586">AU83</f>
        <v>443</v>
      </c>
      <c r="CS83" s="72">
        <f t="shared" ref="CS83" si="587">AY83</f>
        <v>456</v>
      </c>
      <c r="CT83" s="23">
        <f t="shared" ref="CT83" si="588">M83-K83</f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ref="A84" si="589">CONCATENATE(B84,"_",C84)</f>
        <v>acm2_human_5ZK3</v>
      </c>
      <c r="B84" s="3" t="s">
        <v>147</v>
      </c>
      <c r="C84" s="3" t="s">
        <v>1533</v>
      </c>
      <c r="D84" s="3" t="str">
        <f>IFERROR(MID(VLOOKUP($B84,Seqs!$A:$B,2,0),E84,1),"")</f>
        <v>Y</v>
      </c>
      <c r="E84" s="3">
        <v>18</v>
      </c>
      <c r="F84" s="3" t="str">
        <f>IFERROR(MID(VLOOKUP($B84,Seqs!$A:$B,2,0),G84,1),"")</f>
        <v>N</v>
      </c>
      <c r="G84" s="3">
        <v>51</v>
      </c>
      <c r="H84" s="3" t="str">
        <f>IFERROR(MID(VLOOKUP($B84,Seqs!$A:$B,2,0),I84,1),"")</f>
        <v>R</v>
      </c>
      <c r="I84" s="23">
        <v>52</v>
      </c>
      <c r="J84" s="3" t="str">
        <f>IFERROR(MID(VLOOKUP($B84,Seqs!$A:$B,2,0),K84,1),"")</f>
        <v>Q</v>
      </c>
      <c r="K84" s="23">
        <v>55</v>
      </c>
      <c r="L84" s="3" t="str">
        <f>IFERROR(MID(VLOOKUP($B84,Seqs!$A:$B,2,0),M84,1),"")</f>
        <v>T</v>
      </c>
      <c r="M84" s="3">
        <v>56</v>
      </c>
      <c r="N84" s="3" t="str">
        <f>IFERROR(MID(VLOOKUP($B84,Seqs!$A:$B,2,0),O84,1),"")</f>
        <v>G</v>
      </c>
      <c r="O84" s="3">
        <v>87</v>
      </c>
      <c r="P84" s="3" t="str">
        <f>IFERROR(MID(VLOOKUP($B84,Seqs!$A:$B,2,0),Q84,1),"")</f>
        <v>Y</v>
      </c>
      <c r="Q84" s="3">
        <v>88</v>
      </c>
      <c r="R84" s="3" t="str">
        <f>IFERROR(MID(VLOOKUP($B84,Seqs!$A:$B,2,0),S84,1),"")</f>
        <v>L</v>
      </c>
      <c r="S84" s="3">
        <v>91</v>
      </c>
      <c r="T84" s="3" t="str">
        <f>IFERROR(MID(VLOOKUP($B84,Seqs!$A:$B,2,0),U84,1),"")</f>
        <v>G</v>
      </c>
      <c r="U84" s="3">
        <v>92</v>
      </c>
      <c r="V84" s="3" t="str">
        <f>IFERROR(MID(VLOOKUP($B84,Seqs!$A:$B,2,0),W84,1),"")</f>
        <v>K</v>
      </c>
      <c r="W84" s="3">
        <v>127</v>
      </c>
      <c r="X84" s="3" t="str">
        <f>IFERROR(MID(VLOOKUP($B84,Seqs!$A:$B,2,0),Y84,1),"")</f>
        <v>P</v>
      </c>
      <c r="Y84" s="3">
        <v>128</v>
      </c>
      <c r="Z84" s="3" t="str">
        <f>IFERROR(MID(VLOOKUP($B84,Seqs!$A:$B,2,0),AA84,1),"")</f>
        <v>R</v>
      </c>
      <c r="AA84" s="3">
        <v>135</v>
      </c>
      <c r="AB84" s="3" t="str">
        <f>IFERROR(MID(VLOOKUP($B84,Seqs!$A:$B,2,0),AC84,1),"")</f>
        <v>T</v>
      </c>
      <c r="AC84" s="3">
        <v>136</v>
      </c>
      <c r="AD84" s="3" t="str">
        <f>IFERROR(MID(VLOOKUP($B84,Seqs!$A:$B,2,0),AE84,1),"")</f>
        <v>G</v>
      </c>
      <c r="AE84" s="3">
        <v>167</v>
      </c>
      <c r="AF84" s="3" t="str">
        <f>IFERROR(MID(VLOOKUP($B84,Seqs!$A:$B,2,0),AG84,1),"")</f>
        <v>C</v>
      </c>
      <c r="AG84" s="3">
        <v>176</v>
      </c>
      <c r="AH84" s="3" t="str">
        <f>IFERROR(MID(VLOOKUP($B84,Seqs!$A:$B,2,0),AI84,1),"")</f>
        <v>I</v>
      </c>
      <c r="AI84" s="3">
        <v>178</v>
      </c>
      <c r="AJ84" s="3" t="str">
        <f>IFERROR(MID(VLOOKUP($B84,Seqs!$A:$B,2,0),AK84,1),"")</f>
        <v>N</v>
      </c>
      <c r="AK84" s="3">
        <v>183</v>
      </c>
      <c r="AL84" s="3" t="str">
        <f>IFERROR(MID(VLOOKUP($B84,Seqs!$A:$B,2,0),AM84,1),"")</f>
        <v>K</v>
      </c>
      <c r="AM84" s="3">
        <v>214</v>
      </c>
      <c r="AN84" s="3" t="str">
        <f>IFERROR(MID(VLOOKUP($B84,Seqs!$A:$B,2,0),AO84,1),"")</f>
        <v>E</v>
      </c>
      <c r="AO84" s="3">
        <v>382</v>
      </c>
      <c r="AP84" s="3" t="str">
        <f>IFERROR(MID(VLOOKUP($B84,Seqs!$A:$B,2,0),AQ84,1),"")</f>
        <v>C</v>
      </c>
      <c r="AQ84" s="3">
        <v>413</v>
      </c>
      <c r="AR84" s="3" t="str">
        <f>IFERROR(MID(VLOOKUP($B84,Seqs!$A:$B,2,0),AS84,1),"")</f>
        <v>P</v>
      </c>
      <c r="AS84" s="3">
        <v>418</v>
      </c>
      <c r="AT84" s="3" t="str">
        <f>IFERROR(MID(VLOOKUP($B84,Seqs!$A:$B,2,0),AU84,1),"")</f>
        <v>C</v>
      </c>
      <c r="AU84" s="105">
        <v>443</v>
      </c>
      <c r="AV84" s="3" t="str">
        <f>IFERROR(MID(VLOOKUP($B84,Seqs!$A:$B,2,0),AW84,1),"")</f>
        <v>N</v>
      </c>
      <c r="AW84" s="3">
        <v>444</v>
      </c>
      <c r="AX84" s="3" t="str">
        <f>IFERROR(MID(VLOOKUP($B84,Seqs!$A:$B,2,0),AY84,1),"")</f>
        <v>M</v>
      </c>
      <c r="AY84" s="3">
        <v>456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ref="BB84" si="590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591">_xlfn.AGGREGATE(9,6,CH84:CS84)-_xlfn.AGGREGATE(9,6,BV84:CG84)+12</f>
        <v>256</v>
      </c>
      <c r="BD84" s="4" t="s">
        <v>23</v>
      </c>
      <c r="BE84" s="3" t="s">
        <v>1374</v>
      </c>
      <c r="BF84" s="118">
        <v>2.6</v>
      </c>
      <c r="BG84" s="49" t="s">
        <v>1</v>
      </c>
      <c r="BH84" s="49" t="s">
        <v>1</v>
      </c>
      <c r="BI84" s="1"/>
      <c r="BJ84" s="70" t="s">
        <v>1287</v>
      </c>
      <c r="BK84" s="57" t="s">
        <v>1287</v>
      </c>
      <c r="BL84" s="57" t="s">
        <v>1287</v>
      </c>
      <c r="BM84" s="57" t="s">
        <v>1287</v>
      </c>
      <c r="BN84" s="57" t="s">
        <v>1287</v>
      </c>
      <c r="BO84" s="57" t="s">
        <v>1287</v>
      </c>
      <c r="BP84" s="57" t="s">
        <v>1287</v>
      </c>
      <c r="BQ84" s="57" t="s">
        <v>1287</v>
      </c>
      <c r="BR84" s="57" t="s">
        <v>1287</v>
      </c>
      <c r="BS84" s="57" t="s">
        <v>1287</v>
      </c>
      <c r="BT84" s="57" t="s">
        <v>1287</v>
      </c>
      <c r="BU84" s="57" t="s">
        <v>1287</v>
      </c>
      <c r="BV84" s="70">
        <f t="shared" ref="BV84" si="592">E84</f>
        <v>18</v>
      </c>
      <c r="BW84" s="71">
        <f t="shared" ref="BW84" si="593">I84</f>
        <v>52</v>
      </c>
      <c r="BX84" s="72">
        <f t="shared" ref="BX84" si="594">M84</f>
        <v>56</v>
      </c>
      <c r="BY84" s="71">
        <f t="shared" ref="BY84" si="595">Q84</f>
        <v>88</v>
      </c>
      <c r="BZ84" s="72">
        <f t="shared" ref="BZ84" si="596">U84</f>
        <v>92</v>
      </c>
      <c r="CA84" s="71">
        <f t="shared" ref="CA84" si="597">Y84</f>
        <v>128</v>
      </c>
      <c r="CB84" s="72">
        <f t="shared" ref="CB84" si="598">AC84</f>
        <v>136</v>
      </c>
      <c r="CC84" s="71">
        <f t="shared" ref="CC84" si="599">AG84</f>
        <v>176</v>
      </c>
      <c r="CD84" s="72">
        <f t="shared" ref="CD84" si="600">AK84</f>
        <v>183</v>
      </c>
      <c r="CE84" s="71">
        <f t="shared" ref="CE84" si="601">AO84</f>
        <v>382</v>
      </c>
      <c r="CF84" s="72">
        <f t="shared" ref="CF84" si="602">AS84</f>
        <v>418</v>
      </c>
      <c r="CG84" s="71">
        <f t="shared" ref="CG84" si="603">AW84</f>
        <v>444</v>
      </c>
      <c r="CH84" s="70">
        <f t="shared" ref="CH84" si="604">G84</f>
        <v>51</v>
      </c>
      <c r="CI84" s="71">
        <f t="shared" ref="CI84" si="605">K84</f>
        <v>55</v>
      </c>
      <c r="CJ84" s="72">
        <f t="shared" ref="CJ84" si="606">O84</f>
        <v>87</v>
      </c>
      <c r="CK84" s="72">
        <f t="shared" ref="CK84" si="607">S84</f>
        <v>91</v>
      </c>
      <c r="CL84" s="72">
        <f t="shared" ref="CL84" si="608">W84</f>
        <v>127</v>
      </c>
      <c r="CM84" s="72">
        <f t="shared" ref="CM84" si="609">AA84</f>
        <v>135</v>
      </c>
      <c r="CN84" s="72">
        <f t="shared" ref="CN84" si="610">AE84</f>
        <v>167</v>
      </c>
      <c r="CO84" s="72">
        <f t="shared" ref="CO84" si="611">AI84</f>
        <v>178</v>
      </c>
      <c r="CP84" s="72">
        <f t="shared" ref="CP84" si="612">AM84</f>
        <v>214</v>
      </c>
      <c r="CQ84" s="72">
        <f t="shared" ref="CQ84" si="613">AQ84</f>
        <v>413</v>
      </c>
      <c r="CR84" s="72">
        <f t="shared" ref="CR84" si="614">AU84</f>
        <v>443</v>
      </c>
      <c r="CS84" s="72">
        <f t="shared" ref="CS84" si="615">AY84</f>
        <v>456</v>
      </c>
      <c r="CT84" s="23">
        <f t="shared" ref="CT84" si="616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ref="A85" si="617">CONCATENATE(B85,"_",C85)</f>
        <v>acm2_human_5YC8</v>
      </c>
      <c r="B85" s="3" t="s">
        <v>147</v>
      </c>
      <c r="C85" s="3" t="s">
        <v>1534</v>
      </c>
      <c r="D85" s="3" t="str">
        <f>IFERROR(MID(VLOOKUP($B85,Seqs!$A:$B,2,0),E85,1),"")</f>
        <v>Y</v>
      </c>
      <c r="E85" s="3">
        <v>18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3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3">
        <v>136</v>
      </c>
      <c r="AD85" s="3" t="str">
        <f>IFERROR(MID(VLOOKUP($B85,Seqs!$A:$B,2,0),AE85,1),"")</f>
        <v>G</v>
      </c>
      <c r="AE85" s="3">
        <v>167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K</v>
      </c>
      <c r="AM85" s="3">
        <v>214</v>
      </c>
      <c r="AN85" s="3" t="str">
        <f>IFERROR(MID(VLOOKUP($B85,Seqs!$A:$B,2,0),AO85,1),"")</f>
        <v>R</v>
      </c>
      <c r="AO85" s="3">
        <v>381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105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ref="BB85" si="618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619">_xlfn.AGGREGATE(9,6,CH85:CS85)-_xlfn.AGGREGATE(9,6,BV85:CG85)+12</f>
        <v>257</v>
      </c>
      <c r="BD85" s="4" t="s">
        <v>23</v>
      </c>
      <c r="BE85" s="3" t="s">
        <v>1374</v>
      </c>
      <c r="BF85" s="118">
        <v>2.5</v>
      </c>
      <c r="BG85" s="49" t="s">
        <v>1</v>
      </c>
      <c r="BH85" s="49" t="s">
        <v>1</v>
      </c>
      <c r="BI85" s="1"/>
      <c r="BJ85" s="70" t="s">
        <v>1287</v>
      </c>
      <c r="BK85" s="57" t="s">
        <v>1287</v>
      </c>
      <c r="BL85" s="57" t="s">
        <v>1287</v>
      </c>
      <c r="BM85" s="57" t="s">
        <v>1287</v>
      </c>
      <c r="BN85" s="57" t="s">
        <v>1287</v>
      </c>
      <c r="BO85" s="57" t="s">
        <v>1287</v>
      </c>
      <c r="BP85" s="57" t="s">
        <v>1287</v>
      </c>
      <c r="BQ85" s="57" t="s">
        <v>1287</v>
      </c>
      <c r="BR85" s="57" t="s">
        <v>1287</v>
      </c>
      <c r="BS85" s="57" t="s">
        <v>1287</v>
      </c>
      <c r="BT85" s="57" t="s">
        <v>1287</v>
      </c>
      <c r="BU85" s="57" t="s">
        <v>1287</v>
      </c>
      <c r="BV85" s="70">
        <f t="shared" ref="BV85" si="620">E85</f>
        <v>18</v>
      </c>
      <c r="BW85" s="71">
        <f t="shared" ref="BW85" si="621">I85</f>
        <v>52</v>
      </c>
      <c r="BX85" s="72">
        <f t="shared" ref="BX85" si="622">M85</f>
        <v>56</v>
      </c>
      <c r="BY85" s="71">
        <f t="shared" ref="BY85" si="623">Q85</f>
        <v>88</v>
      </c>
      <c r="BZ85" s="72">
        <f t="shared" ref="BZ85" si="624">U85</f>
        <v>92</v>
      </c>
      <c r="CA85" s="71">
        <f t="shared" ref="CA85" si="625">Y85</f>
        <v>128</v>
      </c>
      <c r="CB85" s="72">
        <f t="shared" ref="CB85" si="626">AC85</f>
        <v>136</v>
      </c>
      <c r="CC85" s="71">
        <f t="shared" ref="CC85" si="627">AG85</f>
        <v>176</v>
      </c>
      <c r="CD85" s="72">
        <f t="shared" ref="CD85" si="628">AK85</f>
        <v>183</v>
      </c>
      <c r="CE85" s="71">
        <f t="shared" ref="CE85" si="629">AO85</f>
        <v>381</v>
      </c>
      <c r="CF85" s="72">
        <f t="shared" ref="CF85" si="630">AS85</f>
        <v>418</v>
      </c>
      <c r="CG85" s="71">
        <f t="shared" ref="CG85" si="631">AW85</f>
        <v>444</v>
      </c>
      <c r="CH85" s="70">
        <f t="shared" ref="CH85" si="632">G85</f>
        <v>51</v>
      </c>
      <c r="CI85" s="71">
        <f t="shared" ref="CI85" si="633">K85</f>
        <v>55</v>
      </c>
      <c r="CJ85" s="72">
        <f t="shared" ref="CJ85" si="634">O85</f>
        <v>87</v>
      </c>
      <c r="CK85" s="72">
        <f t="shared" ref="CK85" si="635">S85</f>
        <v>91</v>
      </c>
      <c r="CL85" s="72">
        <f t="shared" ref="CL85" si="636">W85</f>
        <v>127</v>
      </c>
      <c r="CM85" s="72">
        <f t="shared" ref="CM85" si="637">AA85</f>
        <v>135</v>
      </c>
      <c r="CN85" s="72">
        <f t="shared" ref="CN85" si="638">AE85</f>
        <v>167</v>
      </c>
      <c r="CO85" s="72">
        <f t="shared" ref="CO85" si="639">AI85</f>
        <v>178</v>
      </c>
      <c r="CP85" s="72">
        <f t="shared" ref="CP85" si="640">AM85</f>
        <v>214</v>
      </c>
      <c r="CQ85" s="72">
        <f t="shared" ref="CQ85" si="641">AQ85</f>
        <v>413</v>
      </c>
      <c r="CR85" s="72">
        <f t="shared" ref="CR85" si="642">AU85</f>
        <v>443</v>
      </c>
      <c r="CS85" s="72">
        <f t="shared" ref="CS85" si="643">AY85</f>
        <v>456</v>
      </c>
      <c r="CT85" s="23">
        <f t="shared" ref="CT85" si="644">M85-K85</f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ref="A86" si="645">CONCATENATE(B86,"_",C86)</f>
        <v>acm2_human_6OIK</v>
      </c>
      <c r="B86" s="3" t="s">
        <v>147</v>
      </c>
      <c r="C86" s="3" t="s">
        <v>1578</v>
      </c>
      <c r="D86" s="3" t="str">
        <f>IFERROR(MID(VLOOKUP($B86,Seqs!$A:$B,2,0),E86,1),"")</f>
        <v>T</v>
      </c>
      <c r="E86" s="3">
        <v>20</v>
      </c>
      <c r="F86" s="3" t="str">
        <f>IFERROR(MID(VLOOKUP($B86,Seqs!$A:$B,2,0),G86,1),"")</f>
        <v>V</v>
      </c>
      <c r="G86" s="3">
        <v>50</v>
      </c>
      <c r="H86" s="3" t="str">
        <f>IFERROR(MID(VLOOKUP($B86,Seqs!$A:$B,2,0),I86,1),"")</f>
        <v/>
      </c>
      <c r="I86" s="23" t="s">
        <v>23</v>
      </c>
      <c r="J86" s="3" t="str">
        <f>IFERROR(MID(VLOOKUP($B86,Seqs!$A:$B,2,0),K86,1),"")</f>
        <v/>
      </c>
      <c r="K86" s="23" t="s">
        <v>23</v>
      </c>
      <c r="L86" s="3" t="str">
        <f>IFERROR(MID(VLOOKUP($B86,Seqs!$A:$B,2,0),M86,1),"")</f>
        <v>T</v>
      </c>
      <c r="M86" s="3">
        <v>56</v>
      </c>
      <c r="N86" s="3" t="str">
        <f>IFERROR(MID(VLOOKUP($B86,Seqs!$A:$B,2,0),O86,1),"")</f>
        <v>G</v>
      </c>
      <c r="O86" s="3">
        <v>87</v>
      </c>
      <c r="P86" s="3" t="str">
        <f>IFERROR(MID(VLOOKUP($B86,Seqs!$A:$B,2,0),Q86,1),"")</f>
        <v>Y</v>
      </c>
      <c r="Q86" s="3">
        <v>88</v>
      </c>
      <c r="R86" s="3" t="str">
        <f>IFERROR(MID(VLOOKUP($B86,Seqs!$A:$B,2,0),S86,1),"")</f>
        <v>L</v>
      </c>
      <c r="S86" s="3">
        <v>91</v>
      </c>
      <c r="T86" s="3" t="str">
        <f>IFERROR(MID(VLOOKUP($B86,Seqs!$A:$B,2,0),U86,1),"")</f>
        <v>G</v>
      </c>
      <c r="U86" s="3">
        <v>92</v>
      </c>
      <c r="V86" s="3" t="str">
        <f>IFERROR(MID(VLOOKUP($B86,Seqs!$A:$B,2,0),W86,1),"")</f>
        <v>K</v>
      </c>
      <c r="W86" s="3">
        <v>127</v>
      </c>
      <c r="X86" s="3" t="str">
        <f>IFERROR(MID(VLOOKUP($B86,Seqs!$A:$B,2,0),Y86,1),"")</f>
        <v>P</v>
      </c>
      <c r="Y86" s="3">
        <v>128</v>
      </c>
      <c r="Z86" s="3" t="str">
        <f>IFERROR(MID(VLOOKUP($B86,Seqs!$A:$B,2,0),AA86,1),"")</f>
        <v>R</v>
      </c>
      <c r="AA86" s="3">
        <v>135</v>
      </c>
      <c r="AB86" s="3" t="str">
        <f>IFERROR(MID(VLOOKUP($B86,Seqs!$A:$B,2,0),AC86,1),"")</f>
        <v>T</v>
      </c>
      <c r="AC86" s="3">
        <v>136</v>
      </c>
      <c r="AD86" s="3" t="str">
        <f>IFERROR(MID(VLOOKUP($B86,Seqs!$A:$B,2,0),AE86,1),"")</f>
        <v>G</v>
      </c>
      <c r="AE86" s="3">
        <v>167</v>
      </c>
      <c r="AF86" s="3" t="str">
        <f>IFERROR(MID(VLOOKUP($B86,Seqs!$A:$B,2,0),AG86,1),"")</f>
        <v>C</v>
      </c>
      <c r="AG86" s="3">
        <v>176</v>
      </c>
      <c r="AH86" s="3" t="str">
        <f>IFERROR(MID(VLOOKUP($B86,Seqs!$A:$B,2,0),AI86,1),"")</f>
        <v>I</v>
      </c>
      <c r="AI86" s="3">
        <v>178</v>
      </c>
      <c r="AJ86" s="3" t="str">
        <f>IFERROR(MID(VLOOKUP($B86,Seqs!$A:$B,2,0),AK86,1),"")</f>
        <v>A</v>
      </c>
      <c r="AK86" s="3">
        <v>184</v>
      </c>
      <c r="AL86" s="3" t="str">
        <f>IFERROR(MID(VLOOKUP($B86,Seqs!$A:$B,2,0),AM86,1),"")</f>
        <v>S</v>
      </c>
      <c r="AM86" s="3">
        <v>213</v>
      </c>
      <c r="AN86" s="3" t="str">
        <f>IFERROR(MID(VLOOKUP($B86,Seqs!$A:$B,2,0),AO86,1),"")</f>
        <v>E</v>
      </c>
      <c r="AO86" s="3">
        <v>382</v>
      </c>
      <c r="AP86" s="3" t="str">
        <f>IFERROR(MID(VLOOKUP($B86,Seqs!$A:$B,2,0),AQ86,1),"")</f>
        <v>C</v>
      </c>
      <c r="AQ86" s="3">
        <v>413</v>
      </c>
      <c r="AR86" s="3" t="str">
        <f>IFERROR(MID(VLOOKUP($B86,Seqs!$A:$B,2,0),AS86,1),"")</f>
        <v>N</v>
      </c>
      <c r="AS86" s="3">
        <v>419</v>
      </c>
      <c r="AT86" s="3" t="str">
        <f>IFERROR(MID(VLOOKUP($B86,Seqs!$A:$B,2,0),AU86,1),"")</f>
        <v>C</v>
      </c>
      <c r="AU86" s="3">
        <v>443</v>
      </c>
      <c r="AV86" s="3" t="str">
        <f>IFERROR(MID(VLOOKUP($B86,Seqs!$A:$B,2,0),AW86,1),"")</f>
        <v>N</v>
      </c>
      <c r="AW86" s="3">
        <v>444</v>
      </c>
      <c r="AX86" s="3" t="str">
        <f>IFERROR(MID(VLOOKUP($B86,Seqs!$A:$B,2,0),AY86,1),"")</f>
        <v>L</v>
      </c>
      <c r="AY86" s="3">
        <v>454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ref="BB86" si="646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23">
        <f t="shared" ref="BC86" si="647">_xlfn.AGGREGATE(9,6,CH86:CS86)-_xlfn.AGGREGATE(9,6,BV86:CG86)+12</f>
        <v>245</v>
      </c>
      <c r="BD86" s="4" t="s">
        <v>23</v>
      </c>
      <c r="BE86" s="3" t="s">
        <v>1291</v>
      </c>
      <c r="BF86" s="118">
        <v>3.6</v>
      </c>
      <c r="BG86" s="49" t="s">
        <v>1422</v>
      </c>
      <c r="BH86" s="49" t="s">
        <v>1422</v>
      </c>
      <c r="BI86" s="1"/>
      <c r="BJ86" s="70" t="s">
        <v>1287</v>
      </c>
      <c r="BK86" s="57" t="s">
        <v>1287</v>
      </c>
      <c r="BL86" s="57" t="s">
        <v>1287</v>
      </c>
      <c r="BM86" s="57" t="s">
        <v>1287</v>
      </c>
      <c r="BN86" s="57" t="s">
        <v>1287</v>
      </c>
      <c r="BO86" s="57" t="s">
        <v>1287</v>
      </c>
      <c r="BP86" s="57" t="s">
        <v>1287</v>
      </c>
      <c r="BQ86" s="57" t="s">
        <v>1287</v>
      </c>
      <c r="BR86" s="57" t="s">
        <v>1287</v>
      </c>
      <c r="BS86" s="57" t="s">
        <v>1287</v>
      </c>
      <c r="BT86" s="57" t="s">
        <v>1287</v>
      </c>
      <c r="BU86" s="57" t="s">
        <v>1287</v>
      </c>
      <c r="BV86" s="70">
        <f t="shared" ref="BV86" si="648">E86</f>
        <v>20</v>
      </c>
      <c r="BW86" s="71" t="str">
        <f t="shared" ref="BW86" si="649">I86</f>
        <v>-</v>
      </c>
      <c r="BX86" s="72">
        <f t="shared" ref="BX86" si="650">M86</f>
        <v>56</v>
      </c>
      <c r="BY86" s="71">
        <f t="shared" ref="BY86" si="651">Q86</f>
        <v>88</v>
      </c>
      <c r="BZ86" s="72">
        <f t="shared" ref="BZ86" si="652">U86</f>
        <v>92</v>
      </c>
      <c r="CA86" s="71">
        <f t="shared" ref="CA86" si="653">Y86</f>
        <v>128</v>
      </c>
      <c r="CB86" s="72">
        <f t="shared" ref="CB86" si="654">AC86</f>
        <v>136</v>
      </c>
      <c r="CC86" s="71">
        <f t="shared" ref="CC86" si="655">AG86</f>
        <v>176</v>
      </c>
      <c r="CD86" s="72">
        <f t="shared" ref="CD86" si="656">AK86</f>
        <v>184</v>
      </c>
      <c r="CE86" s="71">
        <f t="shared" ref="CE86" si="657">AO86</f>
        <v>382</v>
      </c>
      <c r="CF86" s="72">
        <f t="shared" ref="CF86" si="658">AS86</f>
        <v>419</v>
      </c>
      <c r="CG86" s="71">
        <f t="shared" ref="CG86" si="659">AW86</f>
        <v>444</v>
      </c>
      <c r="CH86" s="70">
        <f t="shared" ref="CH86" si="660">G86</f>
        <v>50</v>
      </c>
      <c r="CI86" s="71" t="str">
        <f t="shared" ref="CI86" si="661">K86</f>
        <v>-</v>
      </c>
      <c r="CJ86" s="72">
        <f t="shared" ref="CJ86" si="662">O86</f>
        <v>87</v>
      </c>
      <c r="CK86" s="72">
        <f t="shared" ref="CK86" si="663">S86</f>
        <v>91</v>
      </c>
      <c r="CL86" s="72">
        <f t="shared" ref="CL86" si="664">W86</f>
        <v>127</v>
      </c>
      <c r="CM86" s="72">
        <f t="shared" ref="CM86" si="665">AA86</f>
        <v>135</v>
      </c>
      <c r="CN86" s="72">
        <f t="shared" ref="CN86" si="666">AE86</f>
        <v>167</v>
      </c>
      <c r="CO86" s="72">
        <f t="shared" ref="CO86" si="667">AI86</f>
        <v>178</v>
      </c>
      <c r="CP86" s="72">
        <f t="shared" ref="CP86" si="668">AM86</f>
        <v>213</v>
      </c>
      <c r="CQ86" s="72">
        <f t="shared" ref="CQ86" si="669">AQ86</f>
        <v>413</v>
      </c>
      <c r="CR86" s="72">
        <f t="shared" ref="CR86" si="670">AU86</f>
        <v>443</v>
      </c>
      <c r="CS86" s="72">
        <f t="shared" ref="CS86" si="671">AY86</f>
        <v>454</v>
      </c>
      <c r="CT86" s="23" t="e">
        <f t="shared" ref="CT86" si="672">M86-K86</f>
        <v>#VALUE!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s="12" customFormat="1" x14ac:dyDescent="0.2">
      <c r="A87" s="9" t="str">
        <f t="shared" ref="A87" si="673">CONCATENATE(B87,"_",C87)</f>
        <v>acm2_human_6U1N</v>
      </c>
      <c r="B87" s="9" t="s">
        <v>147</v>
      </c>
      <c r="C87" s="9" t="s">
        <v>1655</v>
      </c>
      <c r="D87" s="9" t="str">
        <f>IFERROR(MID(VLOOKUP($B87,Seqs!$A:$B,2,0),E87,1),"")</f>
        <v>T</v>
      </c>
      <c r="E87" s="9">
        <v>20</v>
      </c>
      <c r="F87" s="9" t="str">
        <f>IFERROR(MID(VLOOKUP($B87,Seqs!$A:$B,2,0),G87,1),"")</f>
        <v>K</v>
      </c>
      <c r="G87" s="9">
        <v>49</v>
      </c>
      <c r="H87" s="9" t="str">
        <f>IFERROR(MID(VLOOKUP($B87,Seqs!$A:$B,2,0),I87,1),"")</f>
        <v/>
      </c>
      <c r="I87" s="109" t="s">
        <v>23</v>
      </c>
      <c r="J87" s="9" t="str">
        <f>IFERROR(MID(VLOOKUP($B87,Seqs!$A:$B,2,0),K87,1),"")</f>
        <v/>
      </c>
      <c r="K87" s="109" t="s">
        <v>23</v>
      </c>
      <c r="L87" s="9" t="str">
        <f>IFERROR(MID(VLOOKUP($B87,Seqs!$A:$B,2,0),M87,1),"")</f>
        <v>V</v>
      </c>
      <c r="M87" s="9">
        <v>57</v>
      </c>
      <c r="N87" s="9" t="str">
        <f>IFERROR(MID(VLOOKUP($B87,Seqs!$A:$B,2,0),O87,1),"")</f>
        <v>I</v>
      </c>
      <c r="O87" s="9">
        <v>86</v>
      </c>
      <c r="P87" s="9" t="str">
        <f>IFERROR(MID(VLOOKUP($B87,Seqs!$A:$B,2,0),Q87,1),"")</f>
        <v>Y</v>
      </c>
      <c r="Q87" s="9">
        <v>88</v>
      </c>
      <c r="R87" s="9" t="str">
        <f>IFERROR(MID(VLOOKUP($B87,Seqs!$A:$B,2,0),S87,1),"")</f>
        <v>L</v>
      </c>
      <c r="S87" s="9">
        <v>91</v>
      </c>
      <c r="T87" s="9" t="str">
        <f>IFERROR(MID(VLOOKUP($B87,Seqs!$A:$B,2,0),U87,1),"")</f>
        <v>G</v>
      </c>
      <c r="U87" s="9">
        <v>92</v>
      </c>
      <c r="V87" s="9" t="str">
        <f>IFERROR(MID(VLOOKUP($B87,Seqs!$A:$B,2,0),W87,1),"")</f>
        <v>K</v>
      </c>
      <c r="W87" s="9">
        <v>127</v>
      </c>
      <c r="X87" s="9" t="str">
        <f>IFERROR(MID(VLOOKUP($B87,Seqs!$A:$B,2,0),Y87,1),"")</f>
        <v>P</v>
      </c>
      <c r="Y87" s="9">
        <v>128</v>
      </c>
      <c r="Z87" s="9" t="str">
        <f>IFERROR(MID(VLOOKUP($B87,Seqs!$A:$B,2,0),AA87,1),"")</f>
        <v>R</v>
      </c>
      <c r="AA87" s="9">
        <v>135</v>
      </c>
      <c r="AB87" s="9" t="str">
        <f>IFERROR(MID(VLOOKUP($B87,Seqs!$A:$B,2,0),AC87,1),"")</f>
        <v>T</v>
      </c>
      <c r="AC87" s="9">
        <v>136</v>
      </c>
      <c r="AD87" s="9" t="str">
        <f>IFERROR(MID(VLOOKUP($B87,Seqs!$A:$B,2,0),AE87,1),"")</f>
        <v>G</v>
      </c>
      <c r="AE87" s="9">
        <v>167</v>
      </c>
      <c r="AF87" s="9" t="str">
        <f>IFERROR(MID(VLOOKUP($B87,Seqs!$A:$B,2,0),AG87,1),"")</f>
        <v>C</v>
      </c>
      <c r="AG87" s="9">
        <v>176</v>
      </c>
      <c r="AH87" s="9" t="str">
        <f>IFERROR(MID(VLOOKUP($B87,Seqs!$A:$B,2,0),AI87,1),"")</f>
        <v>I</v>
      </c>
      <c r="AI87" s="9">
        <v>178</v>
      </c>
      <c r="AJ87" s="9" t="str">
        <f>IFERROR(MID(VLOOKUP($B87,Seqs!$A:$B,2,0),AK87,1),"")</f>
        <v>N</v>
      </c>
      <c r="AK87" s="9">
        <v>183</v>
      </c>
      <c r="AL87" s="9" t="str">
        <f>IFERROR(MID(VLOOKUP($B87,Seqs!$A:$B,2,0),AM87,1),"")</f>
        <v>S</v>
      </c>
      <c r="AM87" s="9">
        <v>213</v>
      </c>
      <c r="AN87" s="9" t="str">
        <f>IFERROR(MID(VLOOKUP($B87,Seqs!$A:$B,2,0),AO87,1),"")</f>
        <v>E</v>
      </c>
      <c r="AO87" s="9">
        <v>382</v>
      </c>
      <c r="AP87" s="9" t="str">
        <f>IFERROR(MID(VLOOKUP($B87,Seqs!$A:$B,2,0),AQ87,1),"")</f>
        <v>C</v>
      </c>
      <c r="AQ87" s="9">
        <v>413</v>
      </c>
      <c r="AR87" s="9" t="str">
        <f>IFERROR(MID(VLOOKUP($B87,Seqs!$A:$B,2,0),AS87,1),"")</f>
        <v>V</v>
      </c>
      <c r="AS87" s="9">
        <v>421</v>
      </c>
      <c r="AT87" s="9" t="str">
        <f>IFERROR(MID(VLOOKUP($B87,Seqs!$A:$B,2,0),AU87,1),"")</f>
        <v>C</v>
      </c>
      <c r="AU87" s="9">
        <v>443</v>
      </c>
      <c r="AV87" s="9" t="str">
        <f>IFERROR(MID(VLOOKUP($B87,Seqs!$A:$B,2,0),AW87,1),"")</f>
        <v>N</v>
      </c>
      <c r="AW87" s="9">
        <v>444</v>
      </c>
      <c r="AX87" s="9" t="str">
        <f>IFERROR(MID(VLOOKUP($B87,Seqs!$A:$B,2,0),AY87,1),"")</f>
        <v>K</v>
      </c>
      <c r="AY87" s="9">
        <v>452</v>
      </c>
      <c r="AZ87" s="110" t="str">
        <f>VLOOKUP(B87,Classification!A:D,2,0)</f>
        <v>A</v>
      </c>
      <c r="BA87" s="98" t="str">
        <f>VLOOKUP(B87,Classification!A:D,4,0)</f>
        <v>Acetylcholine(muscarinic)</v>
      </c>
      <c r="BB87" s="36" t="b">
        <f t="shared" ref="BB87" si="674">AND(E87&lt;G87,OR(G87&lt;I87,I87="-"),OR(I87&lt;K87,I87="-"),OR(K87&lt;M87,K87="-"),M87&lt;O87,OR(O87&lt;Q87,Q87="-"),OR(Q87&lt;S87,Q87="-"),OR(S87&lt;U87,S87="-"),U87&lt;W87,OR(W87&lt;Y87,Y87="-"),OR(Y87&lt;AA87,Y87="-"),OR(AA87&lt;AC87,AA87="-"),AC87&lt;AE87,OR(AE87&lt;AG87,AG87="-"),OR(AG87&lt;AI87,AG87="-"),OR(AI87&lt;AK87,AI87="-"),AK87&lt;AM87,AM87&lt;AO87,AO87&lt;AQ87,AQ87&lt;AS87,AS87&lt;AU87,OR(AU87&lt;AW87,AW87="-"),OR(AW87&lt;AY87,AW87="-"))</f>
        <v>1</v>
      </c>
      <c r="BC87" s="109">
        <f t="shared" ref="BC87" si="675">_xlfn.AGGREGATE(9,6,CH87:CS87)-_xlfn.AGGREGATE(9,6,BV87:CG87)+12</f>
        <v>239</v>
      </c>
      <c r="BD87" s="11" t="s">
        <v>1429</v>
      </c>
      <c r="BE87" s="9" t="s">
        <v>1428</v>
      </c>
      <c r="BF87" s="119">
        <v>4</v>
      </c>
      <c r="BG87" s="51" t="s">
        <v>1422</v>
      </c>
      <c r="BH87" s="51" t="s">
        <v>1422</v>
      </c>
      <c r="BJ87" s="111" t="s">
        <v>1287</v>
      </c>
      <c r="BK87" s="112" t="s">
        <v>1287</v>
      </c>
      <c r="BL87" s="112" t="s">
        <v>1287</v>
      </c>
      <c r="BM87" s="112" t="s">
        <v>1287</v>
      </c>
      <c r="BN87" s="112" t="s">
        <v>1287</v>
      </c>
      <c r="BO87" s="112" t="s">
        <v>1287</v>
      </c>
      <c r="BP87" s="112" t="s">
        <v>1287</v>
      </c>
      <c r="BQ87" s="112" t="s">
        <v>1287</v>
      </c>
      <c r="BR87" s="112" t="s">
        <v>1287</v>
      </c>
      <c r="BS87" s="112" t="s">
        <v>1287</v>
      </c>
      <c r="BT87" s="112" t="s">
        <v>1287</v>
      </c>
      <c r="BU87" s="112" t="s">
        <v>1287</v>
      </c>
      <c r="BV87" s="111">
        <f t="shared" ref="BV87" si="676">E87</f>
        <v>20</v>
      </c>
      <c r="BW87" s="113" t="str">
        <f t="shared" ref="BW87" si="677">I87</f>
        <v>-</v>
      </c>
      <c r="BX87" s="114">
        <f t="shared" ref="BX87" si="678">M87</f>
        <v>57</v>
      </c>
      <c r="BY87" s="113">
        <f t="shared" ref="BY87" si="679">Q87</f>
        <v>88</v>
      </c>
      <c r="BZ87" s="114">
        <f t="shared" ref="BZ87" si="680">U87</f>
        <v>92</v>
      </c>
      <c r="CA87" s="113">
        <f t="shared" ref="CA87" si="681">Y87</f>
        <v>128</v>
      </c>
      <c r="CB87" s="114">
        <f t="shared" ref="CB87" si="682">AC87</f>
        <v>136</v>
      </c>
      <c r="CC87" s="113">
        <f t="shared" ref="CC87" si="683">AG87</f>
        <v>176</v>
      </c>
      <c r="CD87" s="114">
        <f t="shared" ref="CD87" si="684">AK87</f>
        <v>183</v>
      </c>
      <c r="CE87" s="113">
        <f t="shared" ref="CE87" si="685">AO87</f>
        <v>382</v>
      </c>
      <c r="CF87" s="114">
        <f t="shared" ref="CF87" si="686">AS87</f>
        <v>421</v>
      </c>
      <c r="CG87" s="113">
        <f t="shared" ref="CG87" si="687">AW87</f>
        <v>444</v>
      </c>
      <c r="CH87" s="111">
        <f t="shared" ref="CH87" si="688">G87</f>
        <v>49</v>
      </c>
      <c r="CI87" s="113" t="str">
        <f t="shared" ref="CI87" si="689">K87</f>
        <v>-</v>
      </c>
      <c r="CJ87" s="114">
        <f t="shared" ref="CJ87" si="690">O87</f>
        <v>86</v>
      </c>
      <c r="CK87" s="114">
        <f t="shared" ref="CK87" si="691">S87</f>
        <v>91</v>
      </c>
      <c r="CL87" s="114">
        <f t="shared" ref="CL87" si="692">W87</f>
        <v>127</v>
      </c>
      <c r="CM87" s="114">
        <f t="shared" ref="CM87" si="693">AA87</f>
        <v>135</v>
      </c>
      <c r="CN87" s="114">
        <f t="shared" ref="CN87" si="694">AE87</f>
        <v>167</v>
      </c>
      <c r="CO87" s="114">
        <f t="shared" ref="CO87" si="695">AI87</f>
        <v>178</v>
      </c>
      <c r="CP87" s="114">
        <f t="shared" ref="CP87" si="696">AM87</f>
        <v>213</v>
      </c>
      <c r="CQ87" s="114">
        <f t="shared" ref="CQ87" si="697">AQ87</f>
        <v>413</v>
      </c>
      <c r="CR87" s="114">
        <f t="shared" ref="CR87" si="698">AU87</f>
        <v>443</v>
      </c>
      <c r="CS87" s="114">
        <f t="shared" ref="CS87" si="699">AY87</f>
        <v>452</v>
      </c>
      <c r="CT87" s="109" t="e">
        <f t="shared" ref="CT87" si="700">M87-K87</f>
        <v>#VALUE!</v>
      </c>
    </row>
    <row r="88" spans="1:1029" x14ac:dyDescent="0.2">
      <c r="A88" s="3" t="str">
        <f t="shared" si="503"/>
        <v>acm3_rat__wt</v>
      </c>
      <c r="B88" s="3" t="s">
        <v>909</v>
      </c>
      <c r="C88" s="3" t="s">
        <v>100</v>
      </c>
      <c r="D88" s="3" t="str">
        <f>IFERROR(MID(VLOOKUP($B88,Seqs!$A:$B,2,0),E88,1),"")</f>
        <v>T</v>
      </c>
      <c r="E88" s="105">
        <v>63</v>
      </c>
      <c r="F88" s="3" t="str">
        <f>IFERROR(MID(VLOOKUP($B88,Seqs!$A:$B,2,0),G88,1),"")</f>
        <v>N</v>
      </c>
      <c r="G88" s="3">
        <v>95</v>
      </c>
      <c r="H88" s="3" t="str">
        <f>IFERROR(MID(VLOOKUP($B88,Seqs!$A:$B,2,0),I88,1),"")</f>
        <v>K</v>
      </c>
      <c r="I88" s="23">
        <v>96</v>
      </c>
      <c r="J88" s="3" t="str">
        <f>IFERROR(MID(VLOOKUP($B88,Seqs!$A:$B,2,0),K88,1),"")</f>
        <v>K</v>
      </c>
      <c r="K88" s="23">
        <v>99</v>
      </c>
      <c r="L88" s="3" t="str">
        <f>IFERROR(MID(VLOOKUP($B88,Seqs!$A:$B,2,0),M88,1),"")</f>
        <v>T</v>
      </c>
      <c r="M88" s="3">
        <v>100</v>
      </c>
      <c r="N88" s="3" t="str">
        <f>IFERROR(MID(VLOOKUP($B88,Seqs!$A:$B,2,0),O88,1),"")</f>
        <v>M</v>
      </c>
      <c r="O88" s="3">
        <v>130</v>
      </c>
      <c r="P88" s="3" t="str">
        <f>IFERROR(MID(VLOOKUP($B88,Seqs!$A:$B,2,0),Q88,1),"")</f>
        <v>R</v>
      </c>
      <c r="Q88" s="3">
        <v>132</v>
      </c>
      <c r="R88" s="3" t="str">
        <f>IFERROR(MID(VLOOKUP($B88,Seqs!$A:$B,2,0),S88,1),"")</f>
        <v>L</v>
      </c>
      <c r="S88" s="3">
        <v>135</v>
      </c>
      <c r="T88" s="3" t="str">
        <f>IFERROR(MID(VLOOKUP($B88,Seqs!$A:$B,2,0),U88,1),"")</f>
        <v>G</v>
      </c>
      <c r="U88" s="3">
        <v>136</v>
      </c>
      <c r="V88" s="3" t="str">
        <f>IFERROR(MID(VLOOKUP($B88,Seqs!$A:$B,2,0),W88,1),"")</f>
        <v>R</v>
      </c>
      <c r="W88" s="3">
        <v>171</v>
      </c>
      <c r="X88" s="3" t="str">
        <f>IFERROR(MID(VLOOKUP($B88,Seqs!$A:$B,2,0),Y88,1),"")</f>
        <v>P</v>
      </c>
      <c r="Y88" s="3">
        <v>172</v>
      </c>
      <c r="Z88" s="3" t="str">
        <f>IFERROR(MID(VLOOKUP($B88,Seqs!$A:$B,2,0),AA88,1),"")</f>
        <v>R</v>
      </c>
      <c r="AA88" s="3">
        <v>179</v>
      </c>
      <c r="AB88" s="3" t="str">
        <f>IFERROR(MID(VLOOKUP($B88,Seqs!$A:$B,2,0),AC88,1),"")</f>
        <v>T</v>
      </c>
      <c r="AC88" s="3">
        <v>180</v>
      </c>
      <c r="AD88" s="3" t="str">
        <f>IFERROR(MID(VLOOKUP($B88,Seqs!$A:$B,2,0),AE88,1),"")</f>
        <v>G</v>
      </c>
      <c r="AE88" s="3">
        <v>211</v>
      </c>
      <c r="AF88" s="3" t="str">
        <f>IFERROR(MID(VLOOKUP($B88,Seqs!$A:$B,2,0),AG88,1),"")</f>
        <v>C</v>
      </c>
      <c r="AG88" s="3">
        <v>220</v>
      </c>
      <c r="AH88" s="3" t="str">
        <f>IFERROR(MID(VLOOKUP($B88,Seqs!$A:$B,2,0),AI88,1),"")</f>
        <v>I</v>
      </c>
      <c r="AI88" s="3">
        <v>222</v>
      </c>
      <c r="AJ88" s="3" t="str">
        <f>IFERROR(MID(VLOOKUP($B88,Seqs!$A:$B,2,0),AK88,1),"")</f>
        <v>E</v>
      </c>
      <c r="AK88" s="3">
        <v>227</v>
      </c>
      <c r="AL88" s="3" t="str">
        <f>IFERROR(MID(VLOOKUP($B88,Seqs!$A:$B,2,0),AM88,1),"")</f>
        <v>L</v>
      </c>
      <c r="AM88" s="3">
        <v>267</v>
      </c>
      <c r="AN88" s="3" t="str">
        <f>IFERROR(MID(VLOOKUP($B88,Seqs!$A:$B,2,0),AO88,1),"")</f>
        <v>R</v>
      </c>
      <c r="AO88" s="3">
        <v>479</v>
      </c>
      <c r="AP88" s="3" t="str">
        <f>IFERROR(MID(VLOOKUP($B88,Seqs!$A:$B,2,0),AQ88,1),"")</f>
        <v>C</v>
      </c>
      <c r="AQ88" s="3">
        <v>516</v>
      </c>
      <c r="AR88" s="3" t="str">
        <f>IFERROR(MID(VLOOKUP($B88,Seqs!$A:$B,2,0),AS88,1),"")</f>
        <v>P</v>
      </c>
      <c r="AS88" s="3">
        <v>521</v>
      </c>
      <c r="AT88" s="3" t="str">
        <f>IFERROR(MID(VLOOKUP($B88,Seqs!$A:$B,2,0),AU88,1),"")</f>
        <v>C</v>
      </c>
      <c r="AU88" s="3">
        <v>546</v>
      </c>
      <c r="AV88" s="3" t="str">
        <f>IFERROR(MID(VLOOKUP($B88,Seqs!$A:$B,2,0),AW88,1),"")</f>
        <v>N</v>
      </c>
      <c r="AW88" s="3">
        <v>547</v>
      </c>
      <c r="AX88" s="3" t="str">
        <f>IFERROR(MID(VLOOKUP($B88,Seqs!$A:$B,2,0),AY88,1),"")</f>
        <v>C</v>
      </c>
      <c r="AY88" s="3">
        <v>560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si="504"/>
        <v>1</v>
      </c>
      <c r="BC88" s="23">
        <f t="shared" si="225"/>
        <v>270</v>
      </c>
      <c r="BD88" s="56" t="s">
        <v>23</v>
      </c>
      <c r="BE88" s="3" t="s">
        <v>23</v>
      </c>
      <c r="BF88" s="118" t="s">
        <v>23</v>
      </c>
      <c r="BG88" s="49" t="s">
        <v>1372</v>
      </c>
      <c r="BH88" s="49" t="s">
        <v>1377</v>
      </c>
      <c r="BI88" s="1"/>
      <c r="BJ88" s="70" t="s">
        <v>1287</v>
      </c>
      <c r="BK88" s="57" t="s">
        <v>1287</v>
      </c>
      <c r="BL88" s="57" t="s">
        <v>1287</v>
      </c>
      <c r="BM88" s="57" t="s">
        <v>1287</v>
      </c>
      <c r="BN88" s="57" t="s">
        <v>1287</v>
      </c>
      <c r="BO88" s="57" t="s">
        <v>1287</v>
      </c>
      <c r="BP88" s="57" t="s">
        <v>1287</v>
      </c>
      <c r="BQ88" s="57" t="s">
        <v>1287</v>
      </c>
      <c r="BR88" s="57" t="s">
        <v>1287</v>
      </c>
      <c r="BS88" s="57" t="s">
        <v>1287</v>
      </c>
      <c r="BT88" s="57" t="s">
        <v>1287</v>
      </c>
      <c r="BU88" s="57" t="s">
        <v>1287</v>
      </c>
      <c r="BV88" s="70">
        <f t="shared" si="226"/>
        <v>63</v>
      </c>
      <c r="BW88" s="71">
        <f t="shared" si="227"/>
        <v>96</v>
      </c>
      <c r="BX88" s="72">
        <f t="shared" si="228"/>
        <v>100</v>
      </c>
      <c r="BY88" s="71">
        <f t="shared" si="229"/>
        <v>132</v>
      </c>
      <c r="BZ88" s="72">
        <f t="shared" si="230"/>
        <v>136</v>
      </c>
      <c r="CA88" s="71">
        <f t="shared" si="231"/>
        <v>172</v>
      </c>
      <c r="CB88" s="72">
        <f t="shared" si="232"/>
        <v>180</v>
      </c>
      <c r="CC88" s="71">
        <f t="shared" si="233"/>
        <v>220</v>
      </c>
      <c r="CD88" s="72">
        <f t="shared" si="234"/>
        <v>227</v>
      </c>
      <c r="CE88" s="71">
        <f t="shared" si="235"/>
        <v>479</v>
      </c>
      <c r="CF88" s="72">
        <f t="shared" si="236"/>
        <v>521</v>
      </c>
      <c r="CG88" s="71">
        <f t="shared" si="237"/>
        <v>547</v>
      </c>
      <c r="CH88" s="70">
        <f t="shared" si="238"/>
        <v>95</v>
      </c>
      <c r="CI88" s="71">
        <f t="shared" si="239"/>
        <v>99</v>
      </c>
      <c r="CJ88" s="72">
        <f t="shared" si="240"/>
        <v>130</v>
      </c>
      <c r="CK88" s="72">
        <f t="shared" si="241"/>
        <v>135</v>
      </c>
      <c r="CL88" s="72">
        <f t="shared" si="242"/>
        <v>171</v>
      </c>
      <c r="CM88" s="72">
        <f t="shared" si="243"/>
        <v>179</v>
      </c>
      <c r="CN88" s="72">
        <f t="shared" si="244"/>
        <v>211</v>
      </c>
      <c r="CO88" s="72">
        <f t="shared" si="245"/>
        <v>222</v>
      </c>
      <c r="CP88" s="72">
        <f t="shared" si="246"/>
        <v>267</v>
      </c>
      <c r="CQ88" s="72">
        <f t="shared" si="247"/>
        <v>516</v>
      </c>
      <c r="CR88" s="72">
        <f t="shared" si="248"/>
        <v>546</v>
      </c>
      <c r="CS88" s="72">
        <f t="shared" si="249"/>
        <v>560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503"/>
        <v>acm3_rat_4U15</v>
      </c>
      <c r="B89" s="3" t="s">
        <v>909</v>
      </c>
      <c r="C89" s="3" t="s">
        <v>71</v>
      </c>
      <c r="D89" s="3" t="str">
        <f>IFERROR(MID(VLOOKUP($B89,Seqs!$A:$B,2,0),E89,1),"")</f>
        <v>I</v>
      </c>
      <c r="E89" s="3">
        <v>64</v>
      </c>
      <c r="F89" s="3" t="str">
        <f>IFERROR(MID(VLOOKUP($B89,Seqs!$A:$B,2,0),G89,1),"")</f>
        <v>N</v>
      </c>
      <c r="G89" s="3">
        <v>95</v>
      </c>
      <c r="H89" s="3" t="str">
        <f>IFERROR(MID(VLOOKUP($B89,Seqs!$A:$B,2,0),I89,1),"")</f>
        <v>K</v>
      </c>
      <c r="I89" s="23">
        <v>96</v>
      </c>
      <c r="J89" s="3" t="str">
        <f>IFERROR(MID(VLOOKUP($B89,Seqs!$A:$B,2,0),K89,1),"")</f>
        <v>K</v>
      </c>
      <c r="K89" s="23">
        <v>99</v>
      </c>
      <c r="L89" s="3" t="str">
        <f>IFERROR(MID(VLOOKUP($B89,Seqs!$A:$B,2,0),M89,1),"")</f>
        <v>T</v>
      </c>
      <c r="M89" s="3">
        <v>100</v>
      </c>
      <c r="N89" s="3" t="str">
        <f>IFERROR(MID(VLOOKUP($B89,Seqs!$A:$B,2,0),O89,1),"")</f>
        <v>M</v>
      </c>
      <c r="O89" s="3">
        <v>130</v>
      </c>
      <c r="P89" s="3" t="str">
        <f>IFERROR(MID(VLOOKUP($B89,Seqs!$A:$B,2,0),Q89,1),"")</f>
        <v>R</v>
      </c>
      <c r="Q89" s="3">
        <v>132</v>
      </c>
      <c r="R89" s="3" t="str">
        <f>IFERROR(MID(VLOOKUP($B89,Seqs!$A:$B,2,0),S89,1),"")</f>
        <v>L</v>
      </c>
      <c r="S89" s="3">
        <v>135</v>
      </c>
      <c r="T89" s="3" t="str">
        <f>IFERROR(MID(VLOOKUP($B89,Seqs!$A:$B,2,0),U89,1),"")</f>
        <v>G</v>
      </c>
      <c r="U89" s="3">
        <v>136</v>
      </c>
      <c r="V89" s="3" t="str">
        <f>IFERROR(MID(VLOOKUP($B89,Seqs!$A:$B,2,0),W89,1),"")</f>
        <v>R</v>
      </c>
      <c r="W89" s="3">
        <v>171</v>
      </c>
      <c r="X89" s="3" t="str">
        <f>IFERROR(MID(VLOOKUP($B89,Seqs!$A:$B,2,0),Y89,1),"")</f>
        <v>P</v>
      </c>
      <c r="Y89" s="3">
        <v>172</v>
      </c>
      <c r="Z89" s="3" t="str">
        <f>IFERROR(MID(VLOOKUP($B89,Seqs!$A:$B,2,0),AA89,1),"")</f>
        <v>R</v>
      </c>
      <c r="AA89" s="3">
        <v>179</v>
      </c>
      <c r="AB89" s="3" t="str">
        <f>IFERROR(MID(VLOOKUP($B89,Seqs!$A:$B,2,0),AC89,1),"")</f>
        <v>T</v>
      </c>
      <c r="AC89" s="9">
        <v>180</v>
      </c>
      <c r="AD89" s="3" t="str">
        <f>IFERROR(MID(VLOOKUP($B89,Seqs!$A:$B,2,0),AE89,1),"")</f>
        <v>G</v>
      </c>
      <c r="AE89" s="3">
        <v>211</v>
      </c>
      <c r="AF89" s="3" t="str">
        <f>IFERROR(MID(VLOOKUP($B89,Seqs!$A:$B,2,0),AG89,1),"")</f>
        <v>C</v>
      </c>
      <c r="AG89" s="3">
        <v>220</v>
      </c>
      <c r="AH89" s="3" t="str">
        <f>IFERROR(MID(VLOOKUP($B89,Seqs!$A:$B,2,0),AI89,1),"")</f>
        <v>I</v>
      </c>
      <c r="AI89" s="3">
        <v>222</v>
      </c>
      <c r="AJ89" s="3" t="str">
        <f>IFERROR(MID(VLOOKUP($B89,Seqs!$A:$B,2,0),AK89,1),"")</f>
        <v>E</v>
      </c>
      <c r="AK89" s="3">
        <v>227</v>
      </c>
      <c r="AL89" s="3" t="str">
        <f>IFERROR(MID(VLOOKUP($B89,Seqs!$A:$B,2,0),AM89,1),"")</f>
        <v>K</v>
      </c>
      <c r="AM89" s="3">
        <v>259</v>
      </c>
      <c r="AN89" s="3" t="str">
        <f>IFERROR(MID(VLOOKUP($B89,Seqs!$A:$B,2,0),AO89,1),"")</f>
        <v>I</v>
      </c>
      <c r="AO89" s="3">
        <v>483</v>
      </c>
      <c r="AP89" s="3" t="str">
        <f>IFERROR(MID(VLOOKUP($B89,Seqs!$A:$B,2,0),AQ89,1),"")</f>
        <v>C</v>
      </c>
      <c r="AQ89" s="3">
        <v>516</v>
      </c>
      <c r="AR89" s="3" t="str">
        <f>IFERROR(MID(VLOOKUP($B89,Seqs!$A:$B,2,0),AS89,1),"")</f>
        <v>P</v>
      </c>
      <c r="AS89" s="3">
        <v>521</v>
      </c>
      <c r="AT89" s="3" t="str">
        <f>IFERROR(MID(VLOOKUP($B89,Seqs!$A:$B,2,0),AU89,1),"")</f>
        <v>C</v>
      </c>
      <c r="AU89" s="3">
        <v>546</v>
      </c>
      <c r="AV89" s="3" t="str">
        <f>IFERROR(MID(VLOOKUP($B89,Seqs!$A:$B,2,0),AW89,1),"")</f>
        <v>N</v>
      </c>
      <c r="AW89" s="3">
        <v>547</v>
      </c>
      <c r="AX89" s="3" t="str">
        <f>IFERROR(MID(VLOOKUP($B89,Seqs!$A:$B,2,0),AY89,1),"")</f>
        <v>L</v>
      </c>
      <c r="AY89" s="3">
        <v>558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si="504"/>
        <v>1</v>
      </c>
      <c r="BC89" s="23">
        <f t="shared" si="225"/>
        <v>255</v>
      </c>
      <c r="BD89" s="16" t="s">
        <v>23</v>
      </c>
      <c r="BE89" s="3" t="s">
        <v>1374</v>
      </c>
      <c r="BF89" s="118">
        <v>2.8</v>
      </c>
      <c r="BG89" s="49" t="s">
        <v>1377</v>
      </c>
      <c r="BH89" s="49" t="s">
        <v>1377</v>
      </c>
      <c r="BI89" s="1"/>
      <c r="BJ89" s="70" t="s">
        <v>1287</v>
      </c>
      <c r="BK89" s="57" t="s">
        <v>1287</v>
      </c>
      <c r="BL89" s="57" t="s">
        <v>1287</v>
      </c>
      <c r="BM89" s="57" t="s">
        <v>1287</v>
      </c>
      <c r="BN89" s="57" t="s">
        <v>1287</v>
      </c>
      <c r="BO89" s="57" t="s">
        <v>1287</v>
      </c>
      <c r="BP89" s="57" t="s">
        <v>1287</v>
      </c>
      <c r="BQ89" s="57" t="s">
        <v>1287</v>
      </c>
      <c r="BR89" s="57" t="s">
        <v>1287</v>
      </c>
      <c r="BS89" s="57" t="s">
        <v>1287</v>
      </c>
      <c r="BT89" s="57" t="s">
        <v>1287</v>
      </c>
      <c r="BU89" s="57" t="s">
        <v>1287</v>
      </c>
      <c r="BV89" s="70">
        <f t="shared" si="226"/>
        <v>64</v>
      </c>
      <c r="BW89" s="71">
        <f t="shared" si="227"/>
        <v>96</v>
      </c>
      <c r="BX89" s="72">
        <f t="shared" si="228"/>
        <v>100</v>
      </c>
      <c r="BY89" s="71">
        <f t="shared" si="229"/>
        <v>132</v>
      </c>
      <c r="BZ89" s="72">
        <f t="shared" si="230"/>
        <v>136</v>
      </c>
      <c r="CA89" s="71">
        <f t="shared" si="231"/>
        <v>172</v>
      </c>
      <c r="CB89" s="72">
        <f t="shared" si="232"/>
        <v>180</v>
      </c>
      <c r="CC89" s="71">
        <f t="shared" si="233"/>
        <v>220</v>
      </c>
      <c r="CD89" s="72">
        <f t="shared" si="234"/>
        <v>227</v>
      </c>
      <c r="CE89" s="71">
        <f t="shared" si="235"/>
        <v>483</v>
      </c>
      <c r="CF89" s="72">
        <f t="shared" si="236"/>
        <v>521</v>
      </c>
      <c r="CG89" s="71">
        <f t="shared" si="237"/>
        <v>547</v>
      </c>
      <c r="CH89" s="70">
        <f t="shared" si="238"/>
        <v>95</v>
      </c>
      <c r="CI89" s="71">
        <f t="shared" si="239"/>
        <v>99</v>
      </c>
      <c r="CJ89" s="72">
        <f t="shared" si="240"/>
        <v>130</v>
      </c>
      <c r="CK89" s="72">
        <f t="shared" si="241"/>
        <v>135</v>
      </c>
      <c r="CL89" s="72">
        <f t="shared" si="242"/>
        <v>171</v>
      </c>
      <c r="CM89" s="72">
        <f t="shared" si="243"/>
        <v>179</v>
      </c>
      <c r="CN89" s="72">
        <f t="shared" si="244"/>
        <v>211</v>
      </c>
      <c r="CO89" s="72">
        <f t="shared" si="245"/>
        <v>222</v>
      </c>
      <c r="CP89" s="72">
        <f t="shared" si="246"/>
        <v>259</v>
      </c>
      <c r="CQ89" s="72">
        <f t="shared" si="247"/>
        <v>516</v>
      </c>
      <c r="CR89" s="72">
        <f t="shared" si="248"/>
        <v>546</v>
      </c>
      <c r="CS89" s="72">
        <f t="shared" si="249"/>
        <v>558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503"/>
        <v>acm3_rat_4U16</v>
      </c>
      <c r="B90" s="3" t="s">
        <v>909</v>
      </c>
      <c r="C90" s="3" t="s">
        <v>1053</v>
      </c>
      <c r="D90" s="3" t="str">
        <f>IFERROR(MID(VLOOKUP($B90,Seqs!$A:$B,2,0),E90,1),"")</f>
        <v>I</v>
      </c>
      <c r="E90" s="3">
        <v>64</v>
      </c>
      <c r="F90" s="3" t="str">
        <f>IFERROR(MID(VLOOKUP($B90,Seqs!$A:$B,2,0),G90,1),"")</f>
        <v>N</v>
      </c>
      <c r="G90" s="3">
        <v>95</v>
      </c>
      <c r="H90" s="3" t="str">
        <f>IFERROR(MID(VLOOKUP($B90,Seqs!$A:$B,2,0),I90,1),"")</f>
        <v>K</v>
      </c>
      <c r="I90" s="23">
        <v>96</v>
      </c>
      <c r="J90" s="3" t="str">
        <f>IFERROR(MID(VLOOKUP($B90,Seqs!$A:$B,2,0),K90,1),"")</f>
        <v>K</v>
      </c>
      <c r="K90" s="23">
        <v>99</v>
      </c>
      <c r="L90" s="3" t="str">
        <f>IFERROR(MID(VLOOKUP($B90,Seqs!$A:$B,2,0),M90,1),"")</f>
        <v>T</v>
      </c>
      <c r="M90" s="3">
        <v>100</v>
      </c>
      <c r="N90" s="3" t="str">
        <f>IFERROR(MID(VLOOKUP($B90,Seqs!$A:$B,2,0),O90,1),"")</f>
        <v>M</v>
      </c>
      <c r="O90" s="3">
        <v>130</v>
      </c>
      <c r="P90" s="3" t="str">
        <f>IFERROR(MID(VLOOKUP($B90,Seqs!$A:$B,2,0),Q90,1),"")</f>
        <v>R</v>
      </c>
      <c r="Q90" s="3">
        <v>132</v>
      </c>
      <c r="R90" s="3" t="str">
        <f>IFERROR(MID(VLOOKUP($B90,Seqs!$A:$B,2,0),S90,1),"")</f>
        <v>L</v>
      </c>
      <c r="S90" s="3">
        <v>135</v>
      </c>
      <c r="T90" s="3" t="str">
        <f>IFERROR(MID(VLOOKUP($B90,Seqs!$A:$B,2,0),U90,1),"")</f>
        <v>G</v>
      </c>
      <c r="U90" s="3">
        <v>136</v>
      </c>
      <c r="V90" s="3" t="str">
        <f>IFERROR(MID(VLOOKUP($B90,Seqs!$A:$B,2,0),W90,1),"")</f>
        <v>R</v>
      </c>
      <c r="W90" s="3">
        <v>171</v>
      </c>
      <c r="X90" s="3" t="str">
        <f>IFERROR(MID(VLOOKUP($B90,Seqs!$A:$B,2,0),Y90,1),"")</f>
        <v>P</v>
      </c>
      <c r="Y90" s="3">
        <v>172</v>
      </c>
      <c r="Z90" s="3" t="str">
        <f>IFERROR(MID(VLOOKUP($B90,Seqs!$A:$B,2,0),AA90,1),"")</f>
        <v>R</v>
      </c>
      <c r="AA90" s="3">
        <v>179</v>
      </c>
      <c r="AB90" s="3" t="str">
        <f>IFERROR(MID(VLOOKUP($B90,Seqs!$A:$B,2,0),AC90,1),"")</f>
        <v>T</v>
      </c>
      <c r="AC90" s="9">
        <v>180</v>
      </c>
      <c r="AD90" s="3" t="str">
        <f>IFERROR(MID(VLOOKUP($B90,Seqs!$A:$B,2,0),AE90,1),"")</f>
        <v>G</v>
      </c>
      <c r="AE90" s="3">
        <v>211</v>
      </c>
      <c r="AF90" s="3" t="str">
        <f>IFERROR(MID(VLOOKUP($B90,Seqs!$A:$B,2,0),AG90,1),"")</f>
        <v>C</v>
      </c>
      <c r="AG90" s="3">
        <v>220</v>
      </c>
      <c r="AH90" s="3" t="str">
        <f>IFERROR(MID(VLOOKUP($B90,Seqs!$A:$B,2,0),AI90,1),"")</f>
        <v>I</v>
      </c>
      <c r="AI90" s="3">
        <v>222</v>
      </c>
      <c r="AJ90" s="3" t="str">
        <f>IFERROR(MID(VLOOKUP($B90,Seqs!$A:$B,2,0),AK90,1),"")</f>
        <v>E</v>
      </c>
      <c r="AK90" s="3">
        <v>227</v>
      </c>
      <c r="AL90" s="3" t="str">
        <f>IFERROR(MID(VLOOKUP($B90,Seqs!$A:$B,2,0),AM90,1),"")</f>
        <v>K</v>
      </c>
      <c r="AM90" s="3">
        <v>259</v>
      </c>
      <c r="AN90" s="3" t="str">
        <f>IFERROR(MID(VLOOKUP($B90,Seqs!$A:$B,2,0),AO90,1),"")</f>
        <v>I</v>
      </c>
      <c r="AO90" s="3">
        <v>483</v>
      </c>
      <c r="AP90" s="3" t="str">
        <f>IFERROR(MID(VLOOKUP($B90,Seqs!$A:$B,2,0),AQ90,1),"")</f>
        <v>C</v>
      </c>
      <c r="AQ90" s="3">
        <v>516</v>
      </c>
      <c r="AR90" s="3" t="str">
        <f>IFERROR(MID(VLOOKUP($B90,Seqs!$A:$B,2,0),AS90,1),"")</f>
        <v>P</v>
      </c>
      <c r="AS90" s="3">
        <v>521</v>
      </c>
      <c r="AT90" s="3" t="str">
        <f>IFERROR(MID(VLOOKUP($B90,Seqs!$A:$B,2,0),AU90,1),"")</f>
        <v>C</v>
      </c>
      <c r="AU90" s="3">
        <v>546</v>
      </c>
      <c r="AV90" s="3" t="str">
        <f>IFERROR(MID(VLOOKUP($B90,Seqs!$A:$B,2,0),AW90,1),"")</f>
        <v/>
      </c>
      <c r="AW90" s="3" t="s">
        <v>23</v>
      </c>
      <c r="AX90" s="3" t="str">
        <f>IFERROR(MID(VLOOKUP($B90,Seqs!$A:$B,2,0),AY90,1),"")</f>
        <v/>
      </c>
      <c r="AY90" s="3" t="s">
        <v>23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si="504"/>
        <v>1</v>
      </c>
      <c r="BC90" s="23">
        <f t="shared" si="225"/>
        <v>244</v>
      </c>
      <c r="BD90" s="4" t="s">
        <v>23</v>
      </c>
      <c r="BE90" s="3" t="s">
        <v>1374</v>
      </c>
      <c r="BF90" s="118">
        <v>3.7</v>
      </c>
      <c r="BG90" s="49" t="s">
        <v>1377</v>
      </c>
      <c r="BH90" s="49" t="s">
        <v>1377</v>
      </c>
      <c r="BI90" s="1"/>
      <c r="BJ90" s="70" t="s">
        <v>1287</v>
      </c>
      <c r="BK90" s="57" t="s">
        <v>1287</v>
      </c>
      <c r="BL90" s="57" t="s">
        <v>1287</v>
      </c>
      <c r="BM90" s="57" t="s">
        <v>1287</v>
      </c>
      <c r="BN90" s="57" t="s">
        <v>1287</v>
      </c>
      <c r="BO90" s="57" t="s">
        <v>1287</v>
      </c>
      <c r="BP90" s="57" t="s">
        <v>1287</v>
      </c>
      <c r="BQ90" s="57" t="s">
        <v>1287</v>
      </c>
      <c r="BR90" s="57" t="s">
        <v>1287</v>
      </c>
      <c r="BS90" s="57" t="s">
        <v>1287</v>
      </c>
      <c r="BT90" s="57" t="s">
        <v>1287</v>
      </c>
      <c r="BU90" s="57" t="s">
        <v>1287</v>
      </c>
      <c r="BV90" s="70">
        <f t="shared" si="226"/>
        <v>64</v>
      </c>
      <c r="BW90" s="71">
        <f t="shared" si="227"/>
        <v>96</v>
      </c>
      <c r="BX90" s="72">
        <f t="shared" si="228"/>
        <v>100</v>
      </c>
      <c r="BY90" s="71">
        <f t="shared" si="229"/>
        <v>132</v>
      </c>
      <c r="BZ90" s="72">
        <f t="shared" si="230"/>
        <v>136</v>
      </c>
      <c r="CA90" s="71">
        <f t="shared" si="231"/>
        <v>172</v>
      </c>
      <c r="CB90" s="72">
        <f t="shared" si="232"/>
        <v>180</v>
      </c>
      <c r="CC90" s="71">
        <f t="shared" si="233"/>
        <v>220</v>
      </c>
      <c r="CD90" s="72">
        <f t="shared" si="234"/>
        <v>227</v>
      </c>
      <c r="CE90" s="71">
        <f t="shared" si="235"/>
        <v>483</v>
      </c>
      <c r="CF90" s="72">
        <f t="shared" si="236"/>
        <v>521</v>
      </c>
      <c r="CG90" s="71" t="str">
        <f t="shared" si="237"/>
        <v>-</v>
      </c>
      <c r="CH90" s="70">
        <f t="shared" si="238"/>
        <v>95</v>
      </c>
      <c r="CI90" s="71">
        <f t="shared" si="239"/>
        <v>99</v>
      </c>
      <c r="CJ90" s="72">
        <f t="shared" si="240"/>
        <v>130</v>
      </c>
      <c r="CK90" s="72">
        <f t="shared" si="241"/>
        <v>135</v>
      </c>
      <c r="CL90" s="72">
        <f t="shared" si="242"/>
        <v>171</v>
      </c>
      <c r="CM90" s="72">
        <f t="shared" si="243"/>
        <v>179</v>
      </c>
      <c r="CN90" s="72">
        <f t="shared" si="244"/>
        <v>211</v>
      </c>
      <c r="CO90" s="72">
        <f t="shared" si="245"/>
        <v>222</v>
      </c>
      <c r="CP90" s="72">
        <f t="shared" si="246"/>
        <v>259</v>
      </c>
      <c r="CQ90" s="72">
        <f t="shared" si="247"/>
        <v>516</v>
      </c>
      <c r="CR90" s="72">
        <f t="shared" si="248"/>
        <v>546</v>
      </c>
      <c r="CS90" s="72" t="str">
        <f t="shared" si="249"/>
        <v>-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s="12" customFormat="1" x14ac:dyDescent="0.2">
      <c r="A91" s="9" t="str">
        <f t="shared" ref="A91" si="701">CONCATENATE(B91,"_",C91)</f>
        <v>acm3_rat_5ZHP</v>
      </c>
      <c r="B91" s="9" t="s">
        <v>909</v>
      </c>
      <c r="C91" s="9" t="s">
        <v>1576</v>
      </c>
      <c r="D91" s="9" t="str">
        <f>IFERROR(MID(VLOOKUP($B91,Seqs!$A:$B,2,0),E91,1),"")</f>
        <v>T</v>
      </c>
      <c r="E91" s="9">
        <v>63</v>
      </c>
      <c r="F91" s="9" t="str">
        <f>IFERROR(MID(VLOOKUP($B91,Seqs!$A:$B,2,0),G91,1),"")</f>
        <v>N</v>
      </c>
      <c r="G91" s="9">
        <v>95</v>
      </c>
      <c r="H91" s="9" t="str">
        <f>IFERROR(MID(VLOOKUP($B91,Seqs!$A:$B,2,0),I91,1),"")</f>
        <v>K</v>
      </c>
      <c r="I91" s="109">
        <v>96</v>
      </c>
      <c r="J91" s="9" t="str">
        <f>IFERROR(MID(VLOOKUP($B91,Seqs!$A:$B,2,0),K91,1),"")</f>
        <v>K</v>
      </c>
      <c r="K91" s="109">
        <v>99</v>
      </c>
      <c r="L91" s="9" t="str">
        <f>IFERROR(MID(VLOOKUP($B91,Seqs!$A:$B,2,0),M91,1),"")</f>
        <v>T</v>
      </c>
      <c r="M91" s="9">
        <v>100</v>
      </c>
      <c r="N91" s="9" t="str">
        <f>IFERROR(MID(VLOOKUP($B91,Seqs!$A:$B,2,0),O91,1),"")</f>
        <v>M</v>
      </c>
      <c r="O91" s="9">
        <v>130</v>
      </c>
      <c r="P91" s="9" t="str">
        <f>IFERROR(MID(VLOOKUP($B91,Seqs!$A:$B,2,0),Q91,1),"")</f>
        <v>R</v>
      </c>
      <c r="Q91" s="9">
        <v>132</v>
      </c>
      <c r="R91" s="9" t="str">
        <f>IFERROR(MID(VLOOKUP($B91,Seqs!$A:$B,2,0),S91,1),"")</f>
        <v>L</v>
      </c>
      <c r="S91" s="9">
        <v>135</v>
      </c>
      <c r="T91" s="9" t="str">
        <f>IFERROR(MID(VLOOKUP($B91,Seqs!$A:$B,2,0),U91,1),"")</f>
        <v>G</v>
      </c>
      <c r="U91" s="9">
        <v>136</v>
      </c>
      <c r="V91" s="9" t="str">
        <f>IFERROR(MID(VLOOKUP($B91,Seqs!$A:$B,2,0),W91,1),"")</f>
        <v>R</v>
      </c>
      <c r="W91" s="9">
        <v>171</v>
      </c>
      <c r="X91" s="9" t="str">
        <f>IFERROR(MID(VLOOKUP($B91,Seqs!$A:$B,2,0),Y91,1),"")</f>
        <v>P</v>
      </c>
      <c r="Y91" s="9">
        <v>172</v>
      </c>
      <c r="Z91" s="9" t="str">
        <f>IFERROR(MID(VLOOKUP($B91,Seqs!$A:$B,2,0),AA91,1),"")</f>
        <v>R</v>
      </c>
      <c r="AA91" s="9">
        <v>179</v>
      </c>
      <c r="AB91" s="9" t="str">
        <f>IFERROR(MID(VLOOKUP($B91,Seqs!$A:$B,2,0),AC91,1),"")</f>
        <v>T</v>
      </c>
      <c r="AC91" s="9">
        <v>180</v>
      </c>
      <c r="AD91" s="9" t="str">
        <f>IFERROR(MID(VLOOKUP($B91,Seqs!$A:$B,2,0),AE91,1),"")</f>
        <v>G</v>
      </c>
      <c r="AE91" s="9">
        <v>211</v>
      </c>
      <c r="AF91" s="9" t="str">
        <f>IFERROR(MID(VLOOKUP($B91,Seqs!$A:$B,2,0),AG91,1),"")</f>
        <v>C</v>
      </c>
      <c r="AG91" s="9">
        <v>220</v>
      </c>
      <c r="AH91" s="9" t="str">
        <f>IFERROR(MID(VLOOKUP($B91,Seqs!$A:$B,2,0),AI91,1),"")</f>
        <v>I</v>
      </c>
      <c r="AI91" s="9">
        <v>222</v>
      </c>
      <c r="AJ91" s="9" t="str">
        <f>IFERROR(MID(VLOOKUP($B91,Seqs!$A:$B,2,0),AK91,1),"")</f>
        <v>E</v>
      </c>
      <c r="AK91" s="9">
        <v>227</v>
      </c>
      <c r="AL91" s="9" t="str">
        <f>IFERROR(MID(VLOOKUP($B91,Seqs!$A:$B,2,0),AM91,1),"")</f>
        <v>K</v>
      </c>
      <c r="AM91" s="9">
        <v>259</v>
      </c>
      <c r="AN91" s="9" t="str">
        <f>IFERROR(MID(VLOOKUP($B91,Seqs!$A:$B,2,0),AO91,1),"")</f>
        <v>L</v>
      </c>
      <c r="AO91" s="9">
        <v>482</v>
      </c>
      <c r="AP91" s="9" t="str">
        <f>IFERROR(MID(VLOOKUP($B91,Seqs!$A:$B,2,0),AQ91,1),"")</f>
        <v>C</v>
      </c>
      <c r="AQ91" s="9">
        <v>516</v>
      </c>
      <c r="AR91" s="9" t="str">
        <f>IFERROR(MID(VLOOKUP($B91,Seqs!$A:$B,2,0),AS91,1),"")</f>
        <v>P</v>
      </c>
      <c r="AS91" s="9">
        <v>521</v>
      </c>
      <c r="AT91" s="9" t="str">
        <f>IFERROR(MID(VLOOKUP($B91,Seqs!$A:$B,2,0),AU91,1),"")</f>
        <v>C</v>
      </c>
      <c r="AU91" s="9">
        <v>546</v>
      </c>
      <c r="AV91" s="9" t="str">
        <f>IFERROR(MID(VLOOKUP($B91,Seqs!$A:$B,2,0),AW91,1),"")</f>
        <v>N</v>
      </c>
      <c r="AW91" s="9">
        <v>547</v>
      </c>
      <c r="AX91" s="9" t="str">
        <f>IFERROR(MID(VLOOKUP($B91,Seqs!$A:$B,2,0),AY91,1),"")</f>
        <v>C</v>
      </c>
      <c r="AY91" s="9">
        <v>560</v>
      </c>
      <c r="AZ91" s="110" t="str">
        <f>VLOOKUP(B91,Classification!A:D,2,0)</f>
        <v>A</v>
      </c>
      <c r="BA91" s="98" t="str">
        <f>VLOOKUP(B91,Classification!A:D,4,0)</f>
        <v>Acetylcholine(muscarinic)</v>
      </c>
      <c r="BB91" s="36" t="b">
        <f t="shared" ref="BB91" si="702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109">
        <f t="shared" ref="BC91" si="703">_xlfn.AGGREGATE(9,6,CH91:CS91)-_xlfn.AGGREGATE(9,6,BV91:CG91)+12</f>
        <v>259</v>
      </c>
      <c r="BD91" s="11" t="s">
        <v>1376</v>
      </c>
      <c r="BE91" s="9" t="s">
        <v>1374</v>
      </c>
      <c r="BF91" s="119">
        <v>3.1</v>
      </c>
      <c r="BG91" s="51" t="s">
        <v>1281</v>
      </c>
      <c r="BH91" s="51" t="s">
        <v>1281</v>
      </c>
      <c r="BJ91" s="111" t="s">
        <v>1287</v>
      </c>
      <c r="BK91" s="112" t="s">
        <v>1287</v>
      </c>
      <c r="BL91" s="112" t="s">
        <v>1287</v>
      </c>
      <c r="BM91" s="112" t="s">
        <v>1287</v>
      </c>
      <c r="BN91" s="112" t="s">
        <v>1287</v>
      </c>
      <c r="BO91" s="112" t="s">
        <v>1287</v>
      </c>
      <c r="BP91" s="112" t="s">
        <v>1287</v>
      </c>
      <c r="BQ91" s="112" t="s">
        <v>1287</v>
      </c>
      <c r="BR91" s="112" t="s">
        <v>1287</v>
      </c>
      <c r="BS91" s="112" t="s">
        <v>1287</v>
      </c>
      <c r="BT91" s="112" t="s">
        <v>1287</v>
      </c>
      <c r="BU91" s="112" t="s">
        <v>1287</v>
      </c>
      <c r="BV91" s="111">
        <f t="shared" ref="BV91" si="704">E91</f>
        <v>63</v>
      </c>
      <c r="BW91" s="113">
        <f t="shared" ref="BW91" si="705">I91</f>
        <v>96</v>
      </c>
      <c r="BX91" s="114">
        <f t="shared" ref="BX91" si="706">M91</f>
        <v>100</v>
      </c>
      <c r="BY91" s="113">
        <f t="shared" ref="BY91" si="707">Q91</f>
        <v>132</v>
      </c>
      <c r="BZ91" s="114">
        <f t="shared" ref="BZ91" si="708">U91</f>
        <v>136</v>
      </c>
      <c r="CA91" s="113">
        <f t="shared" ref="CA91" si="709">Y91</f>
        <v>172</v>
      </c>
      <c r="CB91" s="114">
        <f t="shared" ref="CB91" si="710">AC91</f>
        <v>180</v>
      </c>
      <c r="CC91" s="113">
        <f t="shared" ref="CC91" si="711">AG91</f>
        <v>220</v>
      </c>
      <c r="CD91" s="114">
        <f t="shared" ref="CD91" si="712">AK91</f>
        <v>227</v>
      </c>
      <c r="CE91" s="113">
        <f t="shared" ref="CE91" si="713">AO91</f>
        <v>482</v>
      </c>
      <c r="CF91" s="114">
        <f t="shared" ref="CF91" si="714">AS91</f>
        <v>521</v>
      </c>
      <c r="CG91" s="113">
        <f t="shared" ref="CG91" si="715">AW91</f>
        <v>547</v>
      </c>
      <c r="CH91" s="111">
        <f t="shared" ref="CH91" si="716">G91</f>
        <v>95</v>
      </c>
      <c r="CI91" s="113">
        <f t="shared" ref="CI91" si="717">K91</f>
        <v>99</v>
      </c>
      <c r="CJ91" s="114">
        <f t="shared" ref="CJ91" si="718">O91</f>
        <v>130</v>
      </c>
      <c r="CK91" s="114">
        <f t="shared" ref="CK91" si="719">S91</f>
        <v>135</v>
      </c>
      <c r="CL91" s="114">
        <f t="shared" ref="CL91" si="720">W91</f>
        <v>171</v>
      </c>
      <c r="CM91" s="114">
        <f t="shared" ref="CM91" si="721">AA91</f>
        <v>179</v>
      </c>
      <c r="CN91" s="114">
        <f t="shared" ref="CN91" si="722">AE91</f>
        <v>211</v>
      </c>
      <c r="CO91" s="114">
        <f t="shared" ref="CO91" si="723">AI91</f>
        <v>222</v>
      </c>
      <c r="CP91" s="114">
        <f t="shared" ref="CP91" si="724">AM91</f>
        <v>259</v>
      </c>
      <c r="CQ91" s="114">
        <f t="shared" ref="CQ91" si="725">AQ91</f>
        <v>516</v>
      </c>
      <c r="CR91" s="114">
        <f t="shared" ref="CR91" si="726">AU91</f>
        <v>546</v>
      </c>
      <c r="CS91" s="114">
        <f t="shared" ref="CS91" si="727">AY91</f>
        <v>560</v>
      </c>
      <c r="CT91" s="109">
        <f t="shared" ref="CT91" si="728">M91-K91</f>
        <v>1</v>
      </c>
    </row>
    <row r="92" spans="1:1029" x14ac:dyDescent="0.2">
      <c r="A92" s="3" t="str">
        <f t="shared" si="503"/>
        <v>acm4_human__wt</v>
      </c>
      <c r="B92" s="3" t="s">
        <v>149</v>
      </c>
      <c r="C92" s="3" t="s">
        <v>100</v>
      </c>
      <c r="D92" s="3" t="str">
        <f>IFERROR(MID(VLOOKUP($B92,Seqs!$A:$B,2,0),E92,1),"")</f>
        <v>R</v>
      </c>
      <c r="E92" s="3">
        <v>26</v>
      </c>
      <c r="F92" s="3" t="str">
        <f>IFERROR(MID(VLOOKUP($B92,Seqs!$A:$B,2,0),G92,1),"")</f>
        <v>N</v>
      </c>
      <c r="G92" s="3">
        <v>60</v>
      </c>
      <c r="H92" s="3" t="str">
        <f>IFERROR(MID(VLOOKUP($B92,Seqs!$A:$B,2,0),I92,1),"")</f>
        <v>R</v>
      </c>
      <c r="I92" s="23">
        <v>61</v>
      </c>
      <c r="J92" s="3" t="str">
        <f>IFERROR(MID(VLOOKUP($B92,Seqs!$A:$B,2,0),K92,1),"")</f>
        <v>Q</v>
      </c>
      <c r="K92" s="23">
        <v>64</v>
      </c>
      <c r="L92" s="3" t="str">
        <f>IFERROR(MID(VLOOKUP($B92,Seqs!$A:$B,2,0),M92,1),"")</f>
        <v>T</v>
      </c>
      <c r="M92" s="3">
        <v>65</v>
      </c>
      <c r="N92" s="3" t="str">
        <f>IFERROR(MID(VLOOKUP($B92,Seqs!$A:$B,2,0),O92,1),"")</f>
        <v>G</v>
      </c>
      <c r="O92" s="105">
        <v>96</v>
      </c>
      <c r="P92" s="3" t="str">
        <f>IFERROR(MID(VLOOKUP($B92,Seqs!$A:$B,2,0),Q92,1),"")</f>
        <v>Y</v>
      </c>
      <c r="Q92" s="3">
        <v>97</v>
      </c>
      <c r="R92" s="3" t="str">
        <f>IFERROR(MID(VLOOKUP($B92,Seqs!$A:$B,2,0),S92,1),"")</f>
        <v>L</v>
      </c>
      <c r="S92" s="3">
        <v>100</v>
      </c>
      <c r="T92" s="3" t="str">
        <f>IFERROR(MID(VLOOKUP($B92,Seqs!$A:$B,2,0),U92,1),"")</f>
        <v>G</v>
      </c>
      <c r="U92" s="3">
        <v>101</v>
      </c>
      <c r="V92" s="3" t="str">
        <f>IFERROR(MID(VLOOKUP($B92,Seqs!$A:$B,2,0),W92,1),"")</f>
        <v>K</v>
      </c>
      <c r="W92" s="3">
        <v>136</v>
      </c>
      <c r="X92" s="3" t="str">
        <f>IFERROR(MID(VLOOKUP($B92,Seqs!$A:$B,2,0),Y92,1),"")</f>
        <v>P</v>
      </c>
      <c r="Y92" s="3">
        <v>137</v>
      </c>
      <c r="Z92" s="3" t="str">
        <f>IFERROR(MID(VLOOKUP($B92,Seqs!$A:$B,2,0),AA92,1),"")</f>
        <v>R</v>
      </c>
      <c r="AA92" s="3">
        <v>144</v>
      </c>
      <c r="AB92" s="3" t="str">
        <f>IFERROR(MID(VLOOKUP($B92,Seqs!$A:$B,2,0),AC92,1),"")</f>
        <v>T</v>
      </c>
      <c r="AC92" s="9">
        <v>145</v>
      </c>
      <c r="AD92" s="3" t="str">
        <f>IFERROR(MID(VLOOKUP($B92,Seqs!$A:$B,2,0),AE92,1),"")</f>
        <v>G</v>
      </c>
      <c r="AE92" s="3">
        <v>176</v>
      </c>
      <c r="AF92" s="3" t="str">
        <f>IFERROR(MID(VLOOKUP($B92,Seqs!$A:$B,2,0),AG92,1),"")</f>
        <v>C</v>
      </c>
      <c r="AG92" s="3">
        <v>185</v>
      </c>
      <c r="AH92" s="3" t="str">
        <f>IFERROR(MID(VLOOKUP($B92,Seqs!$A:$B,2,0),AI92,1),"")</f>
        <v>I</v>
      </c>
      <c r="AI92" s="3">
        <v>187</v>
      </c>
      <c r="AJ92" s="3" t="str">
        <f>IFERROR(MID(VLOOKUP($B92,Seqs!$A:$B,2,0),AK92,1),"")</f>
        <v>N</v>
      </c>
      <c r="AK92" s="3">
        <v>192</v>
      </c>
      <c r="AL92" s="3" t="str">
        <f>IFERROR(MID(VLOOKUP($B92,Seqs!$A:$B,2,0),AM92,1),"")</f>
        <v>E</v>
      </c>
      <c r="AM92" s="3">
        <v>232</v>
      </c>
      <c r="AN92" s="3" t="str">
        <f>IFERROR(MID(VLOOKUP($B92,Seqs!$A:$B,2,0),AO92,1),"")</f>
        <v>R</v>
      </c>
      <c r="AO92" s="3">
        <v>389</v>
      </c>
      <c r="AP92" s="3" t="str">
        <f>IFERROR(MID(VLOOKUP($B92,Seqs!$A:$B,2,0),AQ92,1),"")</f>
        <v>C</v>
      </c>
      <c r="AQ92" s="3">
        <v>426</v>
      </c>
      <c r="AR92" s="3" t="str">
        <f>IFERROR(MID(VLOOKUP($B92,Seqs!$A:$B,2,0),AS92,1),"")</f>
        <v>P</v>
      </c>
      <c r="AS92" s="3">
        <v>431</v>
      </c>
      <c r="AT92" s="3" t="str">
        <f>IFERROR(MID(VLOOKUP($B92,Seqs!$A:$B,2,0),AU92,1),"")</f>
        <v>C</v>
      </c>
      <c r="AU92" s="3">
        <v>456</v>
      </c>
      <c r="AV92" s="3" t="str">
        <f>IFERROR(MID(VLOOKUP($B92,Seqs!$A:$B,2,0),AW92,1),"")</f>
        <v>N</v>
      </c>
      <c r="AW92" s="3">
        <v>457</v>
      </c>
      <c r="AX92" s="3" t="str">
        <f>IFERROR(MID(VLOOKUP($B92,Seqs!$A:$B,2,0),AY92,1),"")</f>
        <v>Q</v>
      </c>
      <c r="AY92" s="105">
        <v>471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si="504"/>
        <v>1</v>
      </c>
      <c r="BC92" s="23">
        <f t="shared" si="225"/>
        <v>274</v>
      </c>
      <c r="BD92" s="34" t="s">
        <v>23</v>
      </c>
      <c r="BE92" s="3" t="s">
        <v>23</v>
      </c>
      <c r="BF92" s="118" t="s">
        <v>23</v>
      </c>
      <c r="BG92" s="49" t="s">
        <v>1372</v>
      </c>
      <c r="BH92" s="49" t="s">
        <v>1377</v>
      </c>
      <c r="BI92" s="1"/>
      <c r="BJ92" s="70" t="s">
        <v>1287</v>
      </c>
      <c r="BK92" s="57" t="s">
        <v>1287</v>
      </c>
      <c r="BL92" s="57" t="s">
        <v>1287</v>
      </c>
      <c r="BM92" s="57" t="s">
        <v>1287</v>
      </c>
      <c r="BN92" s="57" t="s">
        <v>1287</v>
      </c>
      <c r="BO92" s="57" t="s">
        <v>1287</v>
      </c>
      <c r="BP92" s="57" t="s">
        <v>1287</v>
      </c>
      <c r="BQ92" s="57" t="s">
        <v>1287</v>
      </c>
      <c r="BR92" s="57" t="s">
        <v>1287</v>
      </c>
      <c r="BS92" s="57" t="s">
        <v>1287</v>
      </c>
      <c r="BT92" s="57" t="s">
        <v>1287</v>
      </c>
      <c r="BU92" s="57" t="s">
        <v>1287</v>
      </c>
      <c r="BV92" s="70">
        <f t="shared" si="226"/>
        <v>26</v>
      </c>
      <c r="BW92" s="71">
        <f t="shared" si="227"/>
        <v>61</v>
      </c>
      <c r="BX92" s="72">
        <f t="shared" si="228"/>
        <v>65</v>
      </c>
      <c r="BY92" s="71">
        <f t="shared" si="229"/>
        <v>97</v>
      </c>
      <c r="BZ92" s="72">
        <f t="shared" si="230"/>
        <v>101</v>
      </c>
      <c r="CA92" s="71">
        <f t="shared" si="231"/>
        <v>137</v>
      </c>
      <c r="CB92" s="72">
        <f t="shared" si="232"/>
        <v>145</v>
      </c>
      <c r="CC92" s="71">
        <f t="shared" si="233"/>
        <v>185</v>
      </c>
      <c r="CD92" s="72">
        <f t="shared" si="234"/>
        <v>192</v>
      </c>
      <c r="CE92" s="71">
        <f t="shared" si="235"/>
        <v>389</v>
      </c>
      <c r="CF92" s="72">
        <f t="shared" si="236"/>
        <v>431</v>
      </c>
      <c r="CG92" s="71">
        <f t="shared" si="237"/>
        <v>457</v>
      </c>
      <c r="CH92" s="70">
        <f t="shared" si="238"/>
        <v>60</v>
      </c>
      <c r="CI92" s="71">
        <f t="shared" si="239"/>
        <v>64</v>
      </c>
      <c r="CJ92" s="72">
        <f t="shared" si="240"/>
        <v>96</v>
      </c>
      <c r="CK92" s="72">
        <f t="shared" si="241"/>
        <v>100</v>
      </c>
      <c r="CL92" s="72">
        <f t="shared" si="242"/>
        <v>136</v>
      </c>
      <c r="CM92" s="72">
        <f t="shared" si="243"/>
        <v>144</v>
      </c>
      <c r="CN92" s="72">
        <f t="shared" si="244"/>
        <v>176</v>
      </c>
      <c r="CO92" s="72">
        <f t="shared" si="245"/>
        <v>187</v>
      </c>
      <c r="CP92" s="72">
        <f t="shared" si="246"/>
        <v>232</v>
      </c>
      <c r="CQ92" s="72">
        <f t="shared" si="247"/>
        <v>426</v>
      </c>
      <c r="CR92" s="72">
        <f t="shared" si="248"/>
        <v>456</v>
      </c>
      <c r="CS92" s="72">
        <f t="shared" si="249"/>
        <v>471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503"/>
        <v>acm4_human_5DSG</v>
      </c>
      <c r="B93" s="3" t="s">
        <v>149</v>
      </c>
      <c r="C93" s="3" t="s">
        <v>61</v>
      </c>
      <c r="D93" s="3" t="str">
        <f>IFERROR(MID(VLOOKUP($B93,Seqs!$A:$B,2,0),E93,1),"")</f>
        <v>R</v>
      </c>
      <c r="E93" s="3">
        <v>26</v>
      </c>
      <c r="F93" s="3" t="str">
        <f>IFERROR(MID(VLOOKUP($B93,Seqs!$A:$B,2,0),G93,1),"")</f>
        <v>N</v>
      </c>
      <c r="G93" s="3">
        <v>60</v>
      </c>
      <c r="H93" s="3" t="str">
        <f>IFERROR(MID(VLOOKUP($B93,Seqs!$A:$B,2,0),I93,1),"")</f>
        <v>R</v>
      </c>
      <c r="I93" s="23">
        <v>61</v>
      </c>
      <c r="J93" s="3" t="str">
        <f>IFERROR(MID(VLOOKUP($B93,Seqs!$A:$B,2,0),K93,1),"")</f>
        <v>Q</v>
      </c>
      <c r="K93" s="23">
        <v>64</v>
      </c>
      <c r="L93" s="3" t="str">
        <f>IFERROR(MID(VLOOKUP($B93,Seqs!$A:$B,2,0),M93,1),"")</f>
        <v>T</v>
      </c>
      <c r="M93" s="3">
        <v>65</v>
      </c>
      <c r="N93" s="3" t="str">
        <f>IFERROR(MID(VLOOKUP($B93,Seqs!$A:$B,2,0),O93,1),"")</f>
        <v>G</v>
      </c>
      <c r="O93" s="3">
        <v>96</v>
      </c>
      <c r="P93" s="3" t="str">
        <f>IFERROR(MID(VLOOKUP($B93,Seqs!$A:$B,2,0),Q93,1),"")</f>
        <v>Y</v>
      </c>
      <c r="Q93" s="3">
        <v>97</v>
      </c>
      <c r="R93" s="3" t="str">
        <f>IFERROR(MID(VLOOKUP($B93,Seqs!$A:$B,2,0),S93,1),"")</f>
        <v>L</v>
      </c>
      <c r="S93" s="3">
        <v>100</v>
      </c>
      <c r="T93" s="3" t="str">
        <f>IFERROR(MID(VLOOKUP($B93,Seqs!$A:$B,2,0),U93,1),"")</f>
        <v>G</v>
      </c>
      <c r="U93" s="3">
        <v>101</v>
      </c>
      <c r="V93" s="3" t="str">
        <f>IFERROR(MID(VLOOKUP($B93,Seqs!$A:$B,2,0),W93,1),"")</f>
        <v>K</v>
      </c>
      <c r="W93" s="3">
        <v>136</v>
      </c>
      <c r="X93" s="3" t="str">
        <f>IFERROR(MID(VLOOKUP($B93,Seqs!$A:$B,2,0),Y93,1),"")</f>
        <v>P</v>
      </c>
      <c r="Y93" s="3">
        <v>137</v>
      </c>
      <c r="Z93" s="3" t="str">
        <f>IFERROR(MID(VLOOKUP($B93,Seqs!$A:$B,2,0),AA93,1),"")</f>
        <v>R</v>
      </c>
      <c r="AA93" s="3">
        <v>144</v>
      </c>
      <c r="AB93" s="3" t="str">
        <f>IFERROR(MID(VLOOKUP($B93,Seqs!$A:$B,2,0),AC93,1),"")</f>
        <v>T</v>
      </c>
      <c r="AC93" s="9">
        <v>145</v>
      </c>
      <c r="AD93" s="3" t="str">
        <f>IFERROR(MID(VLOOKUP($B93,Seqs!$A:$B,2,0),AE93,1),"")</f>
        <v>G</v>
      </c>
      <c r="AE93" s="3">
        <v>176</v>
      </c>
      <c r="AF93" s="3" t="str">
        <f>IFERROR(MID(VLOOKUP($B93,Seqs!$A:$B,2,0),AG93,1),"")</f>
        <v>C</v>
      </c>
      <c r="AG93" s="3">
        <v>185</v>
      </c>
      <c r="AH93" s="3" t="str">
        <f>IFERROR(MID(VLOOKUP($B93,Seqs!$A:$B,2,0),AI93,1),"")</f>
        <v>I</v>
      </c>
      <c r="AI93" s="3">
        <v>187</v>
      </c>
      <c r="AJ93" s="3" t="str">
        <f>IFERROR(MID(VLOOKUP($B93,Seqs!$A:$B,2,0),AK93,1),"")</f>
        <v>N</v>
      </c>
      <c r="AK93" s="3">
        <v>192</v>
      </c>
      <c r="AL93" s="3" t="str">
        <f>IFERROR(MID(VLOOKUP($B93,Seqs!$A:$B,2,0),AM93,1),"")</f>
        <v>L</v>
      </c>
      <c r="AM93" s="3">
        <v>220</v>
      </c>
      <c r="AN93" s="3" t="str">
        <f>IFERROR(MID(VLOOKUP($B93,Seqs!$A:$B,2,0),AO93,1),"")</f>
        <v>R</v>
      </c>
      <c r="AO93" s="3">
        <v>396</v>
      </c>
      <c r="AP93" s="3" t="str">
        <f>IFERROR(MID(VLOOKUP($B93,Seqs!$A:$B,2,0),AQ93,1),"")</f>
        <v>C</v>
      </c>
      <c r="AQ93" s="3">
        <v>426</v>
      </c>
      <c r="AR93" s="3" t="str">
        <f>IFERROR(MID(VLOOKUP($B93,Seqs!$A:$B,2,0),AS93,1),"")</f>
        <v>P</v>
      </c>
      <c r="AS93" s="3">
        <v>431</v>
      </c>
      <c r="AT93" s="3" t="str">
        <f>IFERROR(MID(VLOOKUP($B93,Seqs!$A:$B,2,0),AU93,1),"")</f>
        <v>C</v>
      </c>
      <c r="AU93" s="3">
        <v>456</v>
      </c>
      <c r="AV93" s="3" t="str">
        <f>IFERROR(MID(VLOOKUP($B93,Seqs!$A:$B,2,0),AW93,1),"")</f>
        <v>N</v>
      </c>
      <c r="AW93" s="3">
        <v>457</v>
      </c>
      <c r="AX93" s="3" t="str">
        <f>IFERROR(MID(VLOOKUP($B93,Seqs!$A:$B,2,0),AY93,1),"")</f>
        <v>L</v>
      </c>
      <c r="AY93" s="3">
        <v>469</v>
      </c>
      <c r="AZ93" s="77" t="str">
        <f>VLOOKUP(B93,Classification!A:D,2,0)</f>
        <v>A</v>
      </c>
      <c r="BA93" s="94" t="str">
        <f>VLOOKUP(B93,Classification!A:D,4,0)</f>
        <v>Acetylcholine(muscarinic)</v>
      </c>
      <c r="BB93" s="27" t="b">
        <f t="shared" si="504"/>
        <v>1</v>
      </c>
      <c r="BC93" s="23">
        <f t="shared" si="225"/>
        <v>253</v>
      </c>
      <c r="BD93" s="2" t="s">
        <v>23</v>
      </c>
      <c r="BE93" s="3" t="s">
        <v>1374</v>
      </c>
      <c r="BF93" s="118">
        <v>2.6</v>
      </c>
      <c r="BG93" s="49" t="s">
        <v>1377</v>
      </c>
      <c r="BH93" s="49" t="s">
        <v>1377</v>
      </c>
      <c r="BI93" s="1"/>
      <c r="BJ93" s="70" t="s">
        <v>1287</v>
      </c>
      <c r="BK93" s="57" t="s">
        <v>1287</v>
      </c>
      <c r="BL93" s="57" t="s">
        <v>1287</v>
      </c>
      <c r="BM93" s="57" t="s">
        <v>1287</v>
      </c>
      <c r="BN93" s="57" t="s">
        <v>1287</v>
      </c>
      <c r="BO93" s="57" t="s">
        <v>1287</v>
      </c>
      <c r="BP93" s="57" t="s">
        <v>1287</v>
      </c>
      <c r="BQ93" s="57" t="s">
        <v>1287</v>
      </c>
      <c r="BR93" s="57" t="s">
        <v>1287</v>
      </c>
      <c r="BS93" s="57" t="s">
        <v>1287</v>
      </c>
      <c r="BT93" s="57" t="s">
        <v>1287</v>
      </c>
      <c r="BU93" s="57" t="s">
        <v>1287</v>
      </c>
      <c r="BV93" s="70">
        <f t="shared" si="226"/>
        <v>26</v>
      </c>
      <c r="BW93" s="71">
        <f t="shared" si="227"/>
        <v>61</v>
      </c>
      <c r="BX93" s="72">
        <f t="shared" si="228"/>
        <v>65</v>
      </c>
      <c r="BY93" s="71">
        <f t="shared" si="229"/>
        <v>97</v>
      </c>
      <c r="BZ93" s="72">
        <f t="shared" si="230"/>
        <v>101</v>
      </c>
      <c r="CA93" s="71">
        <f t="shared" si="231"/>
        <v>137</v>
      </c>
      <c r="CB93" s="72">
        <f t="shared" si="232"/>
        <v>145</v>
      </c>
      <c r="CC93" s="71">
        <f t="shared" si="233"/>
        <v>185</v>
      </c>
      <c r="CD93" s="72">
        <f t="shared" si="234"/>
        <v>192</v>
      </c>
      <c r="CE93" s="71">
        <f t="shared" si="235"/>
        <v>396</v>
      </c>
      <c r="CF93" s="72">
        <f t="shared" si="236"/>
        <v>431</v>
      </c>
      <c r="CG93" s="71">
        <f t="shared" si="237"/>
        <v>457</v>
      </c>
      <c r="CH93" s="70">
        <f t="shared" si="238"/>
        <v>60</v>
      </c>
      <c r="CI93" s="71">
        <f t="shared" si="239"/>
        <v>64</v>
      </c>
      <c r="CJ93" s="72">
        <f t="shared" si="240"/>
        <v>96</v>
      </c>
      <c r="CK93" s="72">
        <f t="shared" si="241"/>
        <v>100</v>
      </c>
      <c r="CL93" s="72">
        <f t="shared" si="242"/>
        <v>136</v>
      </c>
      <c r="CM93" s="72">
        <f t="shared" si="243"/>
        <v>144</v>
      </c>
      <c r="CN93" s="72">
        <f t="shared" si="244"/>
        <v>176</v>
      </c>
      <c r="CO93" s="72">
        <f t="shared" si="245"/>
        <v>187</v>
      </c>
      <c r="CP93" s="72">
        <f t="shared" si="246"/>
        <v>220</v>
      </c>
      <c r="CQ93" s="72">
        <f t="shared" si="247"/>
        <v>426</v>
      </c>
      <c r="CR93" s="72">
        <f t="shared" si="248"/>
        <v>456</v>
      </c>
      <c r="CS93" s="72">
        <f t="shared" si="249"/>
        <v>469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s="12" customFormat="1" x14ac:dyDescent="0.2">
      <c r="A94" s="9" t="str">
        <f t="shared" ref="A94" si="729">CONCATENATE(B94,"_",C94)</f>
        <v>acm4_human_6KP6</v>
      </c>
      <c r="B94" s="9" t="s">
        <v>149</v>
      </c>
      <c r="C94" s="9" t="s">
        <v>1657</v>
      </c>
      <c r="D94" s="9" t="str">
        <f>IFERROR(MID(VLOOKUP($B94,Seqs!$A:$B,2,0),E94,1),"")</f>
        <v>T</v>
      </c>
      <c r="E94" s="9">
        <v>29</v>
      </c>
      <c r="F94" s="9" t="str">
        <f>IFERROR(MID(VLOOKUP($B94,Seqs!$A:$B,2,0),G94,1),"")</f>
        <v>N</v>
      </c>
      <c r="G94" s="9">
        <v>60</v>
      </c>
      <c r="H94" s="9" t="str">
        <f>IFERROR(MID(VLOOKUP($B94,Seqs!$A:$B,2,0),I94,1),"")</f>
        <v>R</v>
      </c>
      <c r="I94" s="109">
        <v>61</v>
      </c>
      <c r="J94" s="9" t="str">
        <f>IFERROR(MID(VLOOKUP($B94,Seqs!$A:$B,2,0),K94,1),"")</f>
        <v>Q</v>
      </c>
      <c r="K94" s="109">
        <v>64</v>
      </c>
      <c r="L94" s="9" t="str">
        <f>IFERROR(MID(VLOOKUP($B94,Seqs!$A:$B,2,0),M94,1),"")</f>
        <v>T</v>
      </c>
      <c r="M94" s="9">
        <v>65</v>
      </c>
      <c r="N94" s="9" t="str">
        <f>IFERROR(MID(VLOOKUP($B94,Seqs!$A:$B,2,0),O94,1),"")</f>
        <v>G</v>
      </c>
      <c r="O94" s="9">
        <v>96</v>
      </c>
      <c r="P94" s="9" t="str">
        <f>IFERROR(MID(VLOOKUP($B94,Seqs!$A:$B,2,0),Q94,1),"")</f>
        <v>Y</v>
      </c>
      <c r="Q94" s="9">
        <v>97</v>
      </c>
      <c r="R94" s="9" t="str">
        <f>IFERROR(MID(VLOOKUP($B94,Seqs!$A:$B,2,0),S94,1),"")</f>
        <v>L</v>
      </c>
      <c r="S94" s="9">
        <v>100</v>
      </c>
      <c r="T94" s="9" t="str">
        <f>IFERROR(MID(VLOOKUP($B94,Seqs!$A:$B,2,0),U94,1),"")</f>
        <v>G</v>
      </c>
      <c r="U94" s="9">
        <v>101</v>
      </c>
      <c r="V94" s="9" t="str">
        <f>IFERROR(MID(VLOOKUP($B94,Seqs!$A:$B,2,0),W94,1),"")</f>
        <v>K</v>
      </c>
      <c r="W94" s="9">
        <v>136</v>
      </c>
      <c r="X94" s="9" t="str">
        <f>IFERROR(MID(VLOOKUP($B94,Seqs!$A:$B,2,0),Y94,1),"")</f>
        <v>P</v>
      </c>
      <c r="Y94" s="9">
        <v>137</v>
      </c>
      <c r="Z94" s="9" t="str">
        <f>IFERROR(MID(VLOOKUP($B94,Seqs!$A:$B,2,0),AA94,1),"")</f>
        <v>R</v>
      </c>
      <c r="AA94" s="9">
        <v>144</v>
      </c>
      <c r="AB94" s="9" t="str">
        <f>IFERROR(MID(VLOOKUP($B94,Seqs!$A:$B,2,0),AC94,1),"")</f>
        <v>T</v>
      </c>
      <c r="AC94" s="9">
        <v>145</v>
      </c>
      <c r="AD94" s="9" t="str">
        <f>IFERROR(MID(VLOOKUP($B94,Seqs!$A:$B,2,0),AE94,1),"")</f>
        <v>G</v>
      </c>
      <c r="AE94" s="9">
        <v>176</v>
      </c>
      <c r="AF94" s="9" t="str">
        <f>IFERROR(MID(VLOOKUP($B94,Seqs!$A:$B,2,0),AG94,1),"")</f>
        <v>C</v>
      </c>
      <c r="AG94" s="9">
        <v>185</v>
      </c>
      <c r="AH94" s="9" t="str">
        <f>IFERROR(MID(VLOOKUP($B94,Seqs!$A:$B,2,0),AI94,1),"")</f>
        <v>I</v>
      </c>
      <c r="AI94" s="9">
        <v>187</v>
      </c>
      <c r="AJ94" s="9" t="str">
        <f>IFERROR(MID(VLOOKUP($B94,Seqs!$A:$B,2,0),AK94,1),"")</f>
        <v>N</v>
      </c>
      <c r="AK94" s="9">
        <v>192</v>
      </c>
      <c r="AL94" s="9" t="str">
        <f>IFERROR(MID(VLOOKUP($B94,Seqs!$A:$B,2,0),AM94,1),"")</f>
        <v>R</v>
      </c>
      <c r="AM94" s="9">
        <v>223</v>
      </c>
      <c r="AN94" s="9" t="str">
        <f>IFERROR(MID(VLOOKUP($B94,Seqs!$A:$B,2,0),AO94,1),"")</f>
        <v>Q</v>
      </c>
      <c r="AO94" s="9">
        <v>390</v>
      </c>
      <c r="AP94" s="9" t="str">
        <f>IFERROR(MID(VLOOKUP($B94,Seqs!$A:$B,2,0),AQ94,1),"")</f>
        <v>C</v>
      </c>
      <c r="AQ94" s="9">
        <v>426</v>
      </c>
      <c r="AR94" s="9" t="str">
        <f>IFERROR(MID(VLOOKUP($B94,Seqs!$A:$B,2,0),AS94,1),"")</f>
        <v>P</v>
      </c>
      <c r="AS94" s="9">
        <v>431</v>
      </c>
      <c r="AT94" s="9" t="str">
        <f>IFERROR(MID(VLOOKUP($B94,Seqs!$A:$B,2,0),AU94,1),"")</f>
        <v>C</v>
      </c>
      <c r="AU94" s="9">
        <v>456</v>
      </c>
      <c r="AV94" s="9" t="str">
        <f>IFERROR(MID(VLOOKUP($B94,Seqs!$A:$B,2,0),AW94,1),"")</f>
        <v>N</v>
      </c>
      <c r="AW94" s="9">
        <v>457</v>
      </c>
      <c r="AX94" s="9" t="str">
        <f>IFERROR(MID(VLOOKUP($B94,Seqs!$A:$B,2,0),AY94,1),"")</f>
        <v>Q</v>
      </c>
      <c r="AY94" s="9">
        <v>471</v>
      </c>
      <c r="AZ94" s="110" t="str">
        <f>VLOOKUP(B94,Classification!A:D,2,0)</f>
        <v>A</v>
      </c>
      <c r="BA94" s="98" t="str">
        <f>VLOOKUP(B94,Classification!A:D,4,0)</f>
        <v>Acetylcholine(muscarinic)</v>
      </c>
      <c r="BB94" s="36" t="b">
        <f t="shared" ref="BB94" si="730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109">
        <f t="shared" ref="BC94" si="731">_xlfn.AGGREGATE(9,6,CH94:CS94)-_xlfn.AGGREGATE(9,6,BV94:CG94)+12</f>
        <v>261</v>
      </c>
      <c r="BD94" s="40" t="s">
        <v>1376</v>
      </c>
      <c r="BE94" s="9" t="s">
        <v>1374</v>
      </c>
      <c r="BF94" s="119">
        <v>3</v>
      </c>
      <c r="BG94" s="51" t="s">
        <v>1</v>
      </c>
      <c r="BH94" s="51" t="s">
        <v>1</v>
      </c>
      <c r="BJ94" s="111" t="s">
        <v>1287</v>
      </c>
      <c r="BK94" s="112" t="s">
        <v>1287</v>
      </c>
      <c r="BL94" s="112" t="s">
        <v>1287</v>
      </c>
      <c r="BM94" s="112" t="s">
        <v>1287</v>
      </c>
      <c r="BN94" s="112" t="s">
        <v>1287</v>
      </c>
      <c r="BO94" s="112" t="s">
        <v>1287</v>
      </c>
      <c r="BP94" s="112" t="s">
        <v>1287</v>
      </c>
      <c r="BQ94" s="112" t="s">
        <v>1287</v>
      </c>
      <c r="BR94" s="112" t="s">
        <v>1287</v>
      </c>
      <c r="BS94" s="112" t="s">
        <v>1287</v>
      </c>
      <c r="BT94" s="112" t="s">
        <v>1287</v>
      </c>
      <c r="BU94" s="112" t="s">
        <v>1287</v>
      </c>
      <c r="BV94" s="111">
        <f t="shared" ref="BV94" si="732">E94</f>
        <v>29</v>
      </c>
      <c r="BW94" s="113">
        <f t="shared" ref="BW94" si="733">I94</f>
        <v>61</v>
      </c>
      <c r="BX94" s="114">
        <f t="shared" ref="BX94" si="734">M94</f>
        <v>65</v>
      </c>
      <c r="BY94" s="113">
        <f t="shared" ref="BY94" si="735">Q94</f>
        <v>97</v>
      </c>
      <c r="BZ94" s="114">
        <f t="shared" ref="BZ94" si="736">U94</f>
        <v>101</v>
      </c>
      <c r="CA94" s="113">
        <f t="shared" ref="CA94" si="737">Y94</f>
        <v>137</v>
      </c>
      <c r="CB94" s="114">
        <f t="shared" ref="CB94" si="738">AC94</f>
        <v>145</v>
      </c>
      <c r="CC94" s="113">
        <f t="shared" ref="CC94" si="739">AG94</f>
        <v>185</v>
      </c>
      <c r="CD94" s="114">
        <f t="shared" ref="CD94" si="740">AK94</f>
        <v>192</v>
      </c>
      <c r="CE94" s="113">
        <f t="shared" ref="CE94" si="741">AO94</f>
        <v>390</v>
      </c>
      <c r="CF94" s="114">
        <f t="shared" ref="CF94" si="742">AS94</f>
        <v>431</v>
      </c>
      <c r="CG94" s="113">
        <f t="shared" ref="CG94" si="743">AW94</f>
        <v>457</v>
      </c>
      <c r="CH94" s="111">
        <f t="shared" ref="CH94" si="744">G94</f>
        <v>60</v>
      </c>
      <c r="CI94" s="113">
        <f t="shared" ref="CI94" si="745">K94</f>
        <v>64</v>
      </c>
      <c r="CJ94" s="114">
        <f t="shared" ref="CJ94" si="746">O94</f>
        <v>96</v>
      </c>
      <c r="CK94" s="114">
        <f t="shared" ref="CK94" si="747">S94</f>
        <v>100</v>
      </c>
      <c r="CL94" s="114">
        <f t="shared" ref="CL94" si="748">W94</f>
        <v>136</v>
      </c>
      <c r="CM94" s="114">
        <f t="shared" ref="CM94" si="749">AA94</f>
        <v>144</v>
      </c>
      <c r="CN94" s="114">
        <f t="shared" ref="CN94" si="750">AE94</f>
        <v>176</v>
      </c>
      <c r="CO94" s="114">
        <f t="shared" ref="CO94" si="751">AI94</f>
        <v>187</v>
      </c>
      <c r="CP94" s="114">
        <f t="shared" ref="CP94" si="752">AM94</f>
        <v>223</v>
      </c>
      <c r="CQ94" s="114">
        <f t="shared" ref="CQ94" si="753">AQ94</f>
        <v>426</v>
      </c>
      <c r="CR94" s="114">
        <f t="shared" ref="CR94" si="754">AU94</f>
        <v>456</v>
      </c>
      <c r="CS94" s="114">
        <f t="shared" ref="CS94" si="755">AY94</f>
        <v>471</v>
      </c>
      <c r="CT94" s="109">
        <f t="shared" ref="CT94" si="756">M94-K94</f>
        <v>1</v>
      </c>
    </row>
    <row r="95" spans="1:1029" x14ac:dyDescent="0.2">
      <c r="A95" s="3" t="str">
        <f t="shared" ref="A95:A96" si="757">CONCATENATE(B95,"_",C95)</f>
        <v>acm5_human__wt</v>
      </c>
      <c r="B95" s="3" t="s">
        <v>150</v>
      </c>
      <c r="C95" s="3" t="s">
        <v>100</v>
      </c>
      <c r="D95" s="3" t="str">
        <f>IFERROR(MID(VLOOKUP($B95,Seqs!$A:$B,2,0),E95,1),"")</f>
        <v>R</v>
      </c>
      <c r="E95" s="3">
        <v>26</v>
      </c>
      <c r="F95" s="3" t="str">
        <f>IFERROR(MID(VLOOKUP($B95,Seqs!$A:$B,2,0),G95,1),"")</f>
        <v>N</v>
      </c>
      <c r="G95" s="3">
        <v>58</v>
      </c>
      <c r="H95" s="3" t="str">
        <f>IFERROR(MID(VLOOKUP($B95,Seqs!$A:$B,2,0),I95,1),"")</f>
        <v>S</v>
      </c>
      <c r="I95" s="23">
        <v>59</v>
      </c>
      <c r="J95" s="3" t="str">
        <f>IFERROR(MID(VLOOKUP($B95,Seqs!$A:$B,2,0),K95,1),"")</f>
        <v>K</v>
      </c>
      <c r="K95" s="23">
        <v>62</v>
      </c>
      <c r="L95" s="3" t="str">
        <f>IFERROR(MID(VLOOKUP($B95,Seqs!$A:$B,2,0),M95,1),"")</f>
        <v>T</v>
      </c>
      <c r="M95" s="3">
        <v>63</v>
      </c>
      <c r="N95" s="3" t="str">
        <f>IFERROR(MID(VLOOKUP($B95,Seqs!$A:$B,2,0),O95,1),"")</f>
        <v>G</v>
      </c>
      <c r="O95" s="3">
        <v>94</v>
      </c>
      <c r="P95" s="3" t="str">
        <f>IFERROR(MID(VLOOKUP($B95,Seqs!$A:$B,2,0),Q95,1),"")</f>
        <v>R</v>
      </c>
      <c r="Q95" s="3">
        <v>95</v>
      </c>
      <c r="R95" s="3" t="str">
        <f>IFERROR(MID(VLOOKUP($B95,Seqs!$A:$B,2,0),S95,1),"")</f>
        <v>L</v>
      </c>
      <c r="S95" s="3">
        <v>98</v>
      </c>
      <c r="T95" s="3" t="str">
        <f>IFERROR(MID(VLOOKUP($B95,Seqs!$A:$B,2,0),U95,1),"")</f>
        <v>G</v>
      </c>
      <c r="U95" s="3">
        <v>99</v>
      </c>
      <c r="V95" s="3" t="str">
        <f>IFERROR(MID(VLOOKUP($B95,Seqs!$A:$B,2,0),W95,1),"")</f>
        <v>R</v>
      </c>
      <c r="W95" s="3">
        <v>134</v>
      </c>
      <c r="X95" s="3" t="str">
        <f>IFERROR(MID(VLOOKUP($B95,Seqs!$A:$B,2,0),Y95,1),"")</f>
        <v>P</v>
      </c>
      <c r="Y95" s="3">
        <v>135</v>
      </c>
      <c r="Z95" s="3" t="str">
        <f>IFERROR(MID(VLOOKUP($B95,Seqs!$A:$B,2,0),AA95,1),"")</f>
        <v>R</v>
      </c>
      <c r="AA95" s="3">
        <v>142</v>
      </c>
      <c r="AB95" s="3" t="str">
        <f>IFERROR(MID(VLOOKUP($B95,Seqs!$A:$B,2,0),AC95,1),"")</f>
        <v>T</v>
      </c>
      <c r="AC95" s="3">
        <v>143</v>
      </c>
      <c r="AD95" s="3" t="str">
        <f>IFERROR(MID(VLOOKUP($B95,Seqs!$A:$B,2,0),AE95,1),"")</f>
        <v>G</v>
      </c>
      <c r="AE95" s="3">
        <v>174</v>
      </c>
      <c r="AF95" s="3" t="str">
        <f>IFERROR(MID(VLOOKUP($B95,Seqs!$A:$B,2,0),AG95,1),"")</f>
        <v>C</v>
      </c>
      <c r="AG95" s="3">
        <v>183</v>
      </c>
      <c r="AH95" s="3" t="str">
        <f>IFERROR(MID(VLOOKUP($B95,Seqs!$A:$B,2,0),AI95,1),"")</f>
        <v>I</v>
      </c>
      <c r="AI95" s="3">
        <v>185</v>
      </c>
      <c r="AJ95" s="3" t="str">
        <f>IFERROR(MID(VLOOKUP($B95,Seqs!$A:$B,2,0),AK95,1),"")</f>
        <v>E</v>
      </c>
      <c r="AK95" s="3">
        <v>190</v>
      </c>
      <c r="AL95" s="3" t="str">
        <f>IFERROR(MID(VLOOKUP($B95,Seqs!$A:$B,2,0),AM95,1),"")</f>
        <v>L</v>
      </c>
      <c r="AM95" s="3">
        <v>230</v>
      </c>
      <c r="AN95" s="3" t="str">
        <f>IFERROR(MID(VLOOKUP($B95,Seqs!$A:$B,2,0),AO95,1),"")</f>
        <v>R</v>
      </c>
      <c r="AO95" s="3">
        <v>431</v>
      </c>
      <c r="AP95" s="3" t="str">
        <f>IFERROR(MID(VLOOKUP($B95,Seqs!$A:$B,2,0),AQ95,1),"")</f>
        <v>C</v>
      </c>
      <c r="AQ95" s="3">
        <v>468</v>
      </c>
      <c r="AR95" s="3" t="str">
        <f>IFERROR(MID(VLOOKUP($B95,Seqs!$A:$B,2,0),AS95,1),"")</f>
        <v>P</v>
      </c>
      <c r="AS95" s="3">
        <v>473</v>
      </c>
      <c r="AT95" s="3" t="str">
        <f>IFERROR(MID(VLOOKUP($B95,Seqs!$A:$B,2,0),AU95,1),"")</f>
        <v>C</v>
      </c>
      <c r="AU95" s="3">
        <v>498</v>
      </c>
      <c r="AV95" s="3" t="str">
        <f>IFERROR(MID(VLOOKUP($B95,Seqs!$A:$B,2,0),AW95,1),"")</f>
        <v>N</v>
      </c>
      <c r="AW95" s="3">
        <v>499</v>
      </c>
      <c r="AX95" s="3" t="str">
        <f>IFERROR(MID(VLOOKUP($B95,Seqs!$A:$B,2,0),AY95,1),"")</f>
        <v>L</v>
      </c>
      <c r="AY95" s="3">
        <v>511</v>
      </c>
      <c r="AZ95" s="77" t="str">
        <f>VLOOKUP(B95,Classification!A:D,2,0)</f>
        <v>A</v>
      </c>
      <c r="BA95" s="94" t="str">
        <f>VLOOKUP(B95,Classification!A:D,4,0)</f>
        <v>Acetylcholine(muscarinic)</v>
      </c>
      <c r="BB95" s="27" t="b">
        <f t="shared" ref="BB95:BB96" si="758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23">
        <f t="shared" ref="BC95:BC96" si="759">_xlfn.AGGREGATE(9,6,CH95:CS95)-_xlfn.AGGREGATE(9,6,BV95:CG95)+12</f>
        <v>270</v>
      </c>
      <c r="BD95" s="2" t="s">
        <v>23</v>
      </c>
      <c r="BE95" s="3" t="s">
        <v>23</v>
      </c>
      <c r="BF95" s="118" t="s">
        <v>23</v>
      </c>
      <c r="BG95" s="49" t="s">
        <v>1377</v>
      </c>
      <c r="BH95" s="49" t="s">
        <v>1377</v>
      </c>
      <c r="BI95" s="1"/>
      <c r="BJ95" s="70" t="s">
        <v>1287</v>
      </c>
      <c r="BK95" s="57" t="s">
        <v>1287</v>
      </c>
      <c r="BL95" s="57" t="s">
        <v>1287</v>
      </c>
      <c r="BM95" s="57" t="s">
        <v>1287</v>
      </c>
      <c r="BN95" s="57" t="s">
        <v>1287</v>
      </c>
      <c r="BO95" s="57" t="s">
        <v>1287</v>
      </c>
      <c r="BP95" s="57" t="s">
        <v>1287</v>
      </c>
      <c r="BQ95" s="57" t="s">
        <v>1287</v>
      </c>
      <c r="BR95" s="57" t="s">
        <v>1287</v>
      </c>
      <c r="BS95" s="57" t="s">
        <v>1287</v>
      </c>
      <c r="BT95" s="57" t="s">
        <v>1287</v>
      </c>
      <c r="BU95" s="57" t="s">
        <v>1287</v>
      </c>
      <c r="BV95" s="70">
        <f t="shared" ref="BV95:BV96" si="760">E95</f>
        <v>26</v>
      </c>
      <c r="BW95" s="71">
        <f t="shared" ref="BW95:BW96" si="761">I95</f>
        <v>59</v>
      </c>
      <c r="BX95" s="72">
        <f t="shared" ref="BX95:BX96" si="762">M95</f>
        <v>63</v>
      </c>
      <c r="BY95" s="71">
        <f t="shared" ref="BY95:BY96" si="763">Q95</f>
        <v>95</v>
      </c>
      <c r="BZ95" s="72">
        <f t="shared" ref="BZ95:BZ96" si="764">U95</f>
        <v>99</v>
      </c>
      <c r="CA95" s="71">
        <f t="shared" ref="CA95:CA96" si="765">Y95</f>
        <v>135</v>
      </c>
      <c r="CB95" s="72">
        <f t="shared" ref="CB95:CB96" si="766">AC95</f>
        <v>143</v>
      </c>
      <c r="CC95" s="71">
        <f t="shared" ref="CC95:CC96" si="767">AG95</f>
        <v>183</v>
      </c>
      <c r="CD95" s="72">
        <f t="shared" ref="CD95:CD96" si="768">AK95</f>
        <v>190</v>
      </c>
      <c r="CE95" s="71">
        <f t="shared" ref="CE95:CE96" si="769">AO95</f>
        <v>431</v>
      </c>
      <c r="CF95" s="72">
        <f t="shared" ref="CF95:CF96" si="770">AS95</f>
        <v>473</v>
      </c>
      <c r="CG95" s="71">
        <f t="shared" ref="CG95:CG96" si="771">AW95</f>
        <v>499</v>
      </c>
      <c r="CH95" s="70">
        <f t="shared" ref="CH95:CH96" si="772">G95</f>
        <v>58</v>
      </c>
      <c r="CI95" s="71">
        <f t="shared" ref="CI95:CI96" si="773">K95</f>
        <v>62</v>
      </c>
      <c r="CJ95" s="72">
        <f t="shared" ref="CJ95:CJ96" si="774">O95</f>
        <v>94</v>
      </c>
      <c r="CK95" s="72">
        <f t="shared" ref="CK95:CK96" si="775">S95</f>
        <v>98</v>
      </c>
      <c r="CL95" s="72">
        <f t="shared" ref="CL95:CL96" si="776">W95</f>
        <v>134</v>
      </c>
      <c r="CM95" s="72">
        <f t="shared" ref="CM95:CM96" si="777">AA95</f>
        <v>142</v>
      </c>
      <c r="CN95" s="72">
        <f t="shared" ref="CN95:CN96" si="778">AE95</f>
        <v>174</v>
      </c>
      <c r="CO95" s="72">
        <f t="shared" ref="CO95:CO96" si="779">AI95</f>
        <v>185</v>
      </c>
      <c r="CP95" s="72">
        <f t="shared" ref="CP95:CP96" si="780">AM95</f>
        <v>230</v>
      </c>
      <c r="CQ95" s="72">
        <f t="shared" ref="CQ95:CQ96" si="781">AQ95</f>
        <v>468</v>
      </c>
      <c r="CR95" s="72">
        <f t="shared" ref="CR95:CR96" si="782">AU95</f>
        <v>498</v>
      </c>
      <c r="CS95" s="72">
        <f t="shared" ref="CS95:CS96" si="783">AY95</f>
        <v>511</v>
      </c>
      <c r="CT95" s="23">
        <f t="shared" ref="CT95:CT96" si="784">M95-K95</f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757"/>
        <v>acm5_human_6OL9</v>
      </c>
      <c r="B96" s="3" t="s">
        <v>150</v>
      </c>
      <c r="C96" s="3" t="s">
        <v>1623</v>
      </c>
      <c r="D96" s="3" t="str">
        <f>IFERROR(MID(VLOOKUP($B96,Seqs!$A:$B,2,0),E96,1),"")</f>
        <v>R</v>
      </c>
      <c r="E96" s="3">
        <v>26</v>
      </c>
      <c r="F96" s="3" t="str">
        <f>IFERROR(MID(VLOOKUP($B96,Seqs!$A:$B,2,0),G96,1),"")</f>
        <v>N</v>
      </c>
      <c r="G96" s="3">
        <v>58</v>
      </c>
      <c r="H96" s="3" t="str">
        <f>IFERROR(MID(VLOOKUP($B96,Seqs!$A:$B,2,0),I96,1),"")</f>
        <v>S</v>
      </c>
      <c r="I96" s="23">
        <v>59</v>
      </c>
      <c r="J96" s="3" t="str">
        <f>IFERROR(MID(VLOOKUP($B96,Seqs!$A:$B,2,0),K96,1),"")</f>
        <v>K</v>
      </c>
      <c r="K96" s="23">
        <v>62</v>
      </c>
      <c r="L96" s="3" t="str">
        <f>IFERROR(MID(VLOOKUP($B96,Seqs!$A:$B,2,0),M96,1),"")</f>
        <v>T</v>
      </c>
      <c r="M96" s="3">
        <v>63</v>
      </c>
      <c r="N96" s="3" t="str">
        <f>IFERROR(MID(VLOOKUP($B96,Seqs!$A:$B,2,0),O96,1),"")</f>
        <v>G</v>
      </c>
      <c r="O96" s="3">
        <v>94</v>
      </c>
      <c r="P96" s="3" t="str">
        <f>IFERROR(MID(VLOOKUP($B96,Seqs!$A:$B,2,0),Q96,1),"")</f>
        <v>R</v>
      </c>
      <c r="Q96" s="3">
        <v>95</v>
      </c>
      <c r="R96" s="3" t="str">
        <f>IFERROR(MID(VLOOKUP($B96,Seqs!$A:$B,2,0),S96,1),"")</f>
        <v>L</v>
      </c>
      <c r="S96" s="3">
        <v>98</v>
      </c>
      <c r="T96" s="3" t="str">
        <f>IFERROR(MID(VLOOKUP($B96,Seqs!$A:$B,2,0),U96,1),"")</f>
        <v>G</v>
      </c>
      <c r="U96" s="3">
        <v>99</v>
      </c>
      <c r="V96" s="3" t="str">
        <f>IFERROR(MID(VLOOKUP($B96,Seqs!$A:$B,2,0),W96,1),"")</f>
        <v>R</v>
      </c>
      <c r="W96" s="3">
        <v>134</v>
      </c>
      <c r="X96" s="3" t="str">
        <f>IFERROR(MID(VLOOKUP($B96,Seqs!$A:$B,2,0),Y96,1),"")</f>
        <v>P</v>
      </c>
      <c r="Y96" s="3">
        <v>135</v>
      </c>
      <c r="Z96" s="3" t="str">
        <f>IFERROR(MID(VLOOKUP($B96,Seqs!$A:$B,2,0),AA96,1),"")</f>
        <v>R</v>
      </c>
      <c r="AA96" s="3">
        <v>142</v>
      </c>
      <c r="AB96" s="3" t="str">
        <f>IFERROR(MID(VLOOKUP($B96,Seqs!$A:$B,2,0),AC96,1),"")</f>
        <v>T</v>
      </c>
      <c r="AC96" s="3">
        <v>143</v>
      </c>
      <c r="AD96" s="3" t="str">
        <f>IFERROR(MID(VLOOKUP($B96,Seqs!$A:$B,2,0),AE96,1),"")</f>
        <v>G</v>
      </c>
      <c r="AE96" s="3">
        <v>174</v>
      </c>
      <c r="AF96" s="3" t="str">
        <f>IFERROR(MID(VLOOKUP($B96,Seqs!$A:$B,2,0),AG96,1),"")</f>
        <v>C</v>
      </c>
      <c r="AG96" s="3">
        <v>183</v>
      </c>
      <c r="AH96" s="3" t="str">
        <f>IFERROR(MID(VLOOKUP($B96,Seqs!$A:$B,2,0),AI96,1),"")</f>
        <v>I</v>
      </c>
      <c r="AI96" s="3">
        <v>185</v>
      </c>
      <c r="AJ96" s="3" t="str">
        <f>IFERROR(MID(VLOOKUP($B96,Seqs!$A:$B,2,0),AK96,1),"")</f>
        <v>E</v>
      </c>
      <c r="AK96" s="3">
        <v>190</v>
      </c>
      <c r="AL96" s="3" t="str">
        <f>IFERROR(MID(VLOOKUP($B96,Seqs!$A:$B,2,0),AM96,1),"")</f>
        <v>T</v>
      </c>
      <c r="AM96" s="3">
        <v>220</v>
      </c>
      <c r="AN96" s="3" t="str">
        <f>IFERROR(MID(VLOOKUP($B96,Seqs!$A:$B,2,0),AO96,1),"")</f>
        <v>R</v>
      </c>
      <c r="AO96" s="3">
        <v>431</v>
      </c>
      <c r="AP96" s="3" t="str">
        <f>IFERROR(MID(VLOOKUP($B96,Seqs!$A:$B,2,0),AQ96,1),"")</f>
        <v>C</v>
      </c>
      <c r="AQ96" s="3">
        <v>468</v>
      </c>
      <c r="AR96" s="3" t="str">
        <f>IFERROR(MID(VLOOKUP($B96,Seqs!$A:$B,2,0),AS96,1),"")</f>
        <v>P</v>
      </c>
      <c r="AS96" s="3">
        <v>473</v>
      </c>
      <c r="AT96" s="3" t="str">
        <f>IFERROR(MID(VLOOKUP($B96,Seqs!$A:$B,2,0),AU96,1),"")</f>
        <v>C</v>
      </c>
      <c r="AU96" s="3">
        <v>498</v>
      </c>
      <c r="AV96" s="3" t="str">
        <f>IFERROR(MID(VLOOKUP($B96,Seqs!$A:$B,2,0),AW96,1),"")</f>
        <v>N</v>
      </c>
      <c r="AW96" s="3">
        <v>499</v>
      </c>
      <c r="AX96" s="3" t="str">
        <f>IFERROR(MID(VLOOKUP($B96,Seqs!$A:$B,2,0),AY96,1),"")</f>
        <v>L</v>
      </c>
      <c r="AY96" s="3">
        <v>511</v>
      </c>
      <c r="AZ96" s="77" t="str">
        <f>VLOOKUP(B96,Classification!A:D,2,0)</f>
        <v>A</v>
      </c>
      <c r="BA96" s="94" t="str">
        <f>VLOOKUP(B96,Classification!A:D,4,0)</f>
        <v>Acetylcholine(muscarinic)</v>
      </c>
      <c r="BB96" s="27" t="b">
        <f t="shared" si="758"/>
        <v>1</v>
      </c>
      <c r="BC96" s="23">
        <f t="shared" si="759"/>
        <v>260</v>
      </c>
      <c r="BD96" s="2" t="s">
        <v>1376</v>
      </c>
      <c r="BE96" s="3" t="s">
        <v>1374</v>
      </c>
      <c r="BF96" s="118">
        <v>2.54</v>
      </c>
      <c r="BG96" s="49" t="s">
        <v>1</v>
      </c>
      <c r="BH96" s="49" t="s">
        <v>1</v>
      </c>
      <c r="BI96" s="1"/>
      <c r="BJ96" s="70" t="s">
        <v>1287</v>
      </c>
      <c r="BK96" s="57" t="s">
        <v>1287</v>
      </c>
      <c r="BL96" s="57" t="s">
        <v>1287</v>
      </c>
      <c r="BM96" s="57" t="s">
        <v>1287</v>
      </c>
      <c r="BN96" s="57" t="s">
        <v>1287</v>
      </c>
      <c r="BO96" s="57" t="s">
        <v>1287</v>
      </c>
      <c r="BP96" s="57" t="s">
        <v>1287</v>
      </c>
      <c r="BQ96" s="57" t="s">
        <v>1287</v>
      </c>
      <c r="BR96" s="57" t="s">
        <v>1287</v>
      </c>
      <c r="BS96" s="57" t="s">
        <v>1287</v>
      </c>
      <c r="BT96" s="57" t="s">
        <v>1287</v>
      </c>
      <c r="BU96" s="57" t="s">
        <v>1287</v>
      </c>
      <c r="BV96" s="70">
        <f t="shared" si="760"/>
        <v>26</v>
      </c>
      <c r="BW96" s="71">
        <f t="shared" si="761"/>
        <v>59</v>
      </c>
      <c r="BX96" s="72">
        <f t="shared" si="762"/>
        <v>63</v>
      </c>
      <c r="BY96" s="71">
        <f t="shared" si="763"/>
        <v>95</v>
      </c>
      <c r="BZ96" s="72">
        <f t="shared" si="764"/>
        <v>99</v>
      </c>
      <c r="CA96" s="71">
        <f t="shared" si="765"/>
        <v>135</v>
      </c>
      <c r="CB96" s="72">
        <f t="shared" si="766"/>
        <v>143</v>
      </c>
      <c r="CC96" s="71">
        <f t="shared" si="767"/>
        <v>183</v>
      </c>
      <c r="CD96" s="72">
        <f t="shared" si="768"/>
        <v>190</v>
      </c>
      <c r="CE96" s="71">
        <f t="shared" si="769"/>
        <v>431</v>
      </c>
      <c r="CF96" s="72">
        <f t="shared" si="770"/>
        <v>473</v>
      </c>
      <c r="CG96" s="71">
        <f t="shared" si="771"/>
        <v>499</v>
      </c>
      <c r="CH96" s="70">
        <f t="shared" si="772"/>
        <v>58</v>
      </c>
      <c r="CI96" s="71">
        <f t="shared" si="773"/>
        <v>62</v>
      </c>
      <c r="CJ96" s="72">
        <f t="shared" si="774"/>
        <v>94</v>
      </c>
      <c r="CK96" s="72">
        <f t="shared" si="775"/>
        <v>98</v>
      </c>
      <c r="CL96" s="72">
        <f t="shared" si="776"/>
        <v>134</v>
      </c>
      <c r="CM96" s="72">
        <f t="shared" si="777"/>
        <v>142</v>
      </c>
      <c r="CN96" s="72">
        <f t="shared" si="778"/>
        <v>174</v>
      </c>
      <c r="CO96" s="72">
        <f t="shared" si="779"/>
        <v>185</v>
      </c>
      <c r="CP96" s="72">
        <f t="shared" si="780"/>
        <v>220</v>
      </c>
      <c r="CQ96" s="72">
        <f t="shared" si="781"/>
        <v>468</v>
      </c>
      <c r="CR96" s="72">
        <f t="shared" si="782"/>
        <v>498</v>
      </c>
      <c r="CS96" s="72">
        <f t="shared" si="783"/>
        <v>511</v>
      </c>
      <c r="CT96" s="23">
        <f t="shared" si="784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503"/>
        <v>adrb1_melga__wt</v>
      </c>
      <c r="B97" s="3" t="s">
        <v>911</v>
      </c>
      <c r="C97" s="3" t="s">
        <v>100</v>
      </c>
      <c r="D97" s="3" t="str">
        <f>IFERROR(MID(VLOOKUP($B97,Seqs!$A:$B,2,0),E97,1),"")</f>
        <v>A</v>
      </c>
      <c r="E97" s="3">
        <v>33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E</v>
      </c>
      <c r="AM97" s="3">
        <v>245</v>
      </c>
      <c r="AN97" s="3" t="str">
        <f>IFERROR(MID(VLOOKUP($B97,Seqs!$A:$B,2,0),AO97,1),"")</f>
        <v>R</v>
      </c>
      <c r="AO97" s="3">
        <v>275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504"/>
        <v>1</v>
      </c>
      <c r="BC97" s="23">
        <f t="shared" si="225"/>
        <v>272</v>
      </c>
      <c r="BD97" s="34" t="s">
        <v>23</v>
      </c>
      <c r="BE97" s="3" t="s">
        <v>23</v>
      </c>
      <c r="BF97" s="118" t="s">
        <v>23</v>
      </c>
      <c r="BG97" s="49" t="s">
        <v>1372</v>
      </c>
      <c r="BH97" s="49" t="s">
        <v>1377</v>
      </c>
      <c r="BI97" s="3" t="s">
        <v>1165</v>
      </c>
      <c r="BJ97" s="70" t="s">
        <v>1287</v>
      </c>
      <c r="BK97" s="57" t="s">
        <v>1287</v>
      </c>
      <c r="BL97" s="57" t="s">
        <v>1287</v>
      </c>
      <c r="BM97" s="57" t="s">
        <v>1287</v>
      </c>
      <c r="BN97" s="57" t="s">
        <v>1287</v>
      </c>
      <c r="BO97" s="57" t="s">
        <v>1287</v>
      </c>
      <c r="BP97" s="57" t="s">
        <v>1287</v>
      </c>
      <c r="BQ97" s="57" t="s">
        <v>1287</v>
      </c>
      <c r="BR97" s="57" t="s">
        <v>1287</v>
      </c>
      <c r="BS97" s="57" t="s">
        <v>1287</v>
      </c>
      <c r="BT97" s="57" t="s">
        <v>1287</v>
      </c>
      <c r="BU97" s="57" t="s">
        <v>1287</v>
      </c>
      <c r="BV97" s="70">
        <f t="shared" si="226"/>
        <v>33</v>
      </c>
      <c r="BW97" s="71">
        <f t="shared" si="227"/>
        <v>70</v>
      </c>
      <c r="BX97" s="72">
        <f t="shared" si="228"/>
        <v>74</v>
      </c>
      <c r="BY97" s="71">
        <f t="shared" si="229"/>
        <v>106</v>
      </c>
      <c r="BZ97" s="72">
        <f t="shared" si="230"/>
        <v>110</v>
      </c>
      <c r="CA97" s="71">
        <f t="shared" si="231"/>
        <v>146</v>
      </c>
      <c r="CB97" s="72">
        <f t="shared" si="232"/>
        <v>154</v>
      </c>
      <c r="CC97" s="71">
        <f t="shared" si="233"/>
        <v>199</v>
      </c>
      <c r="CD97" s="72">
        <f t="shared" si="234"/>
        <v>204</v>
      </c>
      <c r="CE97" s="71">
        <f t="shared" si="235"/>
        <v>275</v>
      </c>
      <c r="CF97" s="72">
        <f t="shared" si="236"/>
        <v>321</v>
      </c>
      <c r="CG97" s="71">
        <f t="shared" si="237"/>
        <v>346</v>
      </c>
      <c r="CH97" s="70">
        <f t="shared" si="238"/>
        <v>69</v>
      </c>
      <c r="CI97" s="71">
        <f t="shared" si="239"/>
        <v>73</v>
      </c>
      <c r="CJ97" s="72">
        <f t="shared" si="240"/>
        <v>104</v>
      </c>
      <c r="CK97" s="72">
        <f t="shared" si="241"/>
        <v>109</v>
      </c>
      <c r="CL97" s="72">
        <f t="shared" si="242"/>
        <v>145</v>
      </c>
      <c r="CM97" s="72">
        <f t="shared" si="243"/>
        <v>153</v>
      </c>
      <c r="CN97" s="72">
        <f t="shared" si="244"/>
        <v>180</v>
      </c>
      <c r="CO97" s="72">
        <f t="shared" si="245"/>
        <v>201</v>
      </c>
      <c r="CP97" s="72">
        <f t="shared" si="246"/>
        <v>245</v>
      </c>
      <c r="CQ97" s="72">
        <f t="shared" si="247"/>
        <v>316</v>
      </c>
      <c r="CR97" s="72">
        <f t="shared" si="248"/>
        <v>345</v>
      </c>
      <c r="CS97" s="72">
        <f t="shared" si="249"/>
        <v>358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503"/>
        <v>adrb1_melga_2Y00</v>
      </c>
      <c r="B98" s="3" t="s">
        <v>911</v>
      </c>
      <c r="C98" s="3" t="s">
        <v>1022</v>
      </c>
      <c r="D98" s="3" t="str">
        <f>IFERROR(MID(VLOOKUP($B98,Seqs!$A:$B,2,0),E98,1),"")</f>
        <v>A</v>
      </c>
      <c r="E98" s="3">
        <v>33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I</v>
      </c>
      <c r="AM98" s="3">
        <v>238</v>
      </c>
      <c r="AN98" s="3" t="str">
        <f>IFERROR(MID(VLOOKUP($B98,Seqs!$A:$B,2,0),AO98,1),"")</f>
        <v>R</v>
      </c>
      <c r="AO98" s="3">
        <v>275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C</v>
      </c>
      <c r="AY98" s="3">
        <v>358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504"/>
        <v>1</v>
      </c>
      <c r="BC98" s="23">
        <f t="shared" si="225"/>
        <v>265</v>
      </c>
      <c r="BD98" s="4" t="s">
        <v>23</v>
      </c>
      <c r="BE98" s="3" t="s">
        <v>1374</v>
      </c>
      <c r="BF98" s="118">
        <v>2.5</v>
      </c>
      <c r="BG98" s="49" t="s">
        <v>1377</v>
      </c>
      <c r="BH98" s="49" t="s">
        <v>1377</v>
      </c>
      <c r="BI98" s="1"/>
      <c r="BJ98" s="70" t="s">
        <v>1287</v>
      </c>
      <c r="BK98" s="57" t="s">
        <v>1287</v>
      </c>
      <c r="BL98" s="57" t="s">
        <v>1287</v>
      </c>
      <c r="BM98" s="57" t="s">
        <v>1287</v>
      </c>
      <c r="BN98" s="57" t="s">
        <v>1287</v>
      </c>
      <c r="BO98" s="57" t="s">
        <v>1287</v>
      </c>
      <c r="BP98" s="57" t="s">
        <v>1287</v>
      </c>
      <c r="BQ98" s="57" t="s">
        <v>1287</v>
      </c>
      <c r="BR98" s="57" t="s">
        <v>1287</v>
      </c>
      <c r="BS98" s="57" t="s">
        <v>1287</v>
      </c>
      <c r="BT98" s="57" t="s">
        <v>1287</v>
      </c>
      <c r="BU98" s="57" t="s">
        <v>1287</v>
      </c>
      <c r="BV98" s="70">
        <f t="shared" si="226"/>
        <v>33</v>
      </c>
      <c r="BW98" s="71">
        <f t="shared" si="227"/>
        <v>70</v>
      </c>
      <c r="BX98" s="72">
        <f t="shared" si="228"/>
        <v>74</v>
      </c>
      <c r="BY98" s="71">
        <f t="shared" si="229"/>
        <v>106</v>
      </c>
      <c r="BZ98" s="72">
        <f t="shared" si="230"/>
        <v>110</v>
      </c>
      <c r="CA98" s="71">
        <f t="shared" si="231"/>
        <v>146</v>
      </c>
      <c r="CB98" s="72">
        <f t="shared" si="232"/>
        <v>154</v>
      </c>
      <c r="CC98" s="71">
        <f t="shared" si="233"/>
        <v>199</v>
      </c>
      <c r="CD98" s="72">
        <f t="shared" si="234"/>
        <v>204</v>
      </c>
      <c r="CE98" s="71">
        <f t="shared" si="235"/>
        <v>275</v>
      </c>
      <c r="CF98" s="72">
        <f t="shared" si="236"/>
        <v>321</v>
      </c>
      <c r="CG98" s="71">
        <f t="shared" si="237"/>
        <v>346</v>
      </c>
      <c r="CH98" s="70">
        <f t="shared" si="238"/>
        <v>69</v>
      </c>
      <c r="CI98" s="71">
        <f t="shared" si="239"/>
        <v>73</v>
      </c>
      <c r="CJ98" s="72">
        <f t="shared" si="240"/>
        <v>104</v>
      </c>
      <c r="CK98" s="72">
        <f t="shared" si="241"/>
        <v>109</v>
      </c>
      <c r="CL98" s="72">
        <f t="shared" si="242"/>
        <v>145</v>
      </c>
      <c r="CM98" s="72">
        <f t="shared" si="243"/>
        <v>153</v>
      </c>
      <c r="CN98" s="72">
        <f t="shared" si="244"/>
        <v>180</v>
      </c>
      <c r="CO98" s="72">
        <f t="shared" si="245"/>
        <v>201</v>
      </c>
      <c r="CP98" s="72">
        <f t="shared" si="246"/>
        <v>238</v>
      </c>
      <c r="CQ98" s="72">
        <f t="shared" si="247"/>
        <v>316</v>
      </c>
      <c r="CR98" s="72">
        <f t="shared" si="248"/>
        <v>345</v>
      </c>
      <c r="CS98" s="72">
        <f t="shared" si="249"/>
        <v>358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503"/>
        <v>adrb1_melga_2Y02</v>
      </c>
      <c r="B99" s="3" t="s">
        <v>911</v>
      </c>
      <c r="C99" s="3" t="s">
        <v>1023</v>
      </c>
      <c r="D99" s="3" t="str">
        <f>IFERROR(MID(VLOOKUP($B99,Seqs!$A:$B,2,0),E99,1),"")</f>
        <v>A</v>
      </c>
      <c r="E99" s="3">
        <v>33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I</v>
      </c>
      <c r="AM99" s="3">
        <v>238</v>
      </c>
      <c r="AN99" s="3" t="str">
        <f>IFERROR(MID(VLOOKUP($B99,Seqs!$A:$B,2,0),AO99,1),"")</f>
        <v>R</v>
      </c>
      <c r="AO99" s="3">
        <v>275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504"/>
        <v>1</v>
      </c>
      <c r="BC99" s="23">
        <f t="shared" si="225"/>
        <v>265</v>
      </c>
      <c r="BD99" s="4" t="s">
        <v>23</v>
      </c>
      <c r="BE99" s="3" t="s">
        <v>1374</v>
      </c>
      <c r="BF99" s="118">
        <v>2.6</v>
      </c>
      <c r="BG99" s="49" t="s">
        <v>1377</v>
      </c>
      <c r="BH99" s="49" t="s">
        <v>1377</v>
      </c>
      <c r="BI99" s="1"/>
      <c r="BJ99" s="70" t="s">
        <v>1287</v>
      </c>
      <c r="BK99" s="57" t="s">
        <v>1287</v>
      </c>
      <c r="BL99" s="57" t="s">
        <v>1287</v>
      </c>
      <c r="BM99" s="57" t="s">
        <v>1287</v>
      </c>
      <c r="BN99" s="57" t="s">
        <v>1287</v>
      </c>
      <c r="BO99" s="57" t="s">
        <v>1287</v>
      </c>
      <c r="BP99" s="57" t="s">
        <v>1287</v>
      </c>
      <c r="BQ99" s="57" t="s">
        <v>1287</v>
      </c>
      <c r="BR99" s="57" t="s">
        <v>1287</v>
      </c>
      <c r="BS99" s="57" t="s">
        <v>1287</v>
      </c>
      <c r="BT99" s="57" t="s">
        <v>1287</v>
      </c>
      <c r="BU99" s="57" t="s">
        <v>1287</v>
      </c>
      <c r="BV99" s="70">
        <f t="shared" si="226"/>
        <v>33</v>
      </c>
      <c r="BW99" s="71">
        <f t="shared" si="227"/>
        <v>70</v>
      </c>
      <c r="BX99" s="72">
        <f t="shared" si="228"/>
        <v>74</v>
      </c>
      <c r="BY99" s="71">
        <f t="shared" si="229"/>
        <v>106</v>
      </c>
      <c r="BZ99" s="72">
        <f t="shared" si="230"/>
        <v>110</v>
      </c>
      <c r="CA99" s="71">
        <f t="shared" si="231"/>
        <v>146</v>
      </c>
      <c r="CB99" s="72">
        <f t="shared" si="232"/>
        <v>154</v>
      </c>
      <c r="CC99" s="71">
        <f t="shared" si="233"/>
        <v>199</v>
      </c>
      <c r="CD99" s="72">
        <f t="shared" si="234"/>
        <v>204</v>
      </c>
      <c r="CE99" s="71">
        <f t="shared" si="235"/>
        <v>275</v>
      </c>
      <c r="CF99" s="72">
        <f t="shared" si="236"/>
        <v>321</v>
      </c>
      <c r="CG99" s="71">
        <f t="shared" si="237"/>
        <v>346</v>
      </c>
      <c r="CH99" s="70">
        <f t="shared" si="238"/>
        <v>69</v>
      </c>
      <c r="CI99" s="71">
        <f t="shared" si="239"/>
        <v>73</v>
      </c>
      <c r="CJ99" s="72">
        <f t="shared" si="240"/>
        <v>104</v>
      </c>
      <c r="CK99" s="72">
        <f t="shared" si="241"/>
        <v>109</v>
      </c>
      <c r="CL99" s="72">
        <f t="shared" si="242"/>
        <v>145</v>
      </c>
      <c r="CM99" s="72">
        <f t="shared" si="243"/>
        <v>153</v>
      </c>
      <c r="CN99" s="72">
        <f t="shared" si="244"/>
        <v>180</v>
      </c>
      <c r="CO99" s="72">
        <f t="shared" si="245"/>
        <v>201</v>
      </c>
      <c r="CP99" s="72">
        <f t="shared" si="246"/>
        <v>238</v>
      </c>
      <c r="CQ99" s="72">
        <f t="shared" si="247"/>
        <v>316</v>
      </c>
      <c r="CR99" s="72">
        <f t="shared" si="248"/>
        <v>345</v>
      </c>
      <c r="CS99" s="72">
        <f t="shared" si="249"/>
        <v>358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503"/>
        <v>adrb1_melga_2Y03</v>
      </c>
      <c r="B100" s="3" t="s">
        <v>911</v>
      </c>
      <c r="C100" s="3" t="s">
        <v>1024</v>
      </c>
      <c r="D100" s="3" t="str">
        <f>IFERROR(MID(VLOOKUP($B100,Seqs!$A:$B,2,0),E100,1),"")</f>
        <v>A</v>
      </c>
      <c r="E100" s="3">
        <v>33</v>
      </c>
      <c r="F100" s="3" t="str">
        <f>IFERROR(MID(VLOOKUP($B100,Seqs!$A:$B,2,0),G100,1),"")</f>
        <v>T</v>
      </c>
      <c r="G100" s="3">
        <v>69</v>
      </c>
      <c r="H100" s="3" t="str">
        <f>IFERROR(MID(VLOOKUP($B100,Seqs!$A:$B,2,0),I100,1),"")</f>
        <v>Q</v>
      </c>
      <c r="I100" s="23">
        <v>70</v>
      </c>
      <c r="J100" s="3" t="str">
        <f>IFERROR(MID(VLOOKUP($B100,Seqs!$A:$B,2,0),K100,1),"")</f>
        <v>Q</v>
      </c>
      <c r="K100" s="23">
        <v>73</v>
      </c>
      <c r="L100" s="3" t="str">
        <f>IFERROR(MID(VLOOKUP($B100,Seqs!$A:$B,2,0),M100,1),"")</f>
        <v>T</v>
      </c>
      <c r="M100" s="3">
        <v>74</v>
      </c>
      <c r="N100" s="3" t="str">
        <f>IFERROR(MID(VLOOKUP($B100,Seqs!$A:$B,2,0),O100,1),"")</f>
        <v>R</v>
      </c>
      <c r="O100" s="3">
        <v>104</v>
      </c>
      <c r="P100" s="3" t="str">
        <f>IFERROR(MID(VLOOKUP($B100,Seqs!$A:$B,2,0),Q100,1),"")</f>
        <v>T</v>
      </c>
      <c r="Q100" s="3">
        <v>106</v>
      </c>
      <c r="R100" s="3" t="str">
        <f>IFERROR(MID(VLOOKUP($B100,Seqs!$A:$B,2,0),S100,1),"")</f>
        <v>W</v>
      </c>
      <c r="S100" s="3">
        <v>109</v>
      </c>
      <c r="T100" s="3" t="str">
        <f>IFERROR(MID(VLOOKUP($B100,Seqs!$A:$B,2,0),U100,1),"")</f>
        <v>G</v>
      </c>
      <c r="U100" s="3">
        <v>110</v>
      </c>
      <c r="V100" s="3" t="str">
        <f>IFERROR(MID(VLOOKUP($B100,Seqs!$A:$B,2,0),W100,1),"")</f>
        <v>S</v>
      </c>
      <c r="W100" s="3">
        <v>145</v>
      </c>
      <c r="X100" s="3" t="str">
        <f>IFERROR(MID(VLOOKUP($B100,Seqs!$A:$B,2,0),Y100,1),"")</f>
        <v>P</v>
      </c>
      <c r="Y100" s="3">
        <v>146</v>
      </c>
      <c r="Z100" s="3" t="str">
        <f>IFERROR(MID(VLOOKUP($B100,Seqs!$A:$B,2,0),AA100,1),"")</f>
        <v>M</v>
      </c>
      <c r="AA100" s="3">
        <v>153</v>
      </c>
      <c r="AB100" s="3" t="str">
        <f>IFERROR(MID(VLOOKUP($B100,Seqs!$A:$B,2,0),AC100,1),"")</f>
        <v>T</v>
      </c>
      <c r="AC100" s="9">
        <v>154</v>
      </c>
      <c r="AD100" s="3" t="str">
        <f>IFERROR(MID(VLOOKUP($B100,Seqs!$A:$B,2,0),AE100,1),"")</f>
        <v>H</v>
      </c>
      <c r="AE100" s="3">
        <v>180</v>
      </c>
      <c r="AF100" s="3" t="str">
        <f>IFERROR(MID(VLOOKUP($B100,Seqs!$A:$B,2,0),AG100,1),"")</f>
        <v>C</v>
      </c>
      <c r="AG100" s="3">
        <v>199</v>
      </c>
      <c r="AH100" s="3" t="str">
        <f>IFERROR(MID(VLOOKUP($B100,Seqs!$A:$B,2,0),AI100,1),"")</f>
        <v>F</v>
      </c>
      <c r="AI100" s="3">
        <v>201</v>
      </c>
      <c r="AJ100" s="3" t="str">
        <f>IFERROR(MID(VLOOKUP($B100,Seqs!$A:$B,2,0),AK100,1),"")</f>
        <v>N</v>
      </c>
      <c r="AK100" s="3">
        <v>204</v>
      </c>
      <c r="AL100" s="3" t="str">
        <f>IFERROR(MID(VLOOKUP($B100,Seqs!$A:$B,2,0),AM100,1),"")</f>
        <v>I</v>
      </c>
      <c r="AM100" s="3">
        <v>238</v>
      </c>
      <c r="AN100" s="3" t="str">
        <f>IFERROR(MID(VLOOKUP($B100,Seqs!$A:$B,2,0),AO100,1),"")</f>
        <v>R</v>
      </c>
      <c r="AO100" s="3">
        <v>275</v>
      </c>
      <c r="AP100" s="3" t="str">
        <f>IFERROR(MID(VLOOKUP($B100,Seqs!$A:$B,2,0),AQ100,1),"")</f>
        <v>N</v>
      </c>
      <c r="AQ100" s="3">
        <v>316</v>
      </c>
      <c r="AR100" s="3" t="str">
        <f>IFERROR(MID(VLOOKUP($B100,Seqs!$A:$B,2,0),AS100,1),"")</f>
        <v>P</v>
      </c>
      <c r="AS100" s="3">
        <v>321</v>
      </c>
      <c r="AT100" s="3" t="str">
        <f>IFERROR(MID(VLOOKUP($B100,Seqs!$A:$B,2,0),AU100,1),"")</f>
        <v>R</v>
      </c>
      <c r="AU100" s="3">
        <v>345</v>
      </c>
      <c r="AV100" s="3" t="str">
        <f>IFERROR(MID(VLOOKUP($B100,Seqs!$A:$B,2,0),AW100,1),"")</f>
        <v>S</v>
      </c>
      <c r="AW100" s="3">
        <v>346</v>
      </c>
      <c r="AX100" s="3" t="str">
        <f>IFERROR(MID(VLOOKUP($B100,Seqs!$A:$B,2,0),AY100,1),"")</f>
        <v>C</v>
      </c>
      <c r="AY100" s="3">
        <v>358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504"/>
        <v>1</v>
      </c>
      <c r="BC100" s="23">
        <f t="shared" si="225"/>
        <v>265</v>
      </c>
      <c r="BD100" s="4" t="s">
        <v>23</v>
      </c>
      <c r="BE100" s="3" t="s">
        <v>1374</v>
      </c>
      <c r="BF100" s="118">
        <v>2.85</v>
      </c>
      <c r="BG100" s="49" t="s">
        <v>1377</v>
      </c>
      <c r="BH100" s="49" t="s">
        <v>1377</v>
      </c>
      <c r="BI100" s="1"/>
      <c r="BJ100" s="70" t="s">
        <v>1287</v>
      </c>
      <c r="BK100" s="57" t="s">
        <v>1287</v>
      </c>
      <c r="BL100" s="57" t="s">
        <v>1287</v>
      </c>
      <c r="BM100" s="57" t="s">
        <v>1287</v>
      </c>
      <c r="BN100" s="57" t="s">
        <v>1287</v>
      </c>
      <c r="BO100" s="57" t="s">
        <v>1287</v>
      </c>
      <c r="BP100" s="57" t="s">
        <v>1287</v>
      </c>
      <c r="BQ100" s="57" t="s">
        <v>1287</v>
      </c>
      <c r="BR100" s="57" t="s">
        <v>1287</v>
      </c>
      <c r="BS100" s="57" t="s">
        <v>1287</v>
      </c>
      <c r="BT100" s="57" t="s">
        <v>1287</v>
      </c>
      <c r="BU100" s="57" t="s">
        <v>1287</v>
      </c>
      <c r="BV100" s="70">
        <f t="shared" si="226"/>
        <v>33</v>
      </c>
      <c r="BW100" s="71">
        <f t="shared" si="227"/>
        <v>70</v>
      </c>
      <c r="BX100" s="72">
        <f t="shared" si="228"/>
        <v>74</v>
      </c>
      <c r="BY100" s="71">
        <f t="shared" si="229"/>
        <v>106</v>
      </c>
      <c r="BZ100" s="72">
        <f t="shared" si="230"/>
        <v>110</v>
      </c>
      <c r="CA100" s="71">
        <f t="shared" si="231"/>
        <v>146</v>
      </c>
      <c r="CB100" s="72">
        <f t="shared" si="232"/>
        <v>154</v>
      </c>
      <c r="CC100" s="71">
        <f t="shared" si="233"/>
        <v>199</v>
      </c>
      <c r="CD100" s="72">
        <f t="shared" si="234"/>
        <v>204</v>
      </c>
      <c r="CE100" s="71">
        <f t="shared" si="235"/>
        <v>275</v>
      </c>
      <c r="CF100" s="72">
        <f t="shared" si="236"/>
        <v>321</v>
      </c>
      <c r="CG100" s="71">
        <f t="shared" si="237"/>
        <v>346</v>
      </c>
      <c r="CH100" s="70">
        <f t="shared" si="238"/>
        <v>69</v>
      </c>
      <c r="CI100" s="71">
        <f t="shared" si="239"/>
        <v>73</v>
      </c>
      <c r="CJ100" s="72">
        <f t="shared" si="240"/>
        <v>104</v>
      </c>
      <c r="CK100" s="72">
        <f t="shared" si="241"/>
        <v>109</v>
      </c>
      <c r="CL100" s="72">
        <f t="shared" si="242"/>
        <v>145</v>
      </c>
      <c r="CM100" s="72">
        <f t="shared" si="243"/>
        <v>153</v>
      </c>
      <c r="CN100" s="72">
        <f t="shared" si="244"/>
        <v>180</v>
      </c>
      <c r="CO100" s="72">
        <f t="shared" si="245"/>
        <v>201</v>
      </c>
      <c r="CP100" s="72">
        <f t="shared" si="246"/>
        <v>238</v>
      </c>
      <c r="CQ100" s="72">
        <f t="shared" si="247"/>
        <v>316</v>
      </c>
      <c r="CR100" s="72">
        <f t="shared" si="248"/>
        <v>345</v>
      </c>
      <c r="CS100" s="72">
        <f t="shared" si="249"/>
        <v>358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503"/>
        <v>adrb1_melga_2Y04</v>
      </c>
      <c r="B101" s="3" t="s">
        <v>911</v>
      </c>
      <c r="C101" s="3" t="s">
        <v>1025</v>
      </c>
      <c r="D101" s="3" t="str">
        <f>IFERROR(MID(VLOOKUP($B101,Seqs!$A:$B,2,0),E101,1),"")</f>
        <v>A</v>
      </c>
      <c r="E101" s="3">
        <v>33</v>
      </c>
      <c r="F101" s="3" t="str">
        <f>IFERROR(MID(VLOOKUP($B101,Seqs!$A:$B,2,0),G101,1),"")</f>
        <v>T</v>
      </c>
      <c r="G101" s="3">
        <v>69</v>
      </c>
      <c r="H101" s="3" t="str">
        <f>IFERROR(MID(VLOOKUP($B101,Seqs!$A:$B,2,0),I101,1),"")</f>
        <v>Q</v>
      </c>
      <c r="I101" s="23">
        <v>70</v>
      </c>
      <c r="J101" s="3" t="str">
        <f>IFERROR(MID(VLOOKUP($B101,Seqs!$A:$B,2,0),K101,1),"")</f>
        <v>Q</v>
      </c>
      <c r="K101" s="23">
        <v>73</v>
      </c>
      <c r="L101" s="3" t="str">
        <f>IFERROR(MID(VLOOKUP($B101,Seqs!$A:$B,2,0),M101,1),"")</f>
        <v>T</v>
      </c>
      <c r="M101" s="3">
        <v>74</v>
      </c>
      <c r="N101" s="3" t="str">
        <f>IFERROR(MID(VLOOKUP($B101,Seqs!$A:$B,2,0),O101,1),"")</f>
        <v>R</v>
      </c>
      <c r="O101" s="3">
        <v>104</v>
      </c>
      <c r="P101" s="3" t="str">
        <f>IFERROR(MID(VLOOKUP($B101,Seqs!$A:$B,2,0),Q101,1),"")</f>
        <v>T</v>
      </c>
      <c r="Q101" s="3">
        <v>106</v>
      </c>
      <c r="R101" s="3" t="str">
        <f>IFERROR(MID(VLOOKUP($B101,Seqs!$A:$B,2,0),S101,1),"")</f>
        <v>W</v>
      </c>
      <c r="S101" s="3">
        <v>109</v>
      </c>
      <c r="T101" s="3" t="str">
        <f>IFERROR(MID(VLOOKUP($B101,Seqs!$A:$B,2,0),U101,1),"")</f>
        <v>G</v>
      </c>
      <c r="U101" s="3">
        <v>110</v>
      </c>
      <c r="V101" s="3" t="str">
        <f>IFERROR(MID(VLOOKUP($B101,Seqs!$A:$B,2,0),W101,1),"")</f>
        <v>S</v>
      </c>
      <c r="W101" s="3">
        <v>145</v>
      </c>
      <c r="X101" s="3" t="str">
        <f>IFERROR(MID(VLOOKUP($B101,Seqs!$A:$B,2,0),Y101,1),"")</f>
        <v>P</v>
      </c>
      <c r="Y101" s="3">
        <v>146</v>
      </c>
      <c r="Z101" s="3" t="str">
        <f>IFERROR(MID(VLOOKUP($B101,Seqs!$A:$B,2,0),AA101,1),"")</f>
        <v>M</v>
      </c>
      <c r="AA101" s="3">
        <v>153</v>
      </c>
      <c r="AB101" s="3" t="str">
        <f>IFERROR(MID(VLOOKUP($B101,Seqs!$A:$B,2,0),AC101,1),"")</f>
        <v>T</v>
      </c>
      <c r="AC101" s="9">
        <v>154</v>
      </c>
      <c r="AD101" s="3" t="str">
        <f>IFERROR(MID(VLOOKUP($B101,Seqs!$A:$B,2,0),AE101,1),"")</f>
        <v>H</v>
      </c>
      <c r="AE101" s="3">
        <v>180</v>
      </c>
      <c r="AF101" s="3" t="str">
        <f>IFERROR(MID(VLOOKUP($B101,Seqs!$A:$B,2,0),AG101,1),"")</f>
        <v>C</v>
      </c>
      <c r="AG101" s="3">
        <v>199</v>
      </c>
      <c r="AH101" s="3" t="str">
        <f>IFERROR(MID(VLOOKUP($B101,Seqs!$A:$B,2,0),AI101,1),"")</f>
        <v>F</v>
      </c>
      <c r="AI101" s="3">
        <v>201</v>
      </c>
      <c r="AJ101" s="3" t="str">
        <f>IFERROR(MID(VLOOKUP($B101,Seqs!$A:$B,2,0),AK101,1),"")</f>
        <v>N</v>
      </c>
      <c r="AK101" s="3">
        <v>204</v>
      </c>
      <c r="AL101" s="3" t="str">
        <f>IFERROR(MID(VLOOKUP($B101,Seqs!$A:$B,2,0),AM101,1),"")</f>
        <v>I</v>
      </c>
      <c r="AM101" s="3">
        <v>238</v>
      </c>
      <c r="AN101" s="3" t="str">
        <f>IFERROR(MID(VLOOKUP($B101,Seqs!$A:$B,2,0),AO101,1),"")</f>
        <v>R</v>
      </c>
      <c r="AO101" s="3">
        <v>275</v>
      </c>
      <c r="AP101" s="3" t="str">
        <f>IFERROR(MID(VLOOKUP($B101,Seqs!$A:$B,2,0),AQ101,1),"")</f>
        <v>N</v>
      </c>
      <c r="AQ101" s="3">
        <v>316</v>
      </c>
      <c r="AR101" s="3" t="str">
        <f>IFERROR(MID(VLOOKUP($B101,Seqs!$A:$B,2,0),AS101,1),"")</f>
        <v>P</v>
      </c>
      <c r="AS101" s="3">
        <v>321</v>
      </c>
      <c r="AT101" s="3" t="str">
        <f>IFERROR(MID(VLOOKUP($B101,Seqs!$A:$B,2,0),AU101,1),"")</f>
        <v>R</v>
      </c>
      <c r="AU101" s="3">
        <v>345</v>
      </c>
      <c r="AV101" s="3" t="str">
        <f>IFERROR(MID(VLOOKUP($B101,Seqs!$A:$B,2,0),AW101,1),"")</f>
        <v>S</v>
      </c>
      <c r="AW101" s="3">
        <v>346</v>
      </c>
      <c r="AX101" s="3" t="str">
        <f>IFERROR(MID(VLOOKUP($B101,Seqs!$A:$B,2,0),AY101,1),"")</f>
        <v>C</v>
      </c>
      <c r="AY101" s="3">
        <v>358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504"/>
        <v>1</v>
      </c>
      <c r="BC101" s="23">
        <f t="shared" si="225"/>
        <v>265</v>
      </c>
      <c r="BD101" s="4" t="s">
        <v>23</v>
      </c>
      <c r="BE101" s="3" t="s">
        <v>1374</v>
      </c>
      <c r="BF101" s="118">
        <v>3.05</v>
      </c>
      <c r="BG101" s="49" t="s">
        <v>1377</v>
      </c>
      <c r="BH101" s="49" t="s">
        <v>1377</v>
      </c>
      <c r="BI101" s="1"/>
      <c r="BJ101" s="70" t="s">
        <v>1287</v>
      </c>
      <c r="BK101" s="57" t="s">
        <v>1287</v>
      </c>
      <c r="BL101" s="57" t="s">
        <v>1287</v>
      </c>
      <c r="BM101" s="57" t="s">
        <v>1287</v>
      </c>
      <c r="BN101" s="57" t="s">
        <v>1287</v>
      </c>
      <c r="BO101" s="57" t="s">
        <v>1287</v>
      </c>
      <c r="BP101" s="57" t="s">
        <v>1287</v>
      </c>
      <c r="BQ101" s="57" t="s">
        <v>1287</v>
      </c>
      <c r="BR101" s="57" t="s">
        <v>1287</v>
      </c>
      <c r="BS101" s="57" t="s">
        <v>1287</v>
      </c>
      <c r="BT101" s="57" t="s">
        <v>1287</v>
      </c>
      <c r="BU101" s="57" t="s">
        <v>1287</v>
      </c>
      <c r="BV101" s="70">
        <f t="shared" si="226"/>
        <v>33</v>
      </c>
      <c r="BW101" s="71">
        <f t="shared" si="227"/>
        <v>70</v>
      </c>
      <c r="BX101" s="72">
        <f t="shared" si="228"/>
        <v>74</v>
      </c>
      <c r="BY101" s="71">
        <f t="shared" si="229"/>
        <v>106</v>
      </c>
      <c r="BZ101" s="72">
        <f t="shared" si="230"/>
        <v>110</v>
      </c>
      <c r="CA101" s="71">
        <f t="shared" si="231"/>
        <v>146</v>
      </c>
      <c r="CB101" s="72">
        <f t="shared" si="232"/>
        <v>154</v>
      </c>
      <c r="CC101" s="71">
        <f t="shared" si="233"/>
        <v>199</v>
      </c>
      <c r="CD101" s="72">
        <f t="shared" si="234"/>
        <v>204</v>
      </c>
      <c r="CE101" s="71">
        <f t="shared" si="235"/>
        <v>275</v>
      </c>
      <c r="CF101" s="72">
        <f t="shared" si="236"/>
        <v>321</v>
      </c>
      <c r="CG101" s="71">
        <f t="shared" si="237"/>
        <v>346</v>
      </c>
      <c r="CH101" s="70">
        <f t="shared" si="238"/>
        <v>69</v>
      </c>
      <c r="CI101" s="71">
        <f t="shared" si="239"/>
        <v>73</v>
      </c>
      <c r="CJ101" s="72">
        <f t="shared" si="240"/>
        <v>104</v>
      </c>
      <c r="CK101" s="72">
        <f t="shared" si="241"/>
        <v>109</v>
      </c>
      <c r="CL101" s="72">
        <f t="shared" si="242"/>
        <v>145</v>
      </c>
      <c r="CM101" s="72">
        <f t="shared" si="243"/>
        <v>153</v>
      </c>
      <c r="CN101" s="72">
        <f t="shared" si="244"/>
        <v>180</v>
      </c>
      <c r="CO101" s="72">
        <f t="shared" si="245"/>
        <v>201</v>
      </c>
      <c r="CP101" s="72">
        <f t="shared" si="246"/>
        <v>238</v>
      </c>
      <c r="CQ101" s="72">
        <f t="shared" si="247"/>
        <v>316</v>
      </c>
      <c r="CR101" s="72">
        <f t="shared" si="248"/>
        <v>345</v>
      </c>
      <c r="CS101" s="72">
        <f t="shared" si="249"/>
        <v>358</v>
      </c>
      <c r="CT101" s="23">
        <f t="shared" si="25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503"/>
        <v>adrb1_melga_2YCW</v>
      </c>
      <c r="B102" s="3" t="s">
        <v>911</v>
      </c>
      <c r="C102" s="3" t="s">
        <v>1026</v>
      </c>
      <c r="D102" s="3" t="str">
        <f>IFERROR(MID(VLOOKUP($B102,Seqs!$A:$B,2,0),E102,1),"")</f>
        <v>S</v>
      </c>
      <c r="E102" s="3">
        <v>37</v>
      </c>
      <c r="F102" s="3" t="str">
        <f>IFERROR(MID(VLOOKUP($B102,Seqs!$A:$B,2,0),G102,1),"")</f>
        <v>T</v>
      </c>
      <c r="G102" s="3">
        <v>69</v>
      </c>
      <c r="H102" s="3" t="str">
        <f>IFERROR(MID(VLOOKUP($B102,Seqs!$A:$B,2,0),I102,1),"")</f>
        <v>Q</v>
      </c>
      <c r="I102" s="23">
        <v>70</v>
      </c>
      <c r="J102" s="3" t="str">
        <f>IFERROR(MID(VLOOKUP($B102,Seqs!$A:$B,2,0),K102,1),"")</f>
        <v>Q</v>
      </c>
      <c r="K102" s="23">
        <v>73</v>
      </c>
      <c r="L102" s="3" t="str">
        <f>IFERROR(MID(VLOOKUP($B102,Seqs!$A:$B,2,0),M102,1),"")</f>
        <v>T</v>
      </c>
      <c r="M102" s="3">
        <v>74</v>
      </c>
      <c r="N102" s="3" t="str">
        <f>IFERROR(MID(VLOOKUP($B102,Seqs!$A:$B,2,0),O102,1),"")</f>
        <v>R</v>
      </c>
      <c r="O102" s="3">
        <v>104</v>
      </c>
      <c r="P102" s="3" t="str">
        <f>IFERROR(MID(VLOOKUP($B102,Seqs!$A:$B,2,0),Q102,1),"")</f>
        <v>T</v>
      </c>
      <c r="Q102" s="3">
        <v>106</v>
      </c>
      <c r="R102" s="3" t="str">
        <f>IFERROR(MID(VLOOKUP($B102,Seqs!$A:$B,2,0),S102,1),"")</f>
        <v>W</v>
      </c>
      <c r="S102" s="3">
        <v>109</v>
      </c>
      <c r="T102" s="3" t="str">
        <f>IFERROR(MID(VLOOKUP($B102,Seqs!$A:$B,2,0),U102,1),"")</f>
        <v>G</v>
      </c>
      <c r="U102" s="3">
        <v>110</v>
      </c>
      <c r="V102" s="3" t="str">
        <f>IFERROR(MID(VLOOKUP($B102,Seqs!$A:$B,2,0),W102,1),"")</f>
        <v>S</v>
      </c>
      <c r="W102" s="3">
        <v>145</v>
      </c>
      <c r="X102" s="3" t="str">
        <f>IFERROR(MID(VLOOKUP($B102,Seqs!$A:$B,2,0),Y102,1),"")</f>
        <v>P</v>
      </c>
      <c r="Y102" s="3">
        <v>146</v>
      </c>
      <c r="Z102" s="3" t="str">
        <f>IFERROR(MID(VLOOKUP($B102,Seqs!$A:$B,2,0),AA102,1),"")</f>
        <v>M</v>
      </c>
      <c r="AA102" s="3">
        <v>153</v>
      </c>
      <c r="AB102" s="3" t="str">
        <f>IFERROR(MID(VLOOKUP($B102,Seqs!$A:$B,2,0),AC102,1),"")</f>
        <v>T</v>
      </c>
      <c r="AC102" s="9">
        <v>154</v>
      </c>
      <c r="AD102" s="3" t="str">
        <f>IFERROR(MID(VLOOKUP($B102,Seqs!$A:$B,2,0),AE102,1),"")</f>
        <v>H</v>
      </c>
      <c r="AE102" s="3">
        <v>180</v>
      </c>
      <c r="AF102" s="3" t="str">
        <f>IFERROR(MID(VLOOKUP($B102,Seqs!$A:$B,2,0),AG102,1),"")</f>
        <v>C</v>
      </c>
      <c r="AG102" s="3">
        <v>199</v>
      </c>
      <c r="AH102" s="3" t="str">
        <f>IFERROR(MID(VLOOKUP($B102,Seqs!$A:$B,2,0),AI102,1),"")</f>
        <v>F</v>
      </c>
      <c r="AI102" s="3">
        <v>201</v>
      </c>
      <c r="AJ102" s="3" t="str">
        <f>IFERROR(MID(VLOOKUP($B102,Seqs!$A:$B,2,0),AK102,1),"")</f>
        <v>N</v>
      </c>
      <c r="AK102" s="3">
        <v>204</v>
      </c>
      <c r="AL102" s="3" t="str">
        <f>IFERROR(MID(VLOOKUP($B102,Seqs!$A:$B,2,0),AM102,1),"")</f>
        <v>K</v>
      </c>
      <c r="AM102" s="3">
        <v>240</v>
      </c>
      <c r="AN102" s="3" t="str">
        <f>IFERROR(MID(VLOOKUP($B102,Seqs!$A:$B,2,0),AO102,1),"")</f>
        <v>L</v>
      </c>
      <c r="AO102" s="3">
        <v>289</v>
      </c>
      <c r="AP102" s="3" t="str">
        <f>IFERROR(MID(VLOOKUP($B102,Seqs!$A:$B,2,0),AQ102,1),"")</f>
        <v>N</v>
      </c>
      <c r="AQ102" s="3">
        <v>316</v>
      </c>
      <c r="AR102" s="3" t="str">
        <f>IFERROR(MID(VLOOKUP($B102,Seqs!$A:$B,2,0),AS102,1),"")</f>
        <v>P</v>
      </c>
      <c r="AS102" s="3">
        <v>321</v>
      </c>
      <c r="AT102" s="3" t="str">
        <f>IFERROR(MID(VLOOKUP($B102,Seqs!$A:$B,2,0),AU102,1),"")</f>
        <v>R</v>
      </c>
      <c r="AU102" s="3">
        <v>345</v>
      </c>
      <c r="AV102" s="3" t="str">
        <f>IFERROR(MID(VLOOKUP($B102,Seqs!$A:$B,2,0),AW102,1),"")</f>
        <v>S</v>
      </c>
      <c r="AW102" s="3">
        <v>346</v>
      </c>
      <c r="AX102" s="3" t="str">
        <f>IFERROR(MID(VLOOKUP($B102,Seqs!$A:$B,2,0),AY102,1),"")</f>
        <v>C</v>
      </c>
      <c r="AY102" s="3">
        <v>358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504"/>
        <v>1</v>
      </c>
      <c r="BC102" s="23">
        <f t="shared" si="225"/>
        <v>249</v>
      </c>
      <c r="BD102" s="4" t="s">
        <v>23</v>
      </c>
      <c r="BE102" s="3" t="s">
        <v>1374</v>
      </c>
      <c r="BF102" s="118">
        <v>3</v>
      </c>
      <c r="BG102" s="49" t="s">
        <v>1377</v>
      </c>
      <c r="BH102" s="49" t="s">
        <v>1377</v>
      </c>
      <c r="BI102" s="1"/>
      <c r="BJ102" s="70" t="s">
        <v>1287</v>
      </c>
      <c r="BK102" s="57" t="s">
        <v>1287</v>
      </c>
      <c r="BL102" s="57" t="s">
        <v>1287</v>
      </c>
      <c r="BM102" s="57" t="s">
        <v>1287</v>
      </c>
      <c r="BN102" s="57" t="s">
        <v>1287</v>
      </c>
      <c r="BO102" s="57" t="s">
        <v>1287</v>
      </c>
      <c r="BP102" s="57" t="s">
        <v>1287</v>
      </c>
      <c r="BQ102" s="57" t="s">
        <v>1287</v>
      </c>
      <c r="BR102" s="57" t="s">
        <v>1287</v>
      </c>
      <c r="BS102" s="57" t="s">
        <v>1287</v>
      </c>
      <c r="BT102" s="57" t="s">
        <v>1287</v>
      </c>
      <c r="BU102" s="57" t="s">
        <v>1287</v>
      </c>
      <c r="BV102" s="70">
        <f t="shared" si="226"/>
        <v>37</v>
      </c>
      <c r="BW102" s="71">
        <f t="shared" si="227"/>
        <v>70</v>
      </c>
      <c r="BX102" s="72">
        <f t="shared" si="228"/>
        <v>74</v>
      </c>
      <c r="BY102" s="71">
        <f t="shared" si="229"/>
        <v>106</v>
      </c>
      <c r="BZ102" s="72">
        <f t="shared" si="230"/>
        <v>110</v>
      </c>
      <c r="CA102" s="71">
        <f t="shared" si="231"/>
        <v>146</v>
      </c>
      <c r="CB102" s="72">
        <f t="shared" si="232"/>
        <v>154</v>
      </c>
      <c r="CC102" s="71">
        <f t="shared" si="233"/>
        <v>199</v>
      </c>
      <c r="CD102" s="72">
        <f t="shared" si="234"/>
        <v>204</v>
      </c>
      <c r="CE102" s="71">
        <f t="shared" si="235"/>
        <v>289</v>
      </c>
      <c r="CF102" s="72">
        <f t="shared" si="236"/>
        <v>321</v>
      </c>
      <c r="CG102" s="71">
        <f t="shared" si="237"/>
        <v>346</v>
      </c>
      <c r="CH102" s="70">
        <f t="shared" si="238"/>
        <v>69</v>
      </c>
      <c r="CI102" s="71">
        <f t="shared" si="239"/>
        <v>73</v>
      </c>
      <c r="CJ102" s="72">
        <f t="shared" si="240"/>
        <v>104</v>
      </c>
      <c r="CK102" s="72">
        <f t="shared" si="241"/>
        <v>109</v>
      </c>
      <c r="CL102" s="72">
        <f t="shared" si="242"/>
        <v>145</v>
      </c>
      <c r="CM102" s="72">
        <f t="shared" si="243"/>
        <v>153</v>
      </c>
      <c r="CN102" s="72">
        <f t="shared" si="244"/>
        <v>180</v>
      </c>
      <c r="CO102" s="72">
        <f t="shared" si="245"/>
        <v>201</v>
      </c>
      <c r="CP102" s="72">
        <f t="shared" si="246"/>
        <v>240</v>
      </c>
      <c r="CQ102" s="72">
        <f t="shared" si="247"/>
        <v>316</v>
      </c>
      <c r="CR102" s="72">
        <f t="shared" si="248"/>
        <v>345</v>
      </c>
      <c r="CS102" s="72">
        <f t="shared" si="249"/>
        <v>358</v>
      </c>
      <c r="CT102" s="23">
        <f t="shared" si="250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503"/>
        <v>adrb1_melga_2YCZ</v>
      </c>
      <c r="B103" s="3" t="s">
        <v>911</v>
      </c>
      <c r="C103" s="3" t="s">
        <v>1027</v>
      </c>
      <c r="D103" s="3" t="str">
        <f>IFERROR(MID(VLOOKUP($B103,Seqs!$A:$B,2,0),E103,1),"")</f>
        <v>A</v>
      </c>
      <c r="E103" s="3">
        <v>33</v>
      </c>
      <c r="F103" s="3" t="str">
        <f>IFERROR(MID(VLOOKUP($B103,Seqs!$A:$B,2,0),G103,1),"")</f>
        <v>T</v>
      </c>
      <c r="G103" s="3">
        <v>69</v>
      </c>
      <c r="H103" s="3" t="str">
        <f>IFERROR(MID(VLOOKUP($B103,Seqs!$A:$B,2,0),I103,1),"")</f>
        <v>Q</v>
      </c>
      <c r="I103" s="23">
        <v>70</v>
      </c>
      <c r="J103" s="3" t="str">
        <f>IFERROR(MID(VLOOKUP($B103,Seqs!$A:$B,2,0),K103,1),"")</f>
        <v>Q</v>
      </c>
      <c r="K103" s="23">
        <v>73</v>
      </c>
      <c r="L103" s="3" t="str">
        <f>IFERROR(MID(VLOOKUP($B103,Seqs!$A:$B,2,0),M103,1),"")</f>
        <v>T</v>
      </c>
      <c r="M103" s="3">
        <v>74</v>
      </c>
      <c r="N103" s="3" t="str">
        <f>IFERROR(MID(VLOOKUP($B103,Seqs!$A:$B,2,0),O103,1),"")</f>
        <v>R</v>
      </c>
      <c r="O103" s="3">
        <v>104</v>
      </c>
      <c r="P103" s="3" t="str">
        <f>IFERROR(MID(VLOOKUP($B103,Seqs!$A:$B,2,0),Q103,1),"")</f>
        <v>T</v>
      </c>
      <c r="Q103" s="3">
        <v>106</v>
      </c>
      <c r="R103" s="3" t="str">
        <f>IFERROR(MID(VLOOKUP($B103,Seqs!$A:$B,2,0),S103,1),"")</f>
        <v>W</v>
      </c>
      <c r="S103" s="3">
        <v>109</v>
      </c>
      <c r="T103" s="3" t="str">
        <f>IFERROR(MID(VLOOKUP($B103,Seqs!$A:$B,2,0),U103,1),"")</f>
        <v>G</v>
      </c>
      <c r="U103" s="3">
        <v>110</v>
      </c>
      <c r="V103" s="3" t="str">
        <f>IFERROR(MID(VLOOKUP($B103,Seqs!$A:$B,2,0),W103,1),"")</f>
        <v>S</v>
      </c>
      <c r="W103" s="3">
        <v>145</v>
      </c>
      <c r="X103" s="3" t="str">
        <f>IFERROR(MID(VLOOKUP($B103,Seqs!$A:$B,2,0),Y103,1),"")</f>
        <v>P</v>
      </c>
      <c r="Y103" s="3">
        <v>146</v>
      </c>
      <c r="Z103" s="3" t="str">
        <f>IFERROR(MID(VLOOKUP($B103,Seqs!$A:$B,2,0),AA103,1),"")</f>
        <v>M</v>
      </c>
      <c r="AA103" s="3">
        <v>153</v>
      </c>
      <c r="AB103" s="3" t="str">
        <f>IFERROR(MID(VLOOKUP($B103,Seqs!$A:$B,2,0),AC103,1),"")</f>
        <v>T</v>
      </c>
      <c r="AC103" s="9">
        <v>154</v>
      </c>
      <c r="AD103" s="3" t="str">
        <f>IFERROR(MID(VLOOKUP($B103,Seqs!$A:$B,2,0),AE103,1),"")</f>
        <v>H</v>
      </c>
      <c r="AE103" s="3">
        <v>180</v>
      </c>
      <c r="AF103" s="3" t="str">
        <f>IFERROR(MID(VLOOKUP($B103,Seqs!$A:$B,2,0),AG103,1),"")</f>
        <v>C</v>
      </c>
      <c r="AG103" s="3">
        <v>199</v>
      </c>
      <c r="AH103" s="3" t="str">
        <f>IFERROR(MID(VLOOKUP($B103,Seqs!$A:$B,2,0),AI103,1),"")</f>
        <v>F</v>
      </c>
      <c r="AI103" s="3">
        <v>201</v>
      </c>
      <c r="AJ103" s="3" t="str">
        <f>IFERROR(MID(VLOOKUP($B103,Seqs!$A:$B,2,0),AK103,1),"")</f>
        <v>N</v>
      </c>
      <c r="AK103" s="3">
        <v>204</v>
      </c>
      <c r="AL103" s="3" t="str">
        <f>IFERROR(MID(VLOOKUP($B103,Seqs!$A:$B,2,0),AM103,1),"")</f>
        <v>K</v>
      </c>
      <c r="AM103" s="3">
        <v>240</v>
      </c>
      <c r="AN103" s="3" t="str">
        <f>IFERROR(MID(VLOOKUP($B103,Seqs!$A:$B,2,0),AO103,1),"")</f>
        <v>A</v>
      </c>
      <c r="AO103" s="3">
        <v>288</v>
      </c>
      <c r="AP103" s="3" t="str">
        <f>IFERROR(MID(VLOOKUP($B103,Seqs!$A:$B,2,0),AQ103,1),"")</f>
        <v>N</v>
      </c>
      <c r="AQ103" s="3">
        <v>316</v>
      </c>
      <c r="AR103" s="3" t="str">
        <f>IFERROR(MID(VLOOKUP($B103,Seqs!$A:$B,2,0),AS103,1),"")</f>
        <v>P</v>
      </c>
      <c r="AS103" s="3">
        <v>321</v>
      </c>
      <c r="AT103" s="3" t="str">
        <f>IFERROR(MID(VLOOKUP($B103,Seqs!$A:$B,2,0),AU103,1),"")</f>
        <v>R</v>
      </c>
      <c r="AU103" s="3">
        <v>345</v>
      </c>
      <c r="AV103" s="3" t="str">
        <f>IFERROR(MID(VLOOKUP($B103,Seqs!$A:$B,2,0),AW103,1),"")</f>
        <v>S</v>
      </c>
      <c r="AW103" s="3">
        <v>346</v>
      </c>
      <c r="AX103" s="3" t="str">
        <f>IFERROR(MID(VLOOKUP($B103,Seqs!$A:$B,2,0),AY103,1),"")</f>
        <v>C</v>
      </c>
      <c r="AY103" s="3">
        <v>358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504"/>
        <v>1</v>
      </c>
      <c r="BC103" s="23">
        <f t="shared" si="225"/>
        <v>254</v>
      </c>
      <c r="BD103" s="16" t="s">
        <v>23</v>
      </c>
      <c r="BE103" s="3" t="s">
        <v>1374</v>
      </c>
      <c r="BF103" s="118">
        <v>3.65</v>
      </c>
      <c r="BG103" s="49" t="s">
        <v>1377</v>
      </c>
      <c r="BH103" s="49" t="s">
        <v>1377</v>
      </c>
      <c r="BI103" s="1"/>
      <c r="BJ103" s="70" t="s">
        <v>1287</v>
      </c>
      <c r="BK103" s="57" t="s">
        <v>1287</v>
      </c>
      <c r="BL103" s="57" t="s">
        <v>1287</v>
      </c>
      <c r="BM103" s="57" t="s">
        <v>1287</v>
      </c>
      <c r="BN103" s="57" t="s">
        <v>1287</v>
      </c>
      <c r="BO103" s="57" t="s">
        <v>1287</v>
      </c>
      <c r="BP103" s="57" t="s">
        <v>1287</v>
      </c>
      <c r="BQ103" s="57" t="s">
        <v>1287</v>
      </c>
      <c r="BR103" s="57" t="s">
        <v>1287</v>
      </c>
      <c r="BS103" s="57" t="s">
        <v>1287</v>
      </c>
      <c r="BT103" s="57" t="s">
        <v>1287</v>
      </c>
      <c r="BU103" s="57" t="s">
        <v>1287</v>
      </c>
      <c r="BV103" s="70">
        <f t="shared" si="226"/>
        <v>33</v>
      </c>
      <c r="BW103" s="71">
        <f t="shared" si="227"/>
        <v>70</v>
      </c>
      <c r="BX103" s="72">
        <f t="shared" si="228"/>
        <v>74</v>
      </c>
      <c r="BY103" s="71">
        <f t="shared" si="229"/>
        <v>106</v>
      </c>
      <c r="BZ103" s="72">
        <f t="shared" si="230"/>
        <v>110</v>
      </c>
      <c r="CA103" s="71">
        <f t="shared" si="231"/>
        <v>146</v>
      </c>
      <c r="CB103" s="72">
        <f t="shared" si="232"/>
        <v>154</v>
      </c>
      <c r="CC103" s="71">
        <f t="shared" si="233"/>
        <v>199</v>
      </c>
      <c r="CD103" s="72">
        <f t="shared" si="234"/>
        <v>204</v>
      </c>
      <c r="CE103" s="71">
        <f t="shared" si="235"/>
        <v>288</v>
      </c>
      <c r="CF103" s="72">
        <f t="shared" si="236"/>
        <v>321</v>
      </c>
      <c r="CG103" s="71">
        <f t="shared" si="237"/>
        <v>346</v>
      </c>
      <c r="CH103" s="70">
        <f t="shared" si="238"/>
        <v>69</v>
      </c>
      <c r="CI103" s="71">
        <f t="shared" si="239"/>
        <v>73</v>
      </c>
      <c r="CJ103" s="72">
        <f t="shared" si="240"/>
        <v>104</v>
      </c>
      <c r="CK103" s="72">
        <f t="shared" si="241"/>
        <v>109</v>
      </c>
      <c r="CL103" s="72">
        <f t="shared" si="242"/>
        <v>145</v>
      </c>
      <c r="CM103" s="72">
        <f t="shared" si="243"/>
        <v>153</v>
      </c>
      <c r="CN103" s="72">
        <f t="shared" si="244"/>
        <v>180</v>
      </c>
      <c r="CO103" s="72">
        <f t="shared" si="245"/>
        <v>201</v>
      </c>
      <c r="CP103" s="72">
        <f t="shared" si="246"/>
        <v>240</v>
      </c>
      <c r="CQ103" s="72">
        <f t="shared" si="247"/>
        <v>316</v>
      </c>
      <c r="CR103" s="72">
        <f t="shared" si="248"/>
        <v>345</v>
      </c>
      <c r="CS103" s="72">
        <f t="shared" si="249"/>
        <v>358</v>
      </c>
      <c r="CT103" s="23">
        <f t="shared" si="25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503"/>
        <v>adrb1_melga_3ZPQ</v>
      </c>
      <c r="B104" s="3" t="s">
        <v>911</v>
      </c>
      <c r="C104" s="3" t="s">
        <v>1037</v>
      </c>
      <c r="D104" s="3" t="str">
        <f>IFERROR(MID(VLOOKUP($B104,Seqs!$A:$B,2,0),E104,1),"")</f>
        <v>A</v>
      </c>
      <c r="E104" s="3">
        <v>33</v>
      </c>
      <c r="F104" s="3" t="str">
        <f>IFERROR(MID(VLOOKUP($B104,Seqs!$A:$B,2,0),G104,1),"")</f>
        <v>T</v>
      </c>
      <c r="G104" s="3">
        <v>69</v>
      </c>
      <c r="H104" s="3" t="str">
        <f>IFERROR(MID(VLOOKUP($B104,Seqs!$A:$B,2,0),I104,1),"")</f>
        <v>Q</v>
      </c>
      <c r="I104" s="23">
        <v>70</v>
      </c>
      <c r="J104" s="3" t="str">
        <f>IFERROR(MID(VLOOKUP($B104,Seqs!$A:$B,2,0),K104,1),"")</f>
        <v>Q</v>
      </c>
      <c r="K104" s="23">
        <v>73</v>
      </c>
      <c r="L104" s="3" t="str">
        <f>IFERROR(MID(VLOOKUP($B104,Seqs!$A:$B,2,0),M104,1),"")</f>
        <v>T</v>
      </c>
      <c r="M104" s="3">
        <v>74</v>
      </c>
      <c r="N104" s="3" t="str">
        <f>IFERROR(MID(VLOOKUP($B104,Seqs!$A:$B,2,0),O104,1),"")</f>
        <v>R</v>
      </c>
      <c r="O104" s="3">
        <v>104</v>
      </c>
      <c r="P104" s="3" t="str">
        <f>IFERROR(MID(VLOOKUP($B104,Seqs!$A:$B,2,0),Q104,1),"")</f>
        <v>T</v>
      </c>
      <c r="Q104" s="3">
        <v>106</v>
      </c>
      <c r="R104" s="3" t="str">
        <f>IFERROR(MID(VLOOKUP($B104,Seqs!$A:$B,2,0),S104,1),"")</f>
        <v>W</v>
      </c>
      <c r="S104" s="3">
        <v>109</v>
      </c>
      <c r="T104" s="3" t="str">
        <f>IFERROR(MID(VLOOKUP($B104,Seqs!$A:$B,2,0),U104,1),"")</f>
        <v>G</v>
      </c>
      <c r="U104" s="3">
        <v>110</v>
      </c>
      <c r="V104" s="3" t="str">
        <f>IFERROR(MID(VLOOKUP($B104,Seqs!$A:$B,2,0),W104,1),"")</f>
        <v>S</v>
      </c>
      <c r="W104" s="3">
        <v>145</v>
      </c>
      <c r="X104" s="3" t="str">
        <f>IFERROR(MID(VLOOKUP($B104,Seqs!$A:$B,2,0),Y104,1),"")</f>
        <v>P</v>
      </c>
      <c r="Y104" s="3">
        <v>146</v>
      </c>
      <c r="Z104" s="3" t="str">
        <f>IFERROR(MID(VLOOKUP($B104,Seqs!$A:$B,2,0),AA104,1),"")</f>
        <v>M</v>
      </c>
      <c r="AA104" s="3">
        <v>153</v>
      </c>
      <c r="AB104" s="3" t="str">
        <f>IFERROR(MID(VLOOKUP($B104,Seqs!$A:$B,2,0),AC104,1),"")</f>
        <v>T</v>
      </c>
      <c r="AC104" s="9">
        <v>154</v>
      </c>
      <c r="AD104" s="3" t="str">
        <f>IFERROR(MID(VLOOKUP($B104,Seqs!$A:$B,2,0),AE104,1),"")</f>
        <v>H</v>
      </c>
      <c r="AE104" s="3">
        <v>180</v>
      </c>
      <c r="AF104" s="3" t="str">
        <f>IFERROR(MID(VLOOKUP($B104,Seqs!$A:$B,2,0),AG104,1),"")</f>
        <v>C</v>
      </c>
      <c r="AG104" s="3">
        <v>199</v>
      </c>
      <c r="AH104" s="3" t="str">
        <f>IFERROR(MID(VLOOKUP($B104,Seqs!$A:$B,2,0),AI104,1),"")</f>
        <v>F</v>
      </c>
      <c r="AI104" s="3">
        <v>201</v>
      </c>
      <c r="AJ104" s="3" t="str">
        <f>IFERROR(MID(VLOOKUP($B104,Seqs!$A:$B,2,0),AK104,1),"")</f>
        <v>N</v>
      </c>
      <c r="AK104" s="3">
        <v>204</v>
      </c>
      <c r="AL104" s="3" t="str">
        <f>IFERROR(MID(VLOOKUP($B104,Seqs!$A:$B,2,0),AM104,1),"")</f>
        <v>I</v>
      </c>
      <c r="AM104" s="3">
        <v>238</v>
      </c>
      <c r="AN104" s="3" t="str">
        <f>IFERROR(MID(VLOOKUP($B104,Seqs!$A:$B,2,0),AO104,1),"")</f>
        <v>R</v>
      </c>
      <c r="AO104" s="3">
        <v>275</v>
      </c>
      <c r="AP104" s="3" t="str">
        <f>IFERROR(MID(VLOOKUP($B104,Seqs!$A:$B,2,0),AQ104,1),"")</f>
        <v>N</v>
      </c>
      <c r="AQ104" s="3">
        <v>316</v>
      </c>
      <c r="AR104" s="3" t="str">
        <f>IFERROR(MID(VLOOKUP($B104,Seqs!$A:$B,2,0),AS104,1),"")</f>
        <v>P</v>
      </c>
      <c r="AS104" s="3">
        <v>321</v>
      </c>
      <c r="AT104" s="3" t="str">
        <f>IFERROR(MID(VLOOKUP($B104,Seqs!$A:$B,2,0),AU104,1),"")</f>
        <v>R</v>
      </c>
      <c r="AU104" s="3">
        <v>345</v>
      </c>
      <c r="AV104" s="3" t="str">
        <f>IFERROR(MID(VLOOKUP($B104,Seqs!$A:$B,2,0),AW104,1),"")</f>
        <v>S</v>
      </c>
      <c r="AW104" s="3">
        <v>346</v>
      </c>
      <c r="AX104" s="3" t="str">
        <f>IFERROR(MID(VLOOKUP($B104,Seqs!$A:$B,2,0),AY104,1),"")</f>
        <v>C</v>
      </c>
      <c r="AY104" s="3">
        <v>358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504"/>
        <v>1</v>
      </c>
      <c r="BC104" s="23">
        <f t="shared" si="225"/>
        <v>265</v>
      </c>
      <c r="BD104" s="4" t="s">
        <v>23</v>
      </c>
      <c r="BE104" s="3" t="s">
        <v>1374</v>
      </c>
      <c r="BF104" s="118">
        <v>2.8</v>
      </c>
      <c r="BG104" s="49" t="s">
        <v>1377</v>
      </c>
      <c r="BH104" s="49" t="s">
        <v>1377</v>
      </c>
      <c r="BI104" s="1"/>
      <c r="BJ104" s="70" t="s">
        <v>1287</v>
      </c>
      <c r="BK104" s="57" t="s">
        <v>1287</v>
      </c>
      <c r="BL104" s="57" t="s">
        <v>1287</v>
      </c>
      <c r="BM104" s="57" t="s">
        <v>1287</v>
      </c>
      <c r="BN104" s="57" t="s">
        <v>1287</v>
      </c>
      <c r="BO104" s="57" t="s">
        <v>1287</v>
      </c>
      <c r="BP104" s="57" t="s">
        <v>1287</v>
      </c>
      <c r="BQ104" s="57" t="s">
        <v>1287</v>
      </c>
      <c r="BR104" s="57" t="s">
        <v>1287</v>
      </c>
      <c r="BS104" s="57" t="s">
        <v>1287</v>
      </c>
      <c r="BT104" s="57" t="s">
        <v>1287</v>
      </c>
      <c r="BU104" s="57" t="s">
        <v>1287</v>
      </c>
      <c r="BV104" s="70">
        <f t="shared" si="226"/>
        <v>33</v>
      </c>
      <c r="BW104" s="71">
        <f t="shared" si="227"/>
        <v>70</v>
      </c>
      <c r="BX104" s="72">
        <f t="shared" si="228"/>
        <v>74</v>
      </c>
      <c r="BY104" s="71">
        <f t="shared" si="229"/>
        <v>106</v>
      </c>
      <c r="BZ104" s="72">
        <f t="shared" si="230"/>
        <v>110</v>
      </c>
      <c r="CA104" s="71">
        <f t="shared" si="231"/>
        <v>146</v>
      </c>
      <c r="CB104" s="72">
        <f t="shared" si="232"/>
        <v>154</v>
      </c>
      <c r="CC104" s="71">
        <f t="shared" si="233"/>
        <v>199</v>
      </c>
      <c r="CD104" s="72">
        <f t="shared" si="234"/>
        <v>204</v>
      </c>
      <c r="CE104" s="71">
        <f t="shared" si="235"/>
        <v>275</v>
      </c>
      <c r="CF104" s="72">
        <f t="shared" si="236"/>
        <v>321</v>
      </c>
      <c r="CG104" s="71">
        <f t="shared" si="237"/>
        <v>346</v>
      </c>
      <c r="CH104" s="70">
        <f t="shared" si="238"/>
        <v>69</v>
      </c>
      <c r="CI104" s="71">
        <f t="shared" si="239"/>
        <v>73</v>
      </c>
      <c r="CJ104" s="72">
        <f t="shared" si="240"/>
        <v>104</v>
      </c>
      <c r="CK104" s="72">
        <f t="shared" si="241"/>
        <v>109</v>
      </c>
      <c r="CL104" s="72">
        <f t="shared" si="242"/>
        <v>145</v>
      </c>
      <c r="CM104" s="72">
        <f t="shared" si="243"/>
        <v>153</v>
      </c>
      <c r="CN104" s="72">
        <f t="shared" si="244"/>
        <v>180</v>
      </c>
      <c r="CO104" s="72">
        <f t="shared" si="245"/>
        <v>201</v>
      </c>
      <c r="CP104" s="72">
        <f t="shared" si="246"/>
        <v>238</v>
      </c>
      <c r="CQ104" s="72">
        <f t="shared" si="247"/>
        <v>316</v>
      </c>
      <c r="CR104" s="72">
        <f t="shared" si="248"/>
        <v>345</v>
      </c>
      <c r="CS104" s="72">
        <f t="shared" si="249"/>
        <v>358</v>
      </c>
      <c r="CT104" s="23">
        <f t="shared" si="25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503"/>
        <v>adrb1_melga_3ZPR</v>
      </c>
      <c r="B105" s="3" t="s">
        <v>911</v>
      </c>
      <c r="C105" s="3" t="s">
        <v>1038</v>
      </c>
      <c r="D105" s="3" t="str">
        <f>IFERROR(MID(VLOOKUP($B105,Seqs!$A:$B,2,0),E105,1),"")</f>
        <v>A</v>
      </c>
      <c r="E105" s="3">
        <v>33</v>
      </c>
      <c r="F105" s="3" t="str">
        <f>IFERROR(MID(VLOOKUP($B105,Seqs!$A:$B,2,0),G105,1),"")</f>
        <v>T</v>
      </c>
      <c r="G105" s="3">
        <v>69</v>
      </c>
      <c r="H105" s="3" t="str">
        <f>IFERROR(MID(VLOOKUP($B105,Seqs!$A:$B,2,0),I105,1),"")</f>
        <v>Q</v>
      </c>
      <c r="I105" s="23">
        <v>70</v>
      </c>
      <c r="J105" s="3" t="str">
        <f>IFERROR(MID(VLOOKUP($B105,Seqs!$A:$B,2,0),K105,1),"")</f>
        <v>Q</v>
      </c>
      <c r="K105" s="23">
        <v>73</v>
      </c>
      <c r="L105" s="3" t="str">
        <f>IFERROR(MID(VLOOKUP($B105,Seqs!$A:$B,2,0),M105,1),"")</f>
        <v>T</v>
      </c>
      <c r="M105" s="3">
        <v>74</v>
      </c>
      <c r="N105" s="3" t="str">
        <f>IFERROR(MID(VLOOKUP($B105,Seqs!$A:$B,2,0),O105,1),"")</f>
        <v>R</v>
      </c>
      <c r="O105" s="3">
        <v>104</v>
      </c>
      <c r="P105" s="3" t="str">
        <f>IFERROR(MID(VLOOKUP($B105,Seqs!$A:$B,2,0),Q105,1),"")</f>
        <v>T</v>
      </c>
      <c r="Q105" s="3">
        <v>106</v>
      </c>
      <c r="R105" s="3" t="str">
        <f>IFERROR(MID(VLOOKUP($B105,Seqs!$A:$B,2,0),S105,1),"")</f>
        <v>W</v>
      </c>
      <c r="S105" s="3">
        <v>109</v>
      </c>
      <c r="T105" s="3" t="str">
        <f>IFERROR(MID(VLOOKUP($B105,Seqs!$A:$B,2,0),U105,1),"")</f>
        <v>G</v>
      </c>
      <c r="U105" s="3">
        <v>110</v>
      </c>
      <c r="V105" s="3" t="str">
        <f>IFERROR(MID(VLOOKUP($B105,Seqs!$A:$B,2,0),W105,1),"")</f>
        <v>S</v>
      </c>
      <c r="W105" s="3">
        <v>145</v>
      </c>
      <c r="X105" s="3" t="str">
        <f>IFERROR(MID(VLOOKUP($B105,Seqs!$A:$B,2,0),Y105,1),"")</f>
        <v>P</v>
      </c>
      <c r="Y105" s="3">
        <v>146</v>
      </c>
      <c r="Z105" s="3" t="str">
        <f>IFERROR(MID(VLOOKUP($B105,Seqs!$A:$B,2,0),AA105,1),"")</f>
        <v>M</v>
      </c>
      <c r="AA105" s="3">
        <v>153</v>
      </c>
      <c r="AB105" s="3" t="str">
        <f>IFERROR(MID(VLOOKUP($B105,Seqs!$A:$B,2,0),AC105,1),"")</f>
        <v>T</v>
      </c>
      <c r="AC105" s="9">
        <v>154</v>
      </c>
      <c r="AD105" s="3" t="str">
        <f>IFERROR(MID(VLOOKUP($B105,Seqs!$A:$B,2,0),AE105,1),"")</f>
        <v>H</v>
      </c>
      <c r="AE105" s="3">
        <v>180</v>
      </c>
      <c r="AF105" s="3" t="str">
        <f>IFERROR(MID(VLOOKUP($B105,Seqs!$A:$B,2,0),AG105,1),"")</f>
        <v>C</v>
      </c>
      <c r="AG105" s="3">
        <v>199</v>
      </c>
      <c r="AH105" s="3" t="str">
        <f>IFERROR(MID(VLOOKUP($B105,Seqs!$A:$B,2,0),AI105,1),"")</f>
        <v>F</v>
      </c>
      <c r="AI105" s="3">
        <v>201</v>
      </c>
      <c r="AJ105" s="3" t="str">
        <f>IFERROR(MID(VLOOKUP($B105,Seqs!$A:$B,2,0),AK105,1),"")</f>
        <v>N</v>
      </c>
      <c r="AK105" s="3">
        <v>204</v>
      </c>
      <c r="AL105" s="3" t="str">
        <f>IFERROR(MID(VLOOKUP($B105,Seqs!$A:$B,2,0),AM105,1),"")</f>
        <v>I</v>
      </c>
      <c r="AM105" s="3">
        <v>238</v>
      </c>
      <c r="AN105" s="3" t="str">
        <f>IFERROR(MID(VLOOKUP($B105,Seqs!$A:$B,2,0),AO105,1),"")</f>
        <v>R</v>
      </c>
      <c r="AO105" s="3">
        <v>275</v>
      </c>
      <c r="AP105" s="3" t="str">
        <f>IFERROR(MID(VLOOKUP($B105,Seqs!$A:$B,2,0),AQ105,1),"")</f>
        <v>N</v>
      </c>
      <c r="AQ105" s="3">
        <v>316</v>
      </c>
      <c r="AR105" s="3" t="str">
        <f>IFERROR(MID(VLOOKUP($B105,Seqs!$A:$B,2,0),AS105,1),"")</f>
        <v>P</v>
      </c>
      <c r="AS105" s="3">
        <v>321</v>
      </c>
      <c r="AT105" s="3" t="str">
        <f>IFERROR(MID(VLOOKUP($B105,Seqs!$A:$B,2,0),AU105,1),"")</f>
        <v>R</v>
      </c>
      <c r="AU105" s="3">
        <v>345</v>
      </c>
      <c r="AV105" s="3" t="str">
        <f>IFERROR(MID(VLOOKUP($B105,Seqs!$A:$B,2,0),AW105,1),"")</f>
        <v>S</v>
      </c>
      <c r="AW105" s="3">
        <v>346</v>
      </c>
      <c r="AX105" s="3" t="str">
        <f>IFERROR(MID(VLOOKUP($B105,Seqs!$A:$B,2,0),AY105,1),"")</f>
        <v>C</v>
      </c>
      <c r="AY105" s="3">
        <v>358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504"/>
        <v>1</v>
      </c>
      <c r="BC105" s="23">
        <f t="shared" si="225"/>
        <v>265</v>
      </c>
      <c r="BD105" s="4" t="s">
        <v>23</v>
      </c>
      <c r="BE105" s="3" t="s">
        <v>1374</v>
      </c>
      <c r="BF105" s="118">
        <v>2.7</v>
      </c>
      <c r="BG105" s="49" t="s">
        <v>1377</v>
      </c>
      <c r="BH105" s="49" t="s">
        <v>1377</v>
      </c>
      <c r="BI105" s="1"/>
      <c r="BJ105" s="70" t="s">
        <v>1287</v>
      </c>
      <c r="BK105" s="57" t="s">
        <v>1287</v>
      </c>
      <c r="BL105" s="57" t="s">
        <v>1287</v>
      </c>
      <c r="BM105" s="57" t="s">
        <v>1287</v>
      </c>
      <c r="BN105" s="57" t="s">
        <v>1287</v>
      </c>
      <c r="BO105" s="57" t="s">
        <v>1287</v>
      </c>
      <c r="BP105" s="57" t="s">
        <v>1287</v>
      </c>
      <c r="BQ105" s="57" t="s">
        <v>1287</v>
      </c>
      <c r="BR105" s="57" t="s">
        <v>1287</v>
      </c>
      <c r="BS105" s="57" t="s">
        <v>1287</v>
      </c>
      <c r="BT105" s="57" t="s">
        <v>1287</v>
      </c>
      <c r="BU105" s="57" t="s">
        <v>1287</v>
      </c>
      <c r="BV105" s="70">
        <f t="shared" si="226"/>
        <v>33</v>
      </c>
      <c r="BW105" s="71">
        <f t="shared" si="227"/>
        <v>70</v>
      </c>
      <c r="BX105" s="72">
        <f t="shared" si="228"/>
        <v>74</v>
      </c>
      <c r="BY105" s="71">
        <f t="shared" si="229"/>
        <v>106</v>
      </c>
      <c r="BZ105" s="72">
        <f t="shared" si="230"/>
        <v>110</v>
      </c>
      <c r="CA105" s="71">
        <f t="shared" si="231"/>
        <v>146</v>
      </c>
      <c r="CB105" s="72">
        <f t="shared" si="232"/>
        <v>154</v>
      </c>
      <c r="CC105" s="71">
        <f t="shared" si="233"/>
        <v>199</v>
      </c>
      <c r="CD105" s="72">
        <f t="shared" si="234"/>
        <v>204</v>
      </c>
      <c r="CE105" s="71">
        <f t="shared" si="235"/>
        <v>275</v>
      </c>
      <c r="CF105" s="72">
        <f t="shared" si="236"/>
        <v>321</v>
      </c>
      <c r="CG105" s="71">
        <f t="shared" si="237"/>
        <v>346</v>
      </c>
      <c r="CH105" s="70">
        <f t="shared" si="238"/>
        <v>69</v>
      </c>
      <c r="CI105" s="71">
        <f t="shared" si="239"/>
        <v>73</v>
      </c>
      <c r="CJ105" s="72">
        <f t="shared" si="240"/>
        <v>104</v>
      </c>
      <c r="CK105" s="72">
        <f t="shared" si="241"/>
        <v>109</v>
      </c>
      <c r="CL105" s="72">
        <f t="shared" si="242"/>
        <v>145</v>
      </c>
      <c r="CM105" s="72">
        <f t="shared" si="243"/>
        <v>153</v>
      </c>
      <c r="CN105" s="72">
        <f t="shared" si="244"/>
        <v>180</v>
      </c>
      <c r="CO105" s="72">
        <f t="shared" si="245"/>
        <v>201</v>
      </c>
      <c r="CP105" s="72">
        <f t="shared" si="246"/>
        <v>238</v>
      </c>
      <c r="CQ105" s="72">
        <f t="shared" si="247"/>
        <v>316</v>
      </c>
      <c r="CR105" s="72">
        <f t="shared" si="248"/>
        <v>345</v>
      </c>
      <c r="CS105" s="72">
        <f t="shared" si="249"/>
        <v>358</v>
      </c>
      <c r="CT105" s="23">
        <f t="shared" si="25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503"/>
        <v>adrb1_melga_4AMI</v>
      </c>
      <c r="B106" s="3" t="s">
        <v>911</v>
      </c>
      <c r="C106" s="3" t="s">
        <v>1039</v>
      </c>
      <c r="D106" s="3" t="str">
        <f>IFERROR(MID(VLOOKUP($B106,Seqs!$A:$B,2,0),E106,1),"")</f>
        <v>A</v>
      </c>
      <c r="E106" s="3">
        <v>33</v>
      </c>
      <c r="F106" s="3" t="str">
        <f>IFERROR(MID(VLOOKUP($B106,Seqs!$A:$B,2,0),G106,1),"")</f>
        <v>T</v>
      </c>
      <c r="G106" s="3">
        <v>69</v>
      </c>
      <c r="H106" s="3" t="str">
        <f>IFERROR(MID(VLOOKUP($B106,Seqs!$A:$B,2,0),I106,1),"")</f>
        <v>Q</v>
      </c>
      <c r="I106" s="23">
        <v>70</v>
      </c>
      <c r="J106" s="3" t="str">
        <f>IFERROR(MID(VLOOKUP($B106,Seqs!$A:$B,2,0),K106,1),"")</f>
        <v>Q</v>
      </c>
      <c r="K106" s="23">
        <v>73</v>
      </c>
      <c r="L106" s="3" t="str">
        <f>IFERROR(MID(VLOOKUP($B106,Seqs!$A:$B,2,0),M106,1),"")</f>
        <v>T</v>
      </c>
      <c r="M106" s="3">
        <v>74</v>
      </c>
      <c r="N106" s="3" t="str">
        <f>IFERROR(MID(VLOOKUP($B106,Seqs!$A:$B,2,0),O106,1),"")</f>
        <v>R</v>
      </c>
      <c r="O106" s="3">
        <v>104</v>
      </c>
      <c r="P106" s="3" t="str">
        <f>IFERROR(MID(VLOOKUP($B106,Seqs!$A:$B,2,0),Q106,1),"")</f>
        <v>T</v>
      </c>
      <c r="Q106" s="3">
        <v>106</v>
      </c>
      <c r="R106" s="3" t="str">
        <f>IFERROR(MID(VLOOKUP($B106,Seqs!$A:$B,2,0),S106,1),"")</f>
        <v>W</v>
      </c>
      <c r="S106" s="3">
        <v>109</v>
      </c>
      <c r="T106" s="3" t="str">
        <f>IFERROR(MID(VLOOKUP($B106,Seqs!$A:$B,2,0),U106,1),"")</f>
        <v>G</v>
      </c>
      <c r="U106" s="3">
        <v>110</v>
      </c>
      <c r="V106" s="3" t="str">
        <f>IFERROR(MID(VLOOKUP($B106,Seqs!$A:$B,2,0),W106,1),"")</f>
        <v>S</v>
      </c>
      <c r="W106" s="3">
        <v>145</v>
      </c>
      <c r="X106" s="3" t="str">
        <f>IFERROR(MID(VLOOKUP($B106,Seqs!$A:$B,2,0),Y106,1),"")</f>
        <v>P</v>
      </c>
      <c r="Y106" s="3">
        <v>146</v>
      </c>
      <c r="Z106" s="3" t="str">
        <f>IFERROR(MID(VLOOKUP($B106,Seqs!$A:$B,2,0),AA106,1),"")</f>
        <v>M</v>
      </c>
      <c r="AA106" s="3">
        <v>153</v>
      </c>
      <c r="AB106" s="3" t="str">
        <f>IFERROR(MID(VLOOKUP($B106,Seqs!$A:$B,2,0),AC106,1),"")</f>
        <v>T</v>
      </c>
      <c r="AC106" s="9">
        <v>154</v>
      </c>
      <c r="AD106" s="3" t="str">
        <f>IFERROR(MID(VLOOKUP($B106,Seqs!$A:$B,2,0),AE106,1),"")</f>
        <v>H</v>
      </c>
      <c r="AE106" s="3">
        <v>180</v>
      </c>
      <c r="AF106" s="3" t="str">
        <f>IFERROR(MID(VLOOKUP($B106,Seqs!$A:$B,2,0),AG106,1),"")</f>
        <v>C</v>
      </c>
      <c r="AG106" s="3">
        <v>199</v>
      </c>
      <c r="AH106" s="3" t="str">
        <f>IFERROR(MID(VLOOKUP($B106,Seqs!$A:$B,2,0),AI106,1),"")</f>
        <v>F</v>
      </c>
      <c r="AI106" s="3">
        <v>201</v>
      </c>
      <c r="AJ106" s="3" t="str">
        <f>IFERROR(MID(VLOOKUP($B106,Seqs!$A:$B,2,0),AK106,1),"")</f>
        <v>N</v>
      </c>
      <c r="AK106" s="3">
        <v>204</v>
      </c>
      <c r="AL106" s="3" t="str">
        <f>IFERROR(MID(VLOOKUP($B106,Seqs!$A:$B,2,0),AM106,1),"")</f>
        <v>E</v>
      </c>
      <c r="AM106" s="3">
        <v>236</v>
      </c>
      <c r="AN106" s="3" t="str">
        <f>IFERROR(MID(VLOOKUP($B106,Seqs!$A:$B,2,0),AO106,1),"")</f>
        <v>A</v>
      </c>
      <c r="AO106" s="3">
        <v>288</v>
      </c>
      <c r="AP106" s="3" t="str">
        <f>IFERROR(MID(VLOOKUP($B106,Seqs!$A:$B,2,0),AQ106,1),"")</f>
        <v>N</v>
      </c>
      <c r="AQ106" s="3">
        <v>316</v>
      </c>
      <c r="AR106" s="3" t="str">
        <f>IFERROR(MID(VLOOKUP($B106,Seqs!$A:$B,2,0),AS106,1),"")</f>
        <v>P</v>
      </c>
      <c r="AS106" s="3">
        <v>321</v>
      </c>
      <c r="AT106" s="3" t="str">
        <f>IFERROR(MID(VLOOKUP($B106,Seqs!$A:$B,2,0),AU106,1),"")</f>
        <v>R</v>
      </c>
      <c r="AU106" s="3">
        <v>345</v>
      </c>
      <c r="AV106" s="3" t="str">
        <f>IFERROR(MID(VLOOKUP($B106,Seqs!$A:$B,2,0),AW106,1),"")</f>
        <v>S</v>
      </c>
      <c r="AW106" s="3">
        <v>346</v>
      </c>
      <c r="AX106" s="3" t="str">
        <f>IFERROR(MID(VLOOKUP($B106,Seqs!$A:$B,2,0),AY106,1),"")</f>
        <v>C</v>
      </c>
      <c r="AY106" s="3">
        <v>358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504"/>
        <v>1</v>
      </c>
      <c r="BC106" s="23">
        <f t="shared" si="225"/>
        <v>250</v>
      </c>
      <c r="BD106" s="4" t="s">
        <v>23</v>
      </c>
      <c r="BE106" s="3" t="s">
        <v>1374</v>
      </c>
      <c r="BF106" s="118">
        <v>3.2</v>
      </c>
      <c r="BG106" s="49" t="s">
        <v>1377</v>
      </c>
      <c r="BH106" s="49" t="s">
        <v>1377</v>
      </c>
      <c r="BI106" s="1"/>
      <c r="BJ106" s="70" t="s">
        <v>1287</v>
      </c>
      <c r="BK106" s="57" t="s">
        <v>1287</v>
      </c>
      <c r="BL106" s="57" t="s">
        <v>1287</v>
      </c>
      <c r="BM106" s="57" t="s">
        <v>1287</v>
      </c>
      <c r="BN106" s="57" t="s">
        <v>1287</v>
      </c>
      <c r="BO106" s="57" t="s">
        <v>1287</v>
      </c>
      <c r="BP106" s="57" t="s">
        <v>1287</v>
      </c>
      <c r="BQ106" s="57" t="s">
        <v>1287</v>
      </c>
      <c r="BR106" s="57" t="s">
        <v>1287</v>
      </c>
      <c r="BS106" s="57" t="s">
        <v>1287</v>
      </c>
      <c r="BT106" s="57" t="s">
        <v>1287</v>
      </c>
      <c r="BU106" s="57" t="s">
        <v>1287</v>
      </c>
      <c r="BV106" s="70">
        <f t="shared" si="226"/>
        <v>33</v>
      </c>
      <c r="BW106" s="71">
        <f t="shared" si="227"/>
        <v>70</v>
      </c>
      <c r="BX106" s="72">
        <f t="shared" si="228"/>
        <v>74</v>
      </c>
      <c r="BY106" s="71">
        <f t="shared" si="229"/>
        <v>106</v>
      </c>
      <c r="BZ106" s="72">
        <f t="shared" si="230"/>
        <v>110</v>
      </c>
      <c r="CA106" s="71">
        <f t="shared" si="231"/>
        <v>146</v>
      </c>
      <c r="CB106" s="72">
        <f t="shared" si="232"/>
        <v>154</v>
      </c>
      <c r="CC106" s="71">
        <f t="shared" si="233"/>
        <v>199</v>
      </c>
      <c r="CD106" s="72">
        <f t="shared" si="234"/>
        <v>204</v>
      </c>
      <c r="CE106" s="71">
        <f t="shared" si="235"/>
        <v>288</v>
      </c>
      <c r="CF106" s="72">
        <f t="shared" si="236"/>
        <v>321</v>
      </c>
      <c r="CG106" s="71">
        <f t="shared" si="237"/>
        <v>346</v>
      </c>
      <c r="CH106" s="70">
        <f t="shared" si="238"/>
        <v>69</v>
      </c>
      <c r="CI106" s="71">
        <f t="shared" si="239"/>
        <v>73</v>
      </c>
      <c r="CJ106" s="72">
        <f t="shared" si="240"/>
        <v>104</v>
      </c>
      <c r="CK106" s="72">
        <f t="shared" si="241"/>
        <v>109</v>
      </c>
      <c r="CL106" s="72">
        <f t="shared" si="242"/>
        <v>145</v>
      </c>
      <c r="CM106" s="72">
        <f t="shared" si="243"/>
        <v>153</v>
      </c>
      <c r="CN106" s="72">
        <f t="shared" si="244"/>
        <v>180</v>
      </c>
      <c r="CO106" s="72">
        <f t="shared" si="245"/>
        <v>201</v>
      </c>
      <c r="CP106" s="72">
        <f t="shared" si="246"/>
        <v>236</v>
      </c>
      <c r="CQ106" s="72">
        <f t="shared" si="247"/>
        <v>316</v>
      </c>
      <c r="CR106" s="72">
        <f t="shared" si="248"/>
        <v>345</v>
      </c>
      <c r="CS106" s="72">
        <f t="shared" si="249"/>
        <v>358</v>
      </c>
      <c r="CT106" s="23">
        <f t="shared" si="250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503"/>
        <v>adrb1_melga_4AMJ</v>
      </c>
      <c r="B107" s="3" t="s">
        <v>911</v>
      </c>
      <c r="C107" s="3" t="s">
        <v>1040</v>
      </c>
      <c r="D107" s="3" t="str">
        <f>IFERROR(MID(VLOOKUP($B107,Seqs!$A:$B,2,0),E107,1),"")</f>
        <v>A</v>
      </c>
      <c r="E107" s="3">
        <v>33</v>
      </c>
      <c r="F107" s="3" t="str">
        <f>IFERROR(MID(VLOOKUP($B107,Seqs!$A:$B,2,0),G107,1),"")</f>
        <v>T</v>
      </c>
      <c r="G107" s="3">
        <v>69</v>
      </c>
      <c r="H107" s="3" t="str">
        <f>IFERROR(MID(VLOOKUP($B107,Seqs!$A:$B,2,0),I107,1),"")</f>
        <v>Q</v>
      </c>
      <c r="I107" s="23">
        <v>70</v>
      </c>
      <c r="J107" s="3" t="str">
        <f>IFERROR(MID(VLOOKUP($B107,Seqs!$A:$B,2,0),K107,1),"")</f>
        <v>Q</v>
      </c>
      <c r="K107" s="23">
        <v>73</v>
      </c>
      <c r="L107" s="3" t="str">
        <f>IFERROR(MID(VLOOKUP($B107,Seqs!$A:$B,2,0),M107,1),"")</f>
        <v>T</v>
      </c>
      <c r="M107" s="3">
        <v>74</v>
      </c>
      <c r="N107" s="3" t="str">
        <f>IFERROR(MID(VLOOKUP($B107,Seqs!$A:$B,2,0),O107,1),"")</f>
        <v>R</v>
      </c>
      <c r="O107" s="3">
        <v>104</v>
      </c>
      <c r="P107" s="3" t="str">
        <f>IFERROR(MID(VLOOKUP($B107,Seqs!$A:$B,2,0),Q107,1),"")</f>
        <v>T</v>
      </c>
      <c r="Q107" s="3">
        <v>106</v>
      </c>
      <c r="R107" s="3" t="str">
        <f>IFERROR(MID(VLOOKUP($B107,Seqs!$A:$B,2,0),S107,1),"")</f>
        <v>W</v>
      </c>
      <c r="S107" s="3">
        <v>109</v>
      </c>
      <c r="T107" s="3" t="str">
        <f>IFERROR(MID(VLOOKUP($B107,Seqs!$A:$B,2,0),U107,1),"")</f>
        <v>G</v>
      </c>
      <c r="U107" s="3">
        <v>110</v>
      </c>
      <c r="V107" s="3" t="str">
        <f>IFERROR(MID(VLOOKUP($B107,Seqs!$A:$B,2,0),W107,1),"")</f>
        <v>S</v>
      </c>
      <c r="W107" s="3">
        <v>145</v>
      </c>
      <c r="X107" s="3" t="str">
        <f>IFERROR(MID(VLOOKUP($B107,Seqs!$A:$B,2,0),Y107,1),"")</f>
        <v>P</v>
      </c>
      <c r="Y107" s="3">
        <v>146</v>
      </c>
      <c r="Z107" s="3" t="str">
        <f>IFERROR(MID(VLOOKUP($B107,Seqs!$A:$B,2,0),AA107,1),"")</f>
        <v>M</v>
      </c>
      <c r="AA107" s="3">
        <v>153</v>
      </c>
      <c r="AB107" s="3" t="str">
        <f>IFERROR(MID(VLOOKUP($B107,Seqs!$A:$B,2,0),AC107,1),"")</f>
        <v>T</v>
      </c>
      <c r="AC107" s="9">
        <v>154</v>
      </c>
      <c r="AD107" s="3" t="str">
        <f>IFERROR(MID(VLOOKUP($B107,Seqs!$A:$B,2,0),AE107,1),"")</f>
        <v>H</v>
      </c>
      <c r="AE107" s="3">
        <v>180</v>
      </c>
      <c r="AF107" s="3" t="str">
        <f>IFERROR(MID(VLOOKUP($B107,Seqs!$A:$B,2,0),AG107,1),"")</f>
        <v>C</v>
      </c>
      <c r="AG107" s="3">
        <v>199</v>
      </c>
      <c r="AH107" s="3" t="str">
        <f>IFERROR(MID(VLOOKUP($B107,Seqs!$A:$B,2,0),AI107,1),"")</f>
        <v>F</v>
      </c>
      <c r="AI107" s="3">
        <v>201</v>
      </c>
      <c r="AJ107" s="3" t="str">
        <f>IFERROR(MID(VLOOKUP($B107,Seqs!$A:$B,2,0),AK107,1),"")</f>
        <v>N</v>
      </c>
      <c r="AK107" s="3">
        <v>204</v>
      </c>
      <c r="AL107" s="3" t="str">
        <f>IFERROR(MID(VLOOKUP($B107,Seqs!$A:$B,2,0),AM107,1),"")</f>
        <v>I</v>
      </c>
      <c r="AM107" s="3">
        <v>238</v>
      </c>
      <c r="AN107" s="3" t="str">
        <f>IFERROR(MID(VLOOKUP($B107,Seqs!$A:$B,2,0),AO107,1),"")</f>
        <v>R</v>
      </c>
      <c r="AO107" s="3">
        <v>275</v>
      </c>
      <c r="AP107" s="3" t="str">
        <f>IFERROR(MID(VLOOKUP($B107,Seqs!$A:$B,2,0),AQ107,1),"")</f>
        <v>N</v>
      </c>
      <c r="AQ107" s="3">
        <v>316</v>
      </c>
      <c r="AR107" s="3" t="str">
        <f>IFERROR(MID(VLOOKUP($B107,Seqs!$A:$B,2,0),AS107,1),"")</f>
        <v>P</v>
      </c>
      <c r="AS107" s="3">
        <v>321</v>
      </c>
      <c r="AT107" s="3" t="str">
        <f>IFERROR(MID(VLOOKUP($B107,Seqs!$A:$B,2,0),AU107,1),"")</f>
        <v>R</v>
      </c>
      <c r="AU107" s="3">
        <v>345</v>
      </c>
      <c r="AV107" s="3" t="str">
        <f>IFERROR(MID(VLOOKUP($B107,Seqs!$A:$B,2,0),AW107,1),"")</f>
        <v>S</v>
      </c>
      <c r="AW107" s="3">
        <v>346</v>
      </c>
      <c r="AX107" s="3" t="str">
        <f>IFERROR(MID(VLOOKUP($B107,Seqs!$A:$B,2,0),AY107,1),"")</f>
        <v>C</v>
      </c>
      <c r="AY107" s="3">
        <v>358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504"/>
        <v>1</v>
      </c>
      <c r="BC107" s="23">
        <f t="shared" si="225"/>
        <v>265</v>
      </c>
      <c r="BD107" s="2" t="s">
        <v>1376</v>
      </c>
      <c r="BE107" s="3" t="s">
        <v>1374</v>
      </c>
      <c r="BF107" s="118">
        <v>2.2999999999999998</v>
      </c>
      <c r="BG107" s="49" t="s">
        <v>1377</v>
      </c>
      <c r="BH107" s="49" t="s">
        <v>1377</v>
      </c>
      <c r="BI107" s="1"/>
      <c r="BJ107" s="70" t="s">
        <v>1287</v>
      </c>
      <c r="BK107" s="57" t="s">
        <v>1287</v>
      </c>
      <c r="BL107" s="57" t="s">
        <v>1287</v>
      </c>
      <c r="BM107" s="57" t="s">
        <v>1287</v>
      </c>
      <c r="BN107" s="57" t="s">
        <v>1287</v>
      </c>
      <c r="BO107" s="57" t="s">
        <v>1287</v>
      </c>
      <c r="BP107" s="57" t="s">
        <v>1287</v>
      </c>
      <c r="BQ107" s="57" t="s">
        <v>1287</v>
      </c>
      <c r="BR107" s="57" t="s">
        <v>1287</v>
      </c>
      <c r="BS107" s="57" t="s">
        <v>1287</v>
      </c>
      <c r="BT107" s="57" t="s">
        <v>1287</v>
      </c>
      <c r="BU107" s="57" t="s">
        <v>1287</v>
      </c>
      <c r="BV107" s="70">
        <f t="shared" si="226"/>
        <v>33</v>
      </c>
      <c r="BW107" s="71">
        <f t="shared" si="227"/>
        <v>70</v>
      </c>
      <c r="BX107" s="72">
        <f t="shared" si="228"/>
        <v>74</v>
      </c>
      <c r="BY107" s="71">
        <f t="shared" si="229"/>
        <v>106</v>
      </c>
      <c r="BZ107" s="72">
        <f t="shared" si="230"/>
        <v>110</v>
      </c>
      <c r="CA107" s="71">
        <f t="shared" si="231"/>
        <v>146</v>
      </c>
      <c r="CB107" s="72">
        <f t="shared" si="232"/>
        <v>154</v>
      </c>
      <c r="CC107" s="71">
        <f t="shared" si="233"/>
        <v>199</v>
      </c>
      <c r="CD107" s="72">
        <f t="shared" si="234"/>
        <v>204</v>
      </c>
      <c r="CE107" s="71">
        <f t="shared" si="235"/>
        <v>275</v>
      </c>
      <c r="CF107" s="72">
        <f t="shared" si="236"/>
        <v>321</v>
      </c>
      <c r="CG107" s="71">
        <f t="shared" si="237"/>
        <v>346</v>
      </c>
      <c r="CH107" s="70">
        <f t="shared" si="238"/>
        <v>69</v>
      </c>
      <c r="CI107" s="71">
        <f t="shared" si="239"/>
        <v>73</v>
      </c>
      <c r="CJ107" s="72">
        <f t="shared" si="240"/>
        <v>104</v>
      </c>
      <c r="CK107" s="72">
        <f t="shared" si="241"/>
        <v>109</v>
      </c>
      <c r="CL107" s="72">
        <f t="shared" si="242"/>
        <v>145</v>
      </c>
      <c r="CM107" s="72">
        <f t="shared" si="243"/>
        <v>153</v>
      </c>
      <c r="CN107" s="72">
        <f t="shared" si="244"/>
        <v>180</v>
      </c>
      <c r="CO107" s="72">
        <f t="shared" si="245"/>
        <v>201</v>
      </c>
      <c r="CP107" s="72">
        <f t="shared" si="246"/>
        <v>238</v>
      </c>
      <c r="CQ107" s="72">
        <f t="shared" si="247"/>
        <v>316</v>
      </c>
      <c r="CR107" s="72">
        <f t="shared" si="248"/>
        <v>345</v>
      </c>
      <c r="CS107" s="72">
        <f t="shared" si="249"/>
        <v>358</v>
      </c>
      <c r="CT107" s="23">
        <f t="shared" si="250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503"/>
        <v>adrb1_melga_4BVN</v>
      </c>
      <c r="B108" s="3" t="s">
        <v>911</v>
      </c>
      <c r="C108" s="3" t="s">
        <v>82</v>
      </c>
      <c r="D108" s="3" t="str">
        <f>IFERROR(MID(VLOOKUP($B108,Seqs!$A:$B,2,0),E108,1),"")</f>
        <v>S</v>
      </c>
      <c r="E108" s="3">
        <v>37</v>
      </c>
      <c r="F108" s="3" t="str">
        <f>IFERROR(MID(VLOOKUP($B108,Seqs!$A:$B,2,0),G108,1),"")</f>
        <v>T</v>
      </c>
      <c r="G108" s="3">
        <v>69</v>
      </c>
      <c r="H108" s="3" t="str">
        <f>IFERROR(MID(VLOOKUP($B108,Seqs!$A:$B,2,0),I108,1),"")</f>
        <v>Q</v>
      </c>
      <c r="I108" s="23">
        <v>70</v>
      </c>
      <c r="J108" s="3" t="str">
        <f>IFERROR(MID(VLOOKUP($B108,Seqs!$A:$B,2,0),K108,1),"")</f>
        <v>Q</v>
      </c>
      <c r="K108" s="23">
        <v>73</v>
      </c>
      <c r="L108" s="3" t="str">
        <f>IFERROR(MID(VLOOKUP($B108,Seqs!$A:$B,2,0),M108,1),"")</f>
        <v>T</v>
      </c>
      <c r="M108" s="3">
        <v>74</v>
      </c>
      <c r="N108" s="3" t="str">
        <f>IFERROR(MID(VLOOKUP($B108,Seqs!$A:$B,2,0),O108,1),"")</f>
        <v>R</v>
      </c>
      <c r="O108" s="3">
        <v>104</v>
      </c>
      <c r="P108" s="3" t="str">
        <f>IFERROR(MID(VLOOKUP($B108,Seqs!$A:$B,2,0),Q108,1),"")</f>
        <v>T</v>
      </c>
      <c r="Q108" s="3">
        <v>106</v>
      </c>
      <c r="R108" s="3" t="str">
        <f>IFERROR(MID(VLOOKUP($B108,Seqs!$A:$B,2,0),S108,1),"")</f>
        <v>W</v>
      </c>
      <c r="S108" s="3">
        <v>109</v>
      </c>
      <c r="T108" s="3" t="str">
        <f>IFERROR(MID(VLOOKUP($B108,Seqs!$A:$B,2,0),U108,1),"")</f>
        <v>G</v>
      </c>
      <c r="U108" s="3">
        <v>110</v>
      </c>
      <c r="V108" s="3" t="str">
        <f>IFERROR(MID(VLOOKUP($B108,Seqs!$A:$B,2,0),W108,1),"")</f>
        <v>S</v>
      </c>
      <c r="W108" s="3">
        <v>145</v>
      </c>
      <c r="X108" s="3" t="str">
        <f>IFERROR(MID(VLOOKUP($B108,Seqs!$A:$B,2,0),Y108,1),"")</f>
        <v>P</v>
      </c>
      <c r="Y108" s="3">
        <v>146</v>
      </c>
      <c r="Z108" s="3" t="str">
        <f>IFERROR(MID(VLOOKUP($B108,Seqs!$A:$B,2,0),AA108,1),"")</f>
        <v>M</v>
      </c>
      <c r="AA108" s="3">
        <v>153</v>
      </c>
      <c r="AB108" s="3" t="str">
        <f>IFERROR(MID(VLOOKUP($B108,Seqs!$A:$B,2,0),AC108,1),"")</f>
        <v>T</v>
      </c>
      <c r="AC108" s="9">
        <v>154</v>
      </c>
      <c r="AD108" s="3" t="str">
        <f>IFERROR(MID(VLOOKUP($B108,Seqs!$A:$B,2,0),AE108,1),"")</f>
        <v>H</v>
      </c>
      <c r="AE108" s="3">
        <v>180</v>
      </c>
      <c r="AF108" s="3" t="str">
        <f>IFERROR(MID(VLOOKUP($B108,Seqs!$A:$B,2,0),AG108,1),"")</f>
        <v>C</v>
      </c>
      <c r="AG108" s="3">
        <v>199</v>
      </c>
      <c r="AH108" s="3" t="str">
        <f>IFERROR(MID(VLOOKUP($B108,Seqs!$A:$B,2,0),AI108,1),"")</f>
        <v>F</v>
      </c>
      <c r="AI108" s="3">
        <v>201</v>
      </c>
      <c r="AJ108" s="3" t="str">
        <f>IFERROR(MID(VLOOKUP($B108,Seqs!$A:$B,2,0),AK108,1),"")</f>
        <v>N</v>
      </c>
      <c r="AK108" s="3">
        <v>204</v>
      </c>
      <c r="AL108" s="3" t="str">
        <f>IFERROR(MID(VLOOKUP($B108,Seqs!$A:$B,2,0),AM108,1),"")</f>
        <v>R</v>
      </c>
      <c r="AM108" s="3">
        <v>239</v>
      </c>
      <c r="AN108" s="3" t="str">
        <f>IFERROR(MID(VLOOKUP($B108,Seqs!$A:$B,2,0),AO108,1),"")</f>
        <v>R</v>
      </c>
      <c r="AO108" s="3">
        <v>279</v>
      </c>
      <c r="AP108" s="3" t="str">
        <f>IFERROR(MID(VLOOKUP($B108,Seqs!$A:$B,2,0),AQ108,1),"")</f>
        <v>N</v>
      </c>
      <c r="AQ108" s="3">
        <v>316</v>
      </c>
      <c r="AR108" s="3" t="str">
        <f>IFERROR(MID(VLOOKUP($B108,Seqs!$A:$B,2,0),AS108,1),"")</f>
        <v>P</v>
      </c>
      <c r="AS108" s="3">
        <v>321</v>
      </c>
      <c r="AT108" s="3" t="str">
        <f>IFERROR(MID(VLOOKUP($B108,Seqs!$A:$B,2,0),AU108,1),"")</f>
        <v>R</v>
      </c>
      <c r="AU108" s="3">
        <v>345</v>
      </c>
      <c r="AV108" s="3" t="str">
        <f>IFERROR(MID(VLOOKUP($B108,Seqs!$A:$B,2,0),AW108,1),"")</f>
        <v>S</v>
      </c>
      <c r="AW108" s="3">
        <v>346</v>
      </c>
      <c r="AX108" s="3" t="str">
        <f>IFERROR(MID(VLOOKUP($B108,Seqs!$A:$B,2,0),AY108,1),"")</f>
        <v>C</v>
      </c>
      <c r="AY108" s="3">
        <v>358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504"/>
        <v>1</v>
      </c>
      <c r="BC108" s="23">
        <f t="shared" ref="BC108:BC195" si="785">_xlfn.AGGREGATE(9,6,CH108:CS108)-_xlfn.AGGREGATE(9,6,BV108:CG108)+12</f>
        <v>258</v>
      </c>
      <c r="BD108" s="4" t="s">
        <v>23</v>
      </c>
      <c r="BE108" s="3" t="s">
        <v>1374</v>
      </c>
      <c r="BF108" s="118">
        <v>2.1</v>
      </c>
      <c r="BG108" s="49" t="s">
        <v>1377</v>
      </c>
      <c r="BH108" s="49" t="s">
        <v>1377</v>
      </c>
      <c r="BI108" s="1"/>
      <c r="BJ108" s="70" t="s">
        <v>1287</v>
      </c>
      <c r="BK108" s="57" t="s">
        <v>1287</v>
      </c>
      <c r="BL108" s="57" t="s">
        <v>1287</v>
      </c>
      <c r="BM108" s="57" t="s">
        <v>1287</v>
      </c>
      <c r="BN108" s="57" t="s">
        <v>1287</v>
      </c>
      <c r="BO108" s="57" t="s">
        <v>1287</v>
      </c>
      <c r="BP108" s="57" t="s">
        <v>1287</v>
      </c>
      <c r="BQ108" s="57" t="s">
        <v>1287</v>
      </c>
      <c r="BR108" s="57" t="s">
        <v>1287</v>
      </c>
      <c r="BS108" s="57" t="s">
        <v>1287</v>
      </c>
      <c r="BT108" s="57" t="s">
        <v>1287</v>
      </c>
      <c r="BU108" s="57" t="s">
        <v>1287</v>
      </c>
      <c r="BV108" s="70">
        <f t="shared" ref="BV108:BV195" si="786">E108</f>
        <v>37</v>
      </c>
      <c r="BW108" s="71">
        <f t="shared" ref="BW108:BW195" si="787">I108</f>
        <v>70</v>
      </c>
      <c r="BX108" s="72">
        <f t="shared" ref="BX108:BX195" si="788">M108</f>
        <v>74</v>
      </c>
      <c r="BY108" s="71">
        <f t="shared" ref="BY108:BY195" si="789">Q108</f>
        <v>106</v>
      </c>
      <c r="BZ108" s="72">
        <f t="shared" ref="BZ108:BZ195" si="790">U108</f>
        <v>110</v>
      </c>
      <c r="CA108" s="71">
        <f t="shared" ref="CA108:CA195" si="791">Y108</f>
        <v>146</v>
      </c>
      <c r="CB108" s="72">
        <f t="shared" ref="CB108:CB195" si="792">AC108</f>
        <v>154</v>
      </c>
      <c r="CC108" s="71">
        <f t="shared" ref="CC108:CC195" si="793">AG108</f>
        <v>199</v>
      </c>
      <c r="CD108" s="72">
        <f t="shared" ref="CD108:CD195" si="794">AK108</f>
        <v>204</v>
      </c>
      <c r="CE108" s="71">
        <f t="shared" ref="CE108:CE195" si="795">AO108</f>
        <v>279</v>
      </c>
      <c r="CF108" s="72">
        <f t="shared" ref="CF108:CF195" si="796">AS108</f>
        <v>321</v>
      </c>
      <c r="CG108" s="71">
        <f t="shared" ref="CG108:CG195" si="797">AW108</f>
        <v>346</v>
      </c>
      <c r="CH108" s="70">
        <f t="shared" ref="CH108:CH195" si="798">G108</f>
        <v>69</v>
      </c>
      <c r="CI108" s="71">
        <f t="shared" ref="CI108:CI195" si="799">K108</f>
        <v>73</v>
      </c>
      <c r="CJ108" s="72">
        <f t="shared" ref="CJ108:CJ195" si="800">O108</f>
        <v>104</v>
      </c>
      <c r="CK108" s="72">
        <f t="shared" ref="CK108:CK195" si="801">S108</f>
        <v>109</v>
      </c>
      <c r="CL108" s="72">
        <f t="shared" ref="CL108:CL195" si="802">W108</f>
        <v>145</v>
      </c>
      <c r="CM108" s="72">
        <f t="shared" ref="CM108:CM195" si="803">AA108</f>
        <v>153</v>
      </c>
      <c r="CN108" s="72">
        <f t="shared" ref="CN108:CN195" si="804">AE108</f>
        <v>180</v>
      </c>
      <c r="CO108" s="72">
        <f t="shared" ref="CO108:CO195" si="805">AI108</f>
        <v>201</v>
      </c>
      <c r="CP108" s="72">
        <f t="shared" ref="CP108:CP195" si="806">AM108</f>
        <v>239</v>
      </c>
      <c r="CQ108" s="72">
        <f t="shared" ref="CQ108:CQ195" si="807">AQ108</f>
        <v>316</v>
      </c>
      <c r="CR108" s="72">
        <f t="shared" ref="CR108:CR195" si="808">AU108</f>
        <v>345</v>
      </c>
      <c r="CS108" s="72">
        <f t="shared" ref="CS108:CS195" si="809">AY108</f>
        <v>358</v>
      </c>
      <c r="CT108" s="23">
        <f t="shared" ref="CT108:CT195" si="810">M108-K108</f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503"/>
        <v>adrb1_melga_4GPO</v>
      </c>
      <c r="B109" s="3" t="s">
        <v>911</v>
      </c>
      <c r="C109" s="3" t="s">
        <v>1041</v>
      </c>
      <c r="D109" s="3" t="str">
        <f>IFERROR(MID(VLOOKUP($B109,Seqs!$A:$B,2,0),E109,1),"")</f>
        <v>S</v>
      </c>
      <c r="E109" s="3">
        <v>37</v>
      </c>
      <c r="F109" s="3" t="str">
        <f>IFERROR(MID(VLOOKUP($B109,Seqs!$A:$B,2,0),G109,1),"")</f>
        <v>T</v>
      </c>
      <c r="G109" s="3">
        <v>69</v>
      </c>
      <c r="H109" s="3" t="str">
        <f>IFERROR(MID(VLOOKUP($B109,Seqs!$A:$B,2,0),I109,1),"")</f>
        <v>Q</v>
      </c>
      <c r="I109" s="23">
        <v>70</v>
      </c>
      <c r="J109" s="3" t="str">
        <f>IFERROR(MID(VLOOKUP($B109,Seqs!$A:$B,2,0),K109,1),"")</f>
        <v>Q</v>
      </c>
      <c r="K109" s="23">
        <v>73</v>
      </c>
      <c r="L109" s="3" t="str">
        <f>IFERROR(MID(VLOOKUP($B109,Seqs!$A:$B,2,0),M109,1),"")</f>
        <v>T</v>
      </c>
      <c r="M109" s="3">
        <v>74</v>
      </c>
      <c r="N109" s="3" t="str">
        <f>IFERROR(MID(VLOOKUP($B109,Seqs!$A:$B,2,0),O109,1),"")</f>
        <v>R</v>
      </c>
      <c r="O109" s="3">
        <v>104</v>
      </c>
      <c r="P109" s="3" t="str">
        <f>IFERROR(MID(VLOOKUP($B109,Seqs!$A:$B,2,0),Q109,1),"")</f>
        <v>T</v>
      </c>
      <c r="Q109" s="3">
        <v>106</v>
      </c>
      <c r="R109" s="3" t="str">
        <f>IFERROR(MID(VLOOKUP($B109,Seqs!$A:$B,2,0),S109,1),"")</f>
        <v>W</v>
      </c>
      <c r="S109" s="3">
        <v>109</v>
      </c>
      <c r="T109" s="3" t="str">
        <f>IFERROR(MID(VLOOKUP($B109,Seqs!$A:$B,2,0),U109,1),"")</f>
        <v>G</v>
      </c>
      <c r="U109" s="3">
        <v>110</v>
      </c>
      <c r="V109" s="3" t="str">
        <f>IFERROR(MID(VLOOKUP($B109,Seqs!$A:$B,2,0),W109,1),"")</f>
        <v>S</v>
      </c>
      <c r="W109" s="3">
        <v>145</v>
      </c>
      <c r="X109" s="3" t="str">
        <f>IFERROR(MID(VLOOKUP($B109,Seqs!$A:$B,2,0),Y109,1),"")</f>
        <v>P</v>
      </c>
      <c r="Y109" s="3">
        <v>146</v>
      </c>
      <c r="Z109" s="3" t="str">
        <f>IFERROR(MID(VLOOKUP($B109,Seqs!$A:$B,2,0),AA109,1),"")</f>
        <v>M</v>
      </c>
      <c r="AA109" s="3">
        <v>153</v>
      </c>
      <c r="AB109" s="3" t="str">
        <f>IFERROR(MID(VLOOKUP($B109,Seqs!$A:$B,2,0),AC109,1),"")</f>
        <v>T</v>
      </c>
      <c r="AC109" s="9">
        <v>154</v>
      </c>
      <c r="AD109" s="3" t="str">
        <f>IFERROR(MID(VLOOKUP($B109,Seqs!$A:$B,2,0),AE109,1),"")</f>
        <v>H</v>
      </c>
      <c r="AE109" s="3">
        <v>180</v>
      </c>
      <c r="AF109" s="3" t="str">
        <f>IFERROR(MID(VLOOKUP($B109,Seqs!$A:$B,2,0),AG109,1),"")</f>
        <v>C</v>
      </c>
      <c r="AG109" s="3">
        <v>199</v>
      </c>
      <c r="AH109" s="3" t="str">
        <f>IFERROR(MID(VLOOKUP($B109,Seqs!$A:$B,2,0),AI109,1),"")</f>
        <v>F</v>
      </c>
      <c r="AI109" s="3">
        <v>201</v>
      </c>
      <c r="AJ109" s="3" t="str">
        <f>IFERROR(MID(VLOOKUP($B109,Seqs!$A:$B,2,0),AK109,1),"")</f>
        <v>N</v>
      </c>
      <c r="AK109" s="3">
        <v>204</v>
      </c>
      <c r="AL109" s="3" t="str">
        <f>IFERROR(MID(VLOOKUP($B109,Seqs!$A:$B,2,0),AM109,1),"")</f>
        <v>E</v>
      </c>
      <c r="AM109" s="3">
        <v>233</v>
      </c>
      <c r="AN109" s="3" t="str">
        <f>IFERROR(MID(VLOOKUP($B109,Seqs!$A:$B,2,0),AO109,1),"")</f>
        <v>M</v>
      </c>
      <c r="AO109" s="3">
        <v>283</v>
      </c>
      <c r="AP109" s="3" t="str">
        <f>IFERROR(MID(VLOOKUP($B109,Seqs!$A:$B,2,0),AQ109,1),"")</f>
        <v>N</v>
      </c>
      <c r="AQ109" s="3">
        <v>316</v>
      </c>
      <c r="AR109" s="3" t="str">
        <f>IFERROR(MID(VLOOKUP($B109,Seqs!$A:$B,2,0),AS109,1),"")</f>
        <v>P</v>
      </c>
      <c r="AS109" s="3">
        <v>321</v>
      </c>
      <c r="AT109" s="3" t="str">
        <f>IFERROR(MID(VLOOKUP($B109,Seqs!$A:$B,2,0),AU109,1),"")</f>
        <v>R</v>
      </c>
      <c r="AU109" s="3">
        <v>345</v>
      </c>
      <c r="AV109" s="3" t="str">
        <f>IFERROR(MID(VLOOKUP($B109,Seqs!$A:$B,2,0),AW109,1),"")</f>
        <v>S</v>
      </c>
      <c r="AW109" s="3">
        <v>346</v>
      </c>
      <c r="AX109" s="3" t="str">
        <f>IFERROR(MID(VLOOKUP($B109,Seqs!$A:$B,2,0),AY109,1),"")</f>
        <v>L</v>
      </c>
      <c r="AY109" s="3">
        <v>356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504"/>
        <v>1</v>
      </c>
      <c r="BC109" s="23">
        <f t="shared" si="785"/>
        <v>246</v>
      </c>
      <c r="BD109" s="4" t="s">
        <v>23</v>
      </c>
      <c r="BE109" s="3" t="s">
        <v>1374</v>
      </c>
      <c r="BF109" s="118">
        <v>3.5</v>
      </c>
      <c r="BG109" s="49" t="s">
        <v>1377</v>
      </c>
      <c r="BH109" s="49" t="s">
        <v>1377</v>
      </c>
      <c r="BI109" s="1"/>
      <c r="BJ109" s="70" t="s">
        <v>1287</v>
      </c>
      <c r="BK109" s="57" t="s">
        <v>1287</v>
      </c>
      <c r="BL109" s="57" t="s">
        <v>1287</v>
      </c>
      <c r="BM109" s="57" t="s">
        <v>1287</v>
      </c>
      <c r="BN109" s="57" t="s">
        <v>1287</v>
      </c>
      <c r="BO109" s="57" t="s">
        <v>1287</v>
      </c>
      <c r="BP109" s="57" t="s">
        <v>1287</v>
      </c>
      <c r="BQ109" s="57" t="s">
        <v>1287</v>
      </c>
      <c r="BR109" s="57" t="s">
        <v>1287</v>
      </c>
      <c r="BS109" s="57" t="s">
        <v>1287</v>
      </c>
      <c r="BT109" s="57" t="s">
        <v>1287</v>
      </c>
      <c r="BU109" s="57" t="s">
        <v>1287</v>
      </c>
      <c r="BV109" s="70">
        <f t="shared" si="786"/>
        <v>37</v>
      </c>
      <c r="BW109" s="71">
        <f t="shared" si="787"/>
        <v>70</v>
      </c>
      <c r="BX109" s="72">
        <f t="shared" si="788"/>
        <v>74</v>
      </c>
      <c r="BY109" s="71">
        <f t="shared" si="789"/>
        <v>106</v>
      </c>
      <c r="BZ109" s="72">
        <f t="shared" si="790"/>
        <v>110</v>
      </c>
      <c r="CA109" s="71">
        <f t="shared" si="791"/>
        <v>146</v>
      </c>
      <c r="CB109" s="72">
        <f t="shared" si="792"/>
        <v>154</v>
      </c>
      <c r="CC109" s="71">
        <f t="shared" si="793"/>
        <v>199</v>
      </c>
      <c r="CD109" s="72">
        <f t="shared" si="794"/>
        <v>204</v>
      </c>
      <c r="CE109" s="71">
        <f t="shared" si="795"/>
        <v>283</v>
      </c>
      <c r="CF109" s="72">
        <f t="shared" si="796"/>
        <v>321</v>
      </c>
      <c r="CG109" s="71">
        <f t="shared" si="797"/>
        <v>346</v>
      </c>
      <c r="CH109" s="70">
        <f t="shared" si="798"/>
        <v>69</v>
      </c>
      <c r="CI109" s="71">
        <f t="shared" si="799"/>
        <v>73</v>
      </c>
      <c r="CJ109" s="72">
        <f t="shared" si="800"/>
        <v>104</v>
      </c>
      <c r="CK109" s="72">
        <f t="shared" si="801"/>
        <v>109</v>
      </c>
      <c r="CL109" s="72">
        <f t="shared" si="802"/>
        <v>145</v>
      </c>
      <c r="CM109" s="72">
        <f t="shared" si="803"/>
        <v>153</v>
      </c>
      <c r="CN109" s="72">
        <f t="shared" si="804"/>
        <v>180</v>
      </c>
      <c r="CO109" s="72">
        <f t="shared" si="805"/>
        <v>201</v>
      </c>
      <c r="CP109" s="72">
        <f t="shared" si="806"/>
        <v>233</v>
      </c>
      <c r="CQ109" s="72">
        <f t="shared" si="807"/>
        <v>316</v>
      </c>
      <c r="CR109" s="72">
        <f t="shared" si="808"/>
        <v>345</v>
      </c>
      <c r="CS109" s="72">
        <f t="shared" si="809"/>
        <v>356</v>
      </c>
      <c r="CT109" s="23">
        <f t="shared" si="81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503"/>
        <v>adrb1_melga_5A8E</v>
      </c>
      <c r="B110" s="3" t="s">
        <v>911</v>
      </c>
      <c r="C110" s="3" t="s">
        <v>1058</v>
      </c>
      <c r="D110" s="3" t="str">
        <f>IFERROR(MID(VLOOKUP($B110,Seqs!$A:$B,2,0),E110,1),"")</f>
        <v>S</v>
      </c>
      <c r="E110" s="3">
        <v>37</v>
      </c>
      <c r="F110" s="3" t="str">
        <f>IFERROR(MID(VLOOKUP($B110,Seqs!$A:$B,2,0),G110,1),"")</f>
        <v>T</v>
      </c>
      <c r="G110" s="3">
        <v>69</v>
      </c>
      <c r="H110" s="3" t="str">
        <f>IFERROR(MID(VLOOKUP($B110,Seqs!$A:$B,2,0),I110,1),"")</f>
        <v>Q</v>
      </c>
      <c r="I110" s="23">
        <v>70</v>
      </c>
      <c r="J110" s="3" t="str">
        <f>IFERROR(MID(VLOOKUP($B110,Seqs!$A:$B,2,0),K110,1),"")</f>
        <v>Q</v>
      </c>
      <c r="K110" s="23">
        <v>73</v>
      </c>
      <c r="L110" s="3" t="str">
        <f>IFERROR(MID(VLOOKUP($B110,Seqs!$A:$B,2,0),M110,1),"")</f>
        <v>T</v>
      </c>
      <c r="M110" s="3">
        <v>74</v>
      </c>
      <c r="N110" s="3" t="str">
        <f>IFERROR(MID(VLOOKUP($B110,Seqs!$A:$B,2,0),O110,1),"")</f>
        <v>R</v>
      </c>
      <c r="O110" s="3">
        <v>104</v>
      </c>
      <c r="P110" s="3" t="str">
        <f>IFERROR(MID(VLOOKUP($B110,Seqs!$A:$B,2,0),Q110,1),"")</f>
        <v>T</v>
      </c>
      <c r="Q110" s="3">
        <v>106</v>
      </c>
      <c r="R110" s="3" t="str">
        <f>IFERROR(MID(VLOOKUP($B110,Seqs!$A:$B,2,0),S110,1),"")</f>
        <v>W</v>
      </c>
      <c r="S110" s="3">
        <v>109</v>
      </c>
      <c r="T110" s="3" t="str">
        <f>IFERROR(MID(VLOOKUP($B110,Seqs!$A:$B,2,0),U110,1),"")</f>
        <v>G</v>
      </c>
      <c r="U110" s="3">
        <v>110</v>
      </c>
      <c r="V110" s="3" t="str">
        <f>IFERROR(MID(VLOOKUP($B110,Seqs!$A:$B,2,0),W110,1),"")</f>
        <v>S</v>
      </c>
      <c r="W110" s="3">
        <v>145</v>
      </c>
      <c r="X110" s="3" t="str">
        <f>IFERROR(MID(VLOOKUP($B110,Seqs!$A:$B,2,0),Y110,1),"")</f>
        <v>P</v>
      </c>
      <c r="Y110" s="3">
        <v>146</v>
      </c>
      <c r="Z110" s="3" t="str">
        <f>IFERROR(MID(VLOOKUP($B110,Seqs!$A:$B,2,0),AA110,1),"")</f>
        <v>M</v>
      </c>
      <c r="AA110" s="3">
        <v>153</v>
      </c>
      <c r="AB110" s="3" t="str">
        <f>IFERROR(MID(VLOOKUP($B110,Seqs!$A:$B,2,0),AC110,1),"")</f>
        <v>T</v>
      </c>
      <c r="AC110" s="9">
        <v>154</v>
      </c>
      <c r="AD110" s="3" t="str">
        <f>IFERROR(MID(VLOOKUP($B110,Seqs!$A:$B,2,0),AE110,1),"")</f>
        <v>H</v>
      </c>
      <c r="AE110" s="3">
        <v>180</v>
      </c>
      <c r="AF110" s="3" t="str">
        <f>IFERROR(MID(VLOOKUP($B110,Seqs!$A:$B,2,0),AG110,1),"")</f>
        <v>C</v>
      </c>
      <c r="AG110" s="3">
        <v>199</v>
      </c>
      <c r="AH110" s="3" t="str">
        <f>IFERROR(MID(VLOOKUP($B110,Seqs!$A:$B,2,0),AI110,1),"")</f>
        <v>F</v>
      </c>
      <c r="AI110" s="3">
        <v>201</v>
      </c>
      <c r="AJ110" s="3" t="str">
        <f>IFERROR(MID(VLOOKUP($B110,Seqs!$A:$B,2,0),AK110,1),"")</f>
        <v>N</v>
      </c>
      <c r="AK110" s="3">
        <v>204</v>
      </c>
      <c r="AL110" s="3" t="str">
        <f>IFERROR(MID(VLOOKUP($B110,Seqs!$A:$B,2,0),AM110,1),"")</f>
        <v>R</v>
      </c>
      <c r="AM110" s="3">
        <v>239</v>
      </c>
      <c r="AN110" s="3" t="str">
        <f>IFERROR(MID(VLOOKUP($B110,Seqs!$A:$B,2,0),AO110,1),"")</f>
        <v>R</v>
      </c>
      <c r="AO110" s="3">
        <v>279</v>
      </c>
      <c r="AP110" s="3" t="str">
        <f>IFERROR(MID(VLOOKUP($B110,Seqs!$A:$B,2,0),AQ110,1),"")</f>
        <v>N</v>
      </c>
      <c r="AQ110" s="3">
        <v>316</v>
      </c>
      <c r="AR110" s="3" t="str">
        <f>IFERROR(MID(VLOOKUP($B110,Seqs!$A:$B,2,0),AS110,1),"")</f>
        <v>P</v>
      </c>
      <c r="AS110" s="3">
        <v>321</v>
      </c>
      <c r="AT110" s="3" t="str">
        <f>IFERROR(MID(VLOOKUP($B110,Seqs!$A:$B,2,0),AU110,1),"")</f>
        <v>R</v>
      </c>
      <c r="AU110" s="3">
        <v>345</v>
      </c>
      <c r="AV110" s="3" t="str">
        <f>IFERROR(MID(VLOOKUP($B110,Seqs!$A:$B,2,0),AW110,1),"")</f>
        <v>S</v>
      </c>
      <c r="AW110" s="3">
        <v>346</v>
      </c>
      <c r="AX110" s="3" t="str">
        <f>IFERROR(MID(VLOOKUP($B110,Seqs!$A:$B,2,0),AY110,1),"")</f>
        <v>K</v>
      </c>
      <c r="AY110" s="3">
        <v>354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504"/>
        <v>1</v>
      </c>
      <c r="BC110" s="23">
        <f t="shared" si="785"/>
        <v>254</v>
      </c>
      <c r="BD110" s="4" t="s">
        <v>23</v>
      </c>
      <c r="BE110" s="3" t="s">
        <v>1374</v>
      </c>
      <c r="BF110" s="118">
        <v>2.42</v>
      </c>
      <c r="BG110" s="49" t="s">
        <v>1377</v>
      </c>
      <c r="BH110" s="49" t="s">
        <v>1377</v>
      </c>
      <c r="BI110" s="1"/>
      <c r="BJ110" s="70" t="s">
        <v>1287</v>
      </c>
      <c r="BK110" s="57" t="s">
        <v>1287</v>
      </c>
      <c r="BL110" s="57" t="s">
        <v>1287</v>
      </c>
      <c r="BM110" s="57" t="s">
        <v>1287</v>
      </c>
      <c r="BN110" s="57" t="s">
        <v>1287</v>
      </c>
      <c r="BO110" s="57" t="s">
        <v>1287</v>
      </c>
      <c r="BP110" s="57" t="s">
        <v>1287</v>
      </c>
      <c r="BQ110" s="57" t="s">
        <v>1287</v>
      </c>
      <c r="BR110" s="57" t="s">
        <v>1287</v>
      </c>
      <c r="BS110" s="57" t="s">
        <v>1287</v>
      </c>
      <c r="BT110" s="57" t="s">
        <v>1287</v>
      </c>
      <c r="BU110" s="57" t="s">
        <v>1287</v>
      </c>
      <c r="BV110" s="70">
        <f t="shared" si="786"/>
        <v>37</v>
      </c>
      <c r="BW110" s="71">
        <f t="shared" si="787"/>
        <v>70</v>
      </c>
      <c r="BX110" s="72">
        <f t="shared" si="788"/>
        <v>74</v>
      </c>
      <c r="BY110" s="71">
        <f t="shared" si="789"/>
        <v>106</v>
      </c>
      <c r="BZ110" s="72">
        <f t="shared" si="790"/>
        <v>110</v>
      </c>
      <c r="CA110" s="71">
        <f t="shared" si="791"/>
        <v>146</v>
      </c>
      <c r="CB110" s="72">
        <f t="shared" si="792"/>
        <v>154</v>
      </c>
      <c r="CC110" s="71">
        <f t="shared" si="793"/>
        <v>199</v>
      </c>
      <c r="CD110" s="72">
        <f t="shared" si="794"/>
        <v>204</v>
      </c>
      <c r="CE110" s="71">
        <f t="shared" si="795"/>
        <v>279</v>
      </c>
      <c r="CF110" s="72">
        <f t="shared" si="796"/>
        <v>321</v>
      </c>
      <c r="CG110" s="71">
        <f t="shared" si="797"/>
        <v>346</v>
      </c>
      <c r="CH110" s="70">
        <f t="shared" si="798"/>
        <v>69</v>
      </c>
      <c r="CI110" s="71">
        <f t="shared" si="799"/>
        <v>73</v>
      </c>
      <c r="CJ110" s="72">
        <f t="shared" si="800"/>
        <v>104</v>
      </c>
      <c r="CK110" s="72">
        <f t="shared" si="801"/>
        <v>109</v>
      </c>
      <c r="CL110" s="72">
        <f t="shared" si="802"/>
        <v>145</v>
      </c>
      <c r="CM110" s="72">
        <f t="shared" si="803"/>
        <v>153</v>
      </c>
      <c r="CN110" s="72">
        <f t="shared" si="804"/>
        <v>180</v>
      </c>
      <c r="CO110" s="72">
        <f t="shared" si="805"/>
        <v>201</v>
      </c>
      <c r="CP110" s="72">
        <f t="shared" si="806"/>
        <v>239</v>
      </c>
      <c r="CQ110" s="72">
        <f t="shared" si="807"/>
        <v>316</v>
      </c>
      <c r="CR110" s="72">
        <f t="shared" si="808"/>
        <v>345</v>
      </c>
      <c r="CS110" s="72">
        <f t="shared" si="809"/>
        <v>354</v>
      </c>
      <c r="CT110" s="23">
        <f t="shared" si="81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503"/>
        <v>adrb1_melga_5F8U</v>
      </c>
      <c r="B111" s="3" t="s">
        <v>911</v>
      </c>
      <c r="C111" s="3" t="s">
        <v>1354</v>
      </c>
      <c r="D111" s="3" t="str">
        <f>IFERROR(MID(VLOOKUP($B111,Seqs!$A:$B,2,0),E111,1),"")</f>
        <v>W</v>
      </c>
      <c r="E111" s="3">
        <v>40</v>
      </c>
      <c r="F111" s="3" t="str">
        <f>IFERROR(MID(VLOOKUP($B111,Seqs!$A:$B,2,0),G111,1),"")</f>
        <v>T</v>
      </c>
      <c r="G111" s="3">
        <v>69</v>
      </c>
      <c r="H111" s="3" t="str">
        <f>IFERROR(MID(VLOOKUP($B111,Seqs!$A:$B,2,0),I111,1),"")</f>
        <v>Q</v>
      </c>
      <c r="I111" s="23">
        <v>70</v>
      </c>
      <c r="J111" s="3" t="str">
        <f>IFERROR(MID(VLOOKUP($B111,Seqs!$A:$B,2,0),K111,1),"")</f>
        <v>Q</v>
      </c>
      <c r="K111" s="23">
        <v>73</v>
      </c>
      <c r="L111" s="3" t="str">
        <f>IFERROR(MID(VLOOKUP($B111,Seqs!$A:$B,2,0),M111,1),"")</f>
        <v>T</v>
      </c>
      <c r="M111" s="3">
        <v>74</v>
      </c>
      <c r="N111" s="3" t="str">
        <f>IFERROR(MID(VLOOKUP($B111,Seqs!$A:$B,2,0),O111,1),"")</f>
        <v>R</v>
      </c>
      <c r="O111" s="3">
        <v>104</v>
      </c>
      <c r="P111" s="3" t="str">
        <f>IFERROR(MID(VLOOKUP($B111,Seqs!$A:$B,2,0),Q111,1),"")</f>
        <v>T</v>
      </c>
      <c r="Q111" s="3">
        <v>106</v>
      </c>
      <c r="R111" s="3" t="str">
        <f>IFERROR(MID(VLOOKUP($B111,Seqs!$A:$B,2,0),S111,1),"")</f>
        <v>W</v>
      </c>
      <c r="S111" s="3">
        <v>109</v>
      </c>
      <c r="T111" s="3" t="str">
        <f>IFERROR(MID(VLOOKUP($B111,Seqs!$A:$B,2,0),U111,1),"")</f>
        <v>G</v>
      </c>
      <c r="U111" s="3">
        <v>110</v>
      </c>
      <c r="V111" s="3" t="str">
        <f>IFERROR(MID(VLOOKUP($B111,Seqs!$A:$B,2,0),W111,1),"")</f>
        <v>S</v>
      </c>
      <c r="W111" s="3">
        <v>145</v>
      </c>
      <c r="X111" s="3" t="str">
        <f>IFERROR(MID(VLOOKUP($B111,Seqs!$A:$B,2,0),Y111,1),"")</f>
        <v>P</v>
      </c>
      <c r="Y111" s="3">
        <v>146</v>
      </c>
      <c r="Z111" s="3" t="str">
        <f>IFERROR(MID(VLOOKUP($B111,Seqs!$A:$B,2,0),AA111,1),"")</f>
        <v>M</v>
      </c>
      <c r="AA111" s="3">
        <v>153</v>
      </c>
      <c r="AB111" s="3" t="str">
        <f>IFERROR(MID(VLOOKUP($B111,Seqs!$A:$B,2,0),AC111,1),"")</f>
        <v>T</v>
      </c>
      <c r="AC111" s="9">
        <v>154</v>
      </c>
      <c r="AD111" s="3" t="str">
        <f>IFERROR(MID(VLOOKUP($B111,Seqs!$A:$B,2,0),AE111,1),"")</f>
        <v>H</v>
      </c>
      <c r="AE111" s="3">
        <v>180</v>
      </c>
      <c r="AF111" s="3" t="str">
        <f>IFERROR(MID(VLOOKUP($B111,Seqs!$A:$B,2,0),AG111,1),"")</f>
        <v>C</v>
      </c>
      <c r="AG111" s="3">
        <v>199</v>
      </c>
      <c r="AH111" s="3" t="str">
        <f>IFERROR(MID(VLOOKUP($B111,Seqs!$A:$B,2,0),AI111,1),"")</f>
        <v>F</v>
      </c>
      <c r="AI111" s="3">
        <v>201</v>
      </c>
      <c r="AJ111" s="3" t="str">
        <f>IFERROR(MID(VLOOKUP($B111,Seqs!$A:$B,2,0),AK111,1),"")</f>
        <v>N</v>
      </c>
      <c r="AK111" s="3">
        <v>204</v>
      </c>
      <c r="AL111" s="3" t="str">
        <f>IFERROR(MID(VLOOKUP($B111,Seqs!$A:$B,2,0),AM111,1),"")</f>
        <v>Q</v>
      </c>
      <c r="AM111" s="3">
        <v>237</v>
      </c>
      <c r="AN111" s="3" t="str">
        <f>IFERROR(MID(VLOOKUP($B111,Seqs!$A:$B,2,0),AO111,1),"")</f>
        <v>R</v>
      </c>
      <c r="AO111" s="3">
        <v>284</v>
      </c>
      <c r="AP111" s="3" t="str">
        <f>IFERROR(MID(VLOOKUP($B111,Seqs!$A:$B,2,0),AQ111,1),"")</f>
        <v>N</v>
      </c>
      <c r="AQ111" s="3">
        <v>316</v>
      </c>
      <c r="AR111" s="3" t="str">
        <f>IFERROR(MID(VLOOKUP($B111,Seqs!$A:$B,2,0),AS111,1),"")</f>
        <v>P</v>
      </c>
      <c r="AS111" s="3">
        <v>321</v>
      </c>
      <c r="AT111" s="3" t="str">
        <f>IFERROR(MID(VLOOKUP($B111,Seqs!$A:$B,2,0),AU111,1),"")</f>
        <v>R</v>
      </c>
      <c r="AU111" s="3">
        <v>345</v>
      </c>
      <c r="AV111" s="3" t="str">
        <f>IFERROR(MID(VLOOKUP($B111,Seqs!$A:$B,2,0),AW111,1),"")</f>
        <v>S</v>
      </c>
      <c r="AW111" s="3">
        <v>346</v>
      </c>
      <c r="AX111" s="3" t="str">
        <f>IFERROR(MID(VLOOKUP($B111,Seqs!$A:$B,2,0),AY111,1),"")</f>
        <v>C</v>
      </c>
      <c r="AY111" s="3">
        <v>358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504"/>
        <v>1</v>
      </c>
      <c r="BC111" s="23">
        <f t="shared" si="785"/>
        <v>248</v>
      </c>
      <c r="BD111" s="5" t="s">
        <v>23</v>
      </c>
      <c r="BE111" s="3" t="s">
        <v>1374</v>
      </c>
      <c r="BF111" s="118">
        <v>3.35</v>
      </c>
      <c r="BG111" s="49" t="s">
        <v>1377</v>
      </c>
      <c r="BH111" s="49" t="s">
        <v>1377</v>
      </c>
      <c r="BI111" s="1"/>
      <c r="BJ111" s="70" t="s">
        <v>1287</v>
      </c>
      <c r="BK111" s="57" t="s">
        <v>1287</v>
      </c>
      <c r="BL111" s="57" t="s">
        <v>1287</v>
      </c>
      <c r="BM111" s="57" t="s">
        <v>1287</v>
      </c>
      <c r="BN111" s="57" t="s">
        <v>1287</v>
      </c>
      <c r="BO111" s="57" t="s">
        <v>1287</v>
      </c>
      <c r="BP111" s="57" t="s">
        <v>1287</v>
      </c>
      <c r="BQ111" s="57" t="s">
        <v>1287</v>
      </c>
      <c r="BR111" s="57" t="s">
        <v>1287</v>
      </c>
      <c r="BS111" s="57" t="s">
        <v>1287</v>
      </c>
      <c r="BT111" s="57" t="s">
        <v>1287</v>
      </c>
      <c r="BU111" s="57" t="s">
        <v>1287</v>
      </c>
      <c r="BV111" s="70">
        <f t="shared" si="786"/>
        <v>40</v>
      </c>
      <c r="BW111" s="71">
        <f t="shared" si="787"/>
        <v>70</v>
      </c>
      <c r="BX111" s="72">
        <f t="shared" si="788"/>
        <v>74</v>
      </c>
      <c r="BY111" s="71">
        <f t="shared" si="789"/>
        <v>106</v>
      </c>
      <c r="BZ111" s="72">
        <f t="shared" si="790"/>
        <v>110</v>
      </c>
      <c r="CA111" s="71">
        <f t="shared" si="791"/>
        <v>146</v>
      </c>
      <c r="CB111" s="72">
        <f t="shared" si="792"/>
        <v>154</v>
      </c>
      <c r="CC111" s="71">
        <f t="shared" si="793"/>
        <v>199</v>
      </c>
      <c r="CD111" s="72">
        <f t="shared" si="794"/>
        <v>204</v>
      </c>
      <c r="CE111" s="71">
        <f t="shared" si="795"/>
        <v>284</v>
      </c>
      <c r="CF111" s="72">
        <f t="shared" si="796"/>
        <v>321</v>
      </c>
      <c r="CG111" s="71">
        <f t="shared" si="797"/>
        <v>346</v>
      </c>
      <c r="CH111" s="70">
        <f t="shared" si="798"/>
        <v>69</v>
      </c>
      <c r="CI111" s="71">
        <f t="shared" si="799"/>
        <v>73</v>
      </c>
      <c r="CJ111" s="72">
        <f t="shared" si="800"/>
        <v>104</v>
      </c>
      <c r="CK111" s="72">
        <f t="shared" si="801"/>
        <v>109</v>
      </c>
      <c r="CL111" s="72">
        <f t="shared" si="802"/>
        <v>145</v>
      </c>
      <c r="CM111" s="72">
        <f t="shared" si="803"/>
        <v>153</v>
      </c>
      <c r="CN111" s="72">
        <f t="shared" si="804"/>
        <v>180</v>
      </c>
      <c r="CO111" s="72">
        <f t="shared" si="805"/>
        <v>201</v>
      </c>
      <c r="CP111" s="72">
        <f t="shared" si="806"/>
        <v>237</v>
      </c>
      <c r="CQ111" s="72">
        <f t="shared" si="807"/>
        <v>316</v>
      </c>
      <c r="CR111" s="72">
        <f t="shared" si="808"/>
        <v>345</v>
      </c>
      <c r="CS111" s="72">
        <f t="shared" si="809"/>
        <v>358</v>
      </c>
      <c r="CT111" s="23">
        <f t="shared" si="81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ref="A112" si="811">CONCATENATE(B112,"_",C112)</f>
        <v>adrb1_melga_6H7J</v>
      </c>
      <c r="B112" s="3" t="s">
        <v>911</v>
      </c>
      <c r="C112" s="3" t="s">
        <v>1519</v>
      </c>
      <c r="D112" s="3" t="str">
        <f>IFERROR(MID(VLOOKUP($B112,Seqs!$A:$B,2,0),E112,1),"")</f>
        <v>W</v>
      </c>
      <c r="E112" s="3">
        <v>40</v>
      </c>
      <c r="F112" s="3" t="str">
        <f>IFERROR(MID(VLOOKUP($B112,Seqs!$A:$B,2,0),G112,1),"")</f>
        <v>T</v>
      </c>
      <c r="G112" s="3">
        <v>69</v>
      </c>
      <c r="H112" s="3" t="str">
        <f>IFERROR(MID(VLOOKUP($B112,Seqs!$A:$B,2,0),I112,1),"")</f>
        <v>Q</v>
      </c>
      <c r="I112" s="23">
        <v>70</v>
      </c>
      <c r="J112" s="3" t="str">
        <f>IFERROR(MID(VLOOKUP($B112,Seqs!$A:$B,2,0),K112,1),"")</f>
        <v>Q</v>
      </c>
      <c r="K112" s="23">
        <v>73</v>
      </c>
      <c r="L112" s="3" t="str">
        <f>IFERROR(MID(VLOOKUP($B112,Seqs!$A:$B,2,0),M112,1),"")</f>
        <v>T</v>
      </c>
      <c r="M112" s="3">
        <v>74</v>
      </c>
      <c r="N112" s="3" t="str">
        <f>IFERROR(MID(VLOOKUP($B112,Seqs!$A:$B,2,0),O112,1),"")</f>
        <v>R</v>
      </c>
      <c r="O112" s="3">
        <v>104</v>
      </c>
      <c r="P112" s="3" t="str">
        <f>IFERROR(MID(VLOOKUP($B112,Seqs!$A:$B,2,0),Q112,1),"")</f>
        <v>T</v>
      </c>
      <c r="Q112" s="3">
        <v>106</v>
      </c>
      <c r="R112" s="3" t="str">
        <f>IFERROR(MID(VLOOKUP($B112,Seqs!$A:$B,2,0),S112,1),"")</f>
        <v>W</v>
      </c>
      <c r="S112" s="3">
        <v>109</v>
      </c>
      <c r="T112" s="3" t="str">
        <f>IFERROR(MID(VLOOKUP($B112,Seqs!$A:$B,2,0),U112,1),"")</f>
        <v>G</v>
      </c>
      <c r="U112" s="3">
        <v>110</v>
      </c>
      <c r="V112" s="3" t="str">
        <f>IFERROR(MID(VLOOKUP($B112,Seqs!$A:$B,2,0),W112,1),"")</f>
        <v>S</v>
      </c>
      <c r="W112" s="3">
        <v>145</v>
      </c>
      <c r="X112" s="3" t="str">
        <f>IFERROR(MID(VLOOKUP($B112,Seqs!$A:$B,2,0),Y112,1),"")</f>
        <v>P</v>
      </c>
      <c r="Y112" s="3">
        <v>146</v>
      </c>
      <c r="Z112" s="3" t="str">
        <f>IFERROR(MID(VLOOKUP($B112,Seqs!$A:$B,2,0),AA112,1),"")</f>
        <v>M</v>
      </c>
      <c r="AA112" s="3">
        <v>153</v>
      </c>
      <c r="AB112" s="3" t="str">
        <f>IFERROR(MID(VLOOKUP($B112,Seqs!$A:$B,2,0),AC112,1),"")</f>
        <v>T</v>
      </c>
      <c r="AC112" s="3">
        <v>154</v>
      </c>
      <c r="AD112" s="3" t="str">
        <f>IFERROR(MID(VLOOKUP($B112,Seqs!$A:$B,2,0),AE112,1),"")</f>
        <v>H</v>
      </c>
      <c r="AE112" s="3">
        <v>180</v>
      </c>
      <c r="AF112" s="3" t="str">
        <f>IFERROR(MID(VLOOKUP($B112,Seqs!$A:$B,2,0),AG112,1),"")</f>
        <v>C</v>
      </c>
      <c r="AG112" s="3">
        <v>199</v>
      </c>
      <c r="AH112" s="3" t="str">
        <f>IFERROR(MID(VLOOKUP($B112,Seqs!$A:$B,2,0),AI112,1),"")</f>
        <v>F</v>
      </c>
      <c r="AI112" s="3">
        <v>201</v>
      </c>
      <c r="AJ112" s="3" t="str">
        <f>IFERROR(MID(VLOOKUP($B112,Seqs!$A:$B,2,0),AK112,1),"")</f>
        <v>N</v>
      </c>
      <c r="AK112" s="3">
        <v>204</v>
      </c>
      <c r="AL112" s="3" t="str">
        <f>IFERROR(MID(VLOOKUP($B112,Seqs!$A:$B,2,0),AM112,1),"")</f>
        <v>S</v>
      </c>
      <c r="AM112" s="3">
        <v>273</v>
      </c>
      <c r="AN112" s="3" t="str">
        <f>IFERROR(MID(VLOOKUP($B112,Seqs!$A:$B,2,0),AO112,1),"")</f>
        <v>A</v>
      </c>
      <c r="AO112" s="3">
        <v>282</v>
      </c>
      <c r="AP112" s="3" t="str">
        <f>IFERROR(MID(VLOOKUP($B112,Seqs!$A:$B,2,0),AQ112,1),"")</f>
        <v>N</v>
      </c>
      <c r="AQ112" s="3">
        <v>316</v>
      </c>
      <c r="AR112" s="3" t="str">
        <f>IFERROR(MID(VLOOKUP($B112,Seqs!$A:$B,2,0),AS112,1),"")</f>
        <v>P</v>
      </c>
      <c r="AS112" s="3">
        <v>321</v>
      </c>
      <c r="AT112" s="3" t="str">
        <f>IFERROR(MID(VLOOKUP($B112,Seqs!$A:$B,2,0),AU112,1),"")</f>
        <v>R</v>
      </c>
      <c r="AU112" s="3">
        <v>345</v>
      </c>
      <c r="AV112" s="3" t="str">
        <f>IFERROR(MID(VLOOKUP($B112,Seqs!$A:$B,2,0),AW112,1),"")</f>
        <v>S</v>
      </c>
      <c r="AW112" s="3">
        <v>346</v>
      </c>
      <c r="AX112" s="3" t="str">
        <f>IFERROR(MID(VLOOKUP($B112,Seqs!$A:$B,2,0),AY112,1),"")</f>
        <v>L</v>
      </c>
      <c r="AY112" s="3">
        <v>357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ref="BB112" si="812"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23">
        <f t="shared" ref="BC112" si="813">_xlfn.AGGREGATE(9,6,CH112:CS112)-_xlfn.AGGREGATE(9,6,BV112:CG112)+12</f>
        <v>285</v>
      </c>
      <c r="BD112" s="5" t="s">
        <v>23</v>
      </c>
      <c r="BE112" s="3" t="s">
        <v>1291</v>
      </c>
      <c r="BF112" s="118">
        <v>2.8</v>
      </c>
      <c r="BG112" s="49" t="s">
        <v>1</v>
      </c>
      <c r="BH112" s="49" t="s">
        <v>1</v>
      </c>
      <c r="BI112" s="1"/>
      <c r="BJ112" s="70" t="s">
        <v>1287</v>
      </c>
      <c r="BK112" s="57" t="s">
        <v>1287</v>
      </c>
      <c r="BL112" s="57" t="s">
        <v>1287</v>
      </c>
      <c r="BM112" s="57" t="s">
        <v>1287</v>
      </c>
      <c r="BN112" s="57" t="s">
        <v>1287</v>
      </c>
      <c r="BO112" s="57" t="s">
        <v>1287</v>
      </c>
      <c r="BP112" s="57" t="s">
        <v>1287</v>
      </c>
      <c r="BQ112" s="57" t="s">
        <v>1287</v>
      </c>
      <c r="BR112" s="57" t="s">
        <v>1287</v>
      </c>
      <c r="BS112" s="57" t="s">
        <v>1287</v>
      </c>
      <c r="BT112" s="57" t="s">
        <v>1287</v>
      </c>
      <c r="BU112" s="57" t="s">
        <v>1287</v>
      </c>
      <c r="BV112" s="70">
        <f t="shared" ref="BV112" si="814">E112</f>
        <v>40</v>
      </c>
      <c r="BW112" s="71">
        <f t="shared" ref="BW112" si="815">I112</f>
        <v>70</v>
      </c>
      <c r="BX112" s="72">
        <f t="shared" ref="BX112" si="816">M112</f>
        <v>74</v>
      </c>
      <c r="BY112" s="71">
        <f t="shared" ref="BY112" si="817">Q112</f>
        <v>106</v>
      </c>
      <c r="BZ112" s="72">
        <f t="shared" ref="BZ112" si="818">U112</f>
        <v>110</v>
      </c>
      <c r="CA112" s="71">
        <f t="shared" ref="CA112" si="819">Y112</f>
        <v>146</v>
      </c>
      <c r="CB112" s="72">
        <f t="shared" ref="CB112" si="820">AC112</f>
        <v>154</v>
      </c>
      <c r="CC112" s="71">
        <f t="shared" ref="CC112" si="821">AG112</f>
        <v>199</v>
      </c>
      <c r="CD112" s="72">
        <f t="shared" ref="CD112" si="822">AK112</f>
        <v>204</v>
      </c>
      <c r="CE112" s="71">
        <f t="shared" ref="CE112" si="823">AO112</f>
        <v>282</v>
      </c>
      <c r="CF112" s="72">
        <f t="shared" ref="CF112" si="824">AS112</f>
        <v>321</v>
      </c>
      <c r="CG112" s="71">
        <f t="shared" ref="CG112" si="825">AW112</f>
        <v>346</v>
      </c>
      <c r="CH112" s="70">
        <f t="shared" ref="CH112" si="826">G112</f>
        <v>69</v>
      </c>
      <c r="CI112" s="71">
        <f t="shared" ref="CI112" si="827">K112</f>
        <v>73</v>
      </c>
      <c r="CJ112" s="72">
        <f t="shared" ref="CJ112" si="828">O112</f>
        <v>104</v>
      </c>
      <c r="CK112" s="72">
        <f t="shared" ref="CK112" si="829">S112</f>
        <v>109</v>
      </c>
      <c r="CL112" s="72">
        <f t="shared" ref="CL112" si="830">W112</f>
        <v>145</v>
      </c>
      <c r="CM112" s="72">
        <f t="shared" ref="CM112" si="831">AA112</f>
        <v>153</v>
      </c>
      <c r="CN112" s="72">
        <f t="shared" ref="CN112" si="832">AE112</f>
        <v>180</v>
      </c>
      <c r="CO112" s="72">
        <f t="shared" ref="CO112" si="833">AI112</f>
        <v>201</v>
      </c>
      <c r="CP112" s="72">
        <f t="shared" ref="CP112" si="834">AM112</f>
        <v>273</v>
      </c>
      <c r="CQ112" s="72">
        <f t="shared" ref="CQ112" si="835">AQ112</f>
        <v>316</v>
      </c>
      <c r="CR112" s="72">
        <f t="shared" ref="CR112" si="836">AU112</f>
        <v>345</v>
      </c>
      <c r="CS112" s="72">
        <f t="shared" ref="CS112" si="837">AY112</f>
        <v>357</v>
      </c>
      <c r="CT112" s="23">
        <f t="shared" ref="CT112" si="838">M112-K112</f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ref="A113" si="839">CONCATENATE(B113,"_",C113)</f>
        <v>adrb1_melga_6H7L</v>
      </c>
      <c r="B113" s="3" t="s">
        <v>911</v>
      </c>
      <c r="C113" s="3" t="s">
        <v>1520</v>
      </c>
      <c r="D113" s="3" t="str">
        <f>IFERROR(MID(VLOOKUP($B113,Seqs!$A:$B,2,0),E113,1),"")</f>
        <v>W</v>
      </c>
      <c r="E113" s="3">
        <v>40</v>
      </c>
      <c r="F113" s="3" t="str">
        <f>IFERROR(MID(VLOOKUP($B113,Seqs!$A:$B,2,0),G113,1),"")</f>
        <v>T</v>
      </c>
      <c r="G113" s="3">
        <v>69</v>
      </c>
      <c r="H113" s="3" t="str">
        <f>IFERROR(MID(VLOOKUP($B113,Seqs!$A:$B,2,0),I113,1),"")</f>
        <v>Q</v>
      </c>
      <c r="I113" s="23">
        <v>70</v>
      </c>
      <c r="J113" s="3" t="str">
        <f>IFERROR(MID(VLOOKUP($B113,Seqs!$A:$B,2,0),K113,1),"")</f>
        <v>Q</v>
      </c>
      <c r="K113" s="23">
        <v>73</v>
      </c>
      <c r="L113" s="3" t="str">
        <f>IFERROR(MID(VLOOKUP($B113,Seqs!$A:$B,2,0),M113,1),"")</f>
        <v>T</v>
      </c>
      <c r="M113" s="3">
        <v>74</v>
      </c>
      <c r="N113" s="3" t="str">
        <f>IFERROR(MID(VLOOKUP($B113,Seqs!$A:$B,2,0),O113,1),"")</f>
        <v>R</v>
      </c>
      <c r="O113" s="3">
        <v>104</v>
      </c>
      <c r="P113" s="3" t="str">
        <f>IFERROR(MID(VLOOKUP($B113,Seqs!$A:$B,2,0),Q113,1),"")</f>
        <v>T</v>
      </c>
      <c r="Q113" s="3">
        <v>106</v>
      </c>
      <c r="R113" s="3" t="str">
        <f>IFERROR(MID(VLOOKUP($B113,Seqs!$A:$B,2,0),S113,1),"")</f>
        <v>W</v>
      </c>
      <c r="S113" s="3">
        <v>109</v>
      </c>
      <c r="T113" s="3" t="str">
        <f>IFERROR(MID(VLOOKUP($B113,Seqs!$A:$B,2,0),U113,1),"")</f>
        <v>G</v>
      </c>
      <c r="U113" s="3">
        <v>110</v>
      </c>
      <c r="V113" s="3" t="str">
        <f>IFERROR(MID(VLOOKUP($B113,Seqs!$A:$B,2,0),W113,1),"")</f>
        <v>S</v>
      </c>
      <c r="W113" s="3">
        <v>145</v>
      </c>
      <c r="X113" s="3" t="str">
        <f>IFERROR(MID(VLOOKUP($B113,Seqs!$A:$B,2,0),Y113,1),"")</f>
        <v>P</v>
      </c>
      <c r="Y113" s="3">
        <v>146</v>
      </c>
      <c r="Z113" s="3" t="str">
        <f>IFERROR(MID(VLOOKUP($B113,Seqs!$A:$B,2,0),AA113,1),"")</f>
        <v>M</v>
      </c>
      <c r="AA113" s="3">
        <v>153</v>
      </c>
      <c r="AB113" s="3" t="str">
        <f>IFERROR(MID(VLOOKUP($B113,Seqs!$A:$B,2,0),AC113,1),"")</f>
        <v>T</v>
      </c>
      <c r="AC113" s="3">
        <v>154</v>
      </c>
      <c r="AD113" s="3" t="str">
        <f>IFERROR(MID(VLOOKUP($B113,Seqs!$A:$B,2,0),AE113,1),"")</f>
        <v>H</v>
      </c>
      <c r="AE113" s="3">
        <v>180</v>
      </c>
      <c r="AF113" s="3" t="str">
        <f>IFERROR(MID(VLOOKUP($B113,Seqs!$A:$B,2,0),AG113,1),"")</f>
        <v>C</v>
      </c>
      <c r="AG113" s="3">
        <v>199</v>
      </c>
      <c r="AH113" s="3" t="str">
        <f>IFERROR(MID(VLOOKUP($B113,Seqs!$A:$B,2,0),AI113,1),"")</f>
        <v>F</v>
      </c>
      <c r="AI113" s="3">
        <v>201</v>
      </c>
      <c r="AJ113" s="3" t="str">
        <f>IFERROR(MID(VLOOKUP($B113,Seqs!$A:$B,2,0),AK113,1),"")</f>
        <v>N</v>
      </c>
      <c r="AK113" s="3">
        <v>204</v>
      </c>
      <c r="AL113" s="3" t="str">
        <f>IFERROR(MID(VLOOKUP($B113,Seqs!$A:$B,2,0),AM113,1),"")</f>
        <v>S</v>
      </c>
      <c r="AM113" s="3">
        <v>273</v>
      </c>
      <c r="AN113" s="3" t="str">
        <f>IFERROR(MID(VLOOKUP($B113,Seqs!$A:$B,2,0),AO113,1),"")</f>
        <v>A</v>
      </c>
      <c r="AO113" s="3">
        <v>282</v>
      </c>
      <c r="AP113" s="3" t="str">
        <f>IFERROR(MID(VLOOKUP($B113,Seqs!$A:$B,2,0),AQ113,1),"")</f>
        <v>N</v>
      </c>
      <c r="AQ113" s="3">
        <v>316</v>
      </c>
      <c r="AR113" s="3" t="str">
        <f>IFERROR(MID(VLOOKUP($B113,Seqs!$A:$B,2,0),AS113,1),"")</f>
        <v>P</v>
      </c>
      <c r="AS113" s="3">
        <v>321</v>
      </c>
      <c r="AT113" s="3" t="str">
        <f>IFERROR(MID(VLOOKUP($B113,Seqs!$A:$B,2,0),AU113,1),"")</f>
        <v>R</v>
      </c>
      <c r="AU113" s="3">
        <v>345</v>
      </c>
      <c r="AV113" s="3" t="str">
        <f>IFERROR(MID(VLOOKUP($B113,Seqs!$A:$B,2,0),AW113,1),"")</f>
        <v>S</v>
      </c>
      <c r="AW113" s="3">
        <v>346</v>
      </c>
      <c r="AX113" s="3" t="str">
        <f>IFERROR(MID(VLOOKUP($B113,Seqs!$A:$B,2,0),AY113,1),"")</f>
        <v>L</v>
      </c>
      <c r="AY113" s="3">
        <v>357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ref="BB113" si="840">AND(E113&lt;G113,OR(G113&lt;I113,I113="-"),OR(I113&lt;K113,I113="-"),OR(K113&lt;M113,K113="-"),M113&lt;O113,OR(O113&lt;Q113,Q113="-"),OR(Q113&lt;S113,Q113="-"),OR(S113&lt;U113,S113="-"),U113&lt;W113,OR(W113&lt;Y113,Y113="-"),OR(Y113&lt;AA113,Y113="-"),OR(AA113&lt;AC113,AA113="-"),AC113&lt;AE113,OR(AE113&lt;AG113,AG113="-"),OR(AG113&lt;AI113,AG113="-"),OR(AI113&lt;AK113,AI113="-"),AK113&lt;AM113,AM113&lt;AO113,AO113&lt;AQ113,AQ113&lt;AS113,AS113&lt;AU113,OR(AU113&lt;AW113,AW113="-"),OR(AW113&lt;AY113,AW113="-"))</f>
        <v>1</v>
      </c>
      <c r="BC113" s="23">
        <f t="shared" ref="BC113" si="841">_xlfn.AGGREGATE(9,6,CH113:CS113)-_xlfn.AGGREGATE(9,6,BV113:CG113)+12</f>
        <v>285</v>
      </c>
      <c r="BD113" s="5" t="s">
        <v>23</v>
      </c>
      <c r="BE113" s="3" t="s">
        <v>1291</v>
      </c>
      <c r="BF113" s="118">
        <v>2.7</v>
      </c>
      <c r="BG113" s="49" t="s">
        <v>1</v>
      </c>
      <c r="BH113" s="49" t="s">
        <v>1</v>
      </c>
      <c r="BI113" s="1"/>
      <c r="BJ113" s="70" t="s">
        <v>1287</v>
      </c>
      <c r="BK113" s="57" t="s">
        <v>1287</v>
      </c>
      <c r="BL113" s="57" t="s">
        <v>1287</v>
      </c>
      <c r="BM113" s="57" t="s">
        <v>1287</v>
      </c>
      <c r="BN113" s="57" t="s">
        <v>1287</v>
      </c>
      <c r="BO113" s="57" t="s">
        <v>1287</v>
      </c>
      <c r="BP113" s="57" t="s">
        <v>1287</v>
      </c>
      <c r="BQ113" s="57" t="s">
        <v>1287</v>
      </c>
      <c r="BR113" s="57" t="s">
        <v>1287</v>
      </c>
      <c r="BS113" s="57" t="s">
        <v>1287</v>
      </c>
      <c r="BT113" s="57" t="s">
        <v>1287</v>
      </c>
      <c r="BU113" s="57" t="s">
        <v>1287</v>
      </c>
      <c r="BV113" s="70">
        <f t="shared" ref="BV113" si="842">E113</f>
        <v>40</v>
      </c>
      <c r="BW113" s="71">
        <f t="shared" ref="BW113" si="843">I113</f>
        <v>70</v>
      </c>
      <c r="BX113" s="72">
        <f t="shared" ref="BX113" si="844">M113</f>
        <v>74</v>
      </c>
      <c r="BY113" s="71">
        <f t="shared" ref="BY113" si="845">Q113</f>
        <v>106</v>
      </c>
      <c r="BZ113" s="72">
        <f t="shared" ref="BZ113" si="846">U113</f>
        <v>110</v>
      </c>
      <c r="CA113" s="71">
        <f t="shared" ref="CA113" si="847">Y113</f>
        <v>146</v>
      </c>
      <c r="CB113" s="72">
        <f t="shared" ref="CB113" si="848">AC113</f>
        <v>154</v>
      </c>
      <c r="CC113" s="71">
        <f t="shared" ref="CC113" si="849">AG113</f>
        <v>199</v>
      </c>
      <c r="CD113" s="72">
        <f t="shared" ref="CD113" si="850">AK113</f>
        <v>204</v>
      </c>
      <c r="CE113" s="71">
        <f t="shared" ref="CE113" si="851">AO113</f>
        <v>282</v>
      </c>
      <c r="CF113" s="72">
        <f t="shared" ref="CF113" si="852">AS113</f>
        <v>321</v>
      </c>
      <c r="CG113" s="71">
        <f t="shared" ref="CG113" si="853">AW113</f>
        <v>346</v>
      </c>
      <c r="CH113" s="70">
        <f t="shared" ref="CH113" si="854">G113</f>
        <v>69</v>
      </c>
      <c r="CI113" s="71">
        <f t="shared" ref="CI113" si="855">K113</f>
        <v>73</v>
      </c>
      <c r="CJ113" s="72">
        <f t="shared" ref="CJ113" si="856">O113</f>
        <v>104</v>
      </c>
      <c r="CK113" s="72">
        <f t="shared" ref="CK113" si="857">S113</f>
        <v>109</v>
      </c>
      <c r="CL113" s="72">
        <f t="shared" ref="CL113" si="858">W113</f>
        <v>145</v>
      </c>
      <c r="CM113" s="72">
        <f t="shared" ref="CM113" si="859">AA113</f>
        <v>153</v>
      </c>
      <c r="CN113" s="72">
        <f t="shared" ref="CN113" si="860">AE113</f>
        <v>180</v>
      </c>
      <c r="CO113" s="72">
        <f t="shared" ref="CO113" si="861">AI113</f>
        <v>201</v>
      </c>
      <c r="CP113" s="72">
        <f t="shared" ref="CP113" si="862">AM113</f>
        <v>273</v>
      </c>
      <c r="CQ113" s="72">
        <f t="shared" ref="CQ113" si="863">AQ113</f>
        <v>316</v>
      </c>
      <c r="CR113" s="72">
        <f t="shared" ref="CR113" si="864">AU113</f>
        <v>345</v>
      </c>
      <c r="CS113" s="72">
        <f t="shared" ref="CS113" si="865">AY113</f>
        <v>357</v>
      </c>
      <c r="CT113" s="23">
        <f t="shared" ref="CT113" si="866">M113-K113</f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ref="A114" si="867">CONCATENATE(B114,"_",C114)</f>
        <v>adrb1_melga_6H7M</v>
      </c>
      <c r="B114" s="3" t="s">
        <v>911</v>
      </c>
      <c r="C114" s="3" t="s">
        <v>1521</v>
      </c>
      <c r="D114" s="3" t="str">
        <f>IFERROR(MID(VLOOKUP($B114,Seqs!$A:$B,2,0),E114,1),"")</f>
        <v>W</v>
      </c>
      <c r="E114" s="3">
        <v>40</v>
      </c>
      <c r="F114" s="3" t="str">
        <f>IFERROR(MID(VLOOKUP($B114,Seqs!$A:$B,2,0),G114,1),"")</f>
        <v>T</v>
      </c>
      <c r="G114" s="3">
        <v>69</v>
      </c>
      <c r="H114" s="3" t="str">
        <f>IFERROR(MID(VLOOKUP($B114,Seqs!$A:$B,2,0),I114,1),"")</f>
        <v>Q</v>
      </c>
      <c r="I114" s="23">
        <v>70</v>
      </c>
      <c r="J114" s="3" t="str">
        <f>IFERROR(MID(VLOOKUP($B114,Seqs!$A:$B,2,0),K114,1),"")</f>
        <v>Q</v>
      </c>
      <c r="K114" s="23">
        <v>73</v>
      </c>
      <c r="L114" s="3" t="str">
        <f>IFERROR(MID(VLOOKUP($B114,Seqs!$A:$B,2,0),M114,1),"")</f>
        <v>T</v>
      </c>
      <c r="M114" s="3">
        <v>74</v>
      </c>
      <c r="N114" s="3" t="str">
        <f>IFERROR(MID(VLOOKUP($B114,Seqs!$A:$B,2,0),O114,1),"")</f>
        <v>R</v>
      </c>
      <c r="O114" s="3">
        <v>104</v>
      </c>
      <c r="P114" s="3" t="str">
        <f>IFERROR(MID(VLOOKUP($B114,Seqs!$A:$B,2,0),Q114,1),"")</f>
        <v>T</v>
      </c>
      <c r="Q114" s="3">
        <v>106</v>
      </c>
      <c r="R114" s="3" t="str">
        <f>IFERROR(MID(VLOOKUP($B114,Seqs!$A:$B,2,0),S114,1),"")</f>
        <v>W</v>
      </c>
      <c r="S114" s="3">
        <v>109</v>
      </c>
      <c r="T114" s="3" t="str">
        <f>IFERROR(MID(VLOOKUP($B114,Seqs!$A:$B,2,0),U114,1),"")</f>
        <v>G</v>
      </c>
      <c r="U114" s="3">
        <v>110</v>
      </c>
      <c r="V114" s="3" t="str">
        <f>IFERROR(MID(VLOOKUP($B114,Seqs!$A:$B,2,0),W114,1),"")</f>
        <v>S</v>
      </c>
      <c r="W114" s="3">
        <v>145</v>
      </c>
      <c r="X114" s="3" t="str">
        <f>IFERROR(MID(VLOOKUP($B114,Seqs!$A:$B,2,0),Y114,1),"")</f>
        <v>P</v>
      </c>
      <c r="Y114" s="3">
        <v>146</v>
      </c>
      <c r="Z114" s="3" t="str">
        <f>IFERROR(MID(VLOOKUP($B114,Seqs!$A:$B,2,0),AA114,1),"")</f>
        <v>M</v>
      </c>
      <c r="AA114" s="3">
        <v>153</v>
      </c>
      <c r="AB114" s="3" t="str">
        <f>IFERROR(MID(VLOOKUP($B114,Seqs!$A:$B,2,0),AC114,1),"")</f>
        <v>T</v>
      </c>
      <c r="AC114" s="3">
        <v>154</v>
      </c>
      <c r="AD114" s="3" t="str">
        <f>IFERROR(MID(VLOOKUP($B114,Seqs!$A:$B,2,0),AE114,1),"")</f>
        <v>H</v>
      </c>
      <c r="AE114" s="3">
        <v>180</v>
      </c>
      <c r="AF114" s="3" t="str">
        <f>IFERROR(MID(VLOOKUP($B114,Seqs!$A:$B,2,0),AG114,1),"")</f>
        <v>C</v>
      </c>
      <c r="AG114" s="3">
        <v>199</v>
      </c>
      <c r="AH114" s="3" t="str">
        <f>IFERROR(MID(VLOOKUP($B114,Seqs!$A:$B,2,0),AI114,1),"")</f>
        <v>F</v>
      </c>
      <c r="AI114" s="3">
        <v>201</v>
      </c>
      <c r="AJ114" s="3" t="str">
        <f>IFERROR(MID(VLOOKUP($B114,Seqs!$A:$B,2,0),AK114,1),"")</f>
        <v>N</v>
      </c>
      <c r="AK114" s="3">
        <v>204</v>
      </c>
      <c r="AL114" s="3" t="str">
        <f>IFERROR(MID(VLOOKUP($B114,Seqs!$A:$B,2,0),AM114,1),"")</f>
        <v>S</v>
      </c>
      <c r="AM114" s="3">
        <v>273</v>
      </c>
      <c r="AN114" s="3" t="str">
        <f>IFERROR(MID(VLOOKUP($B114,Seqs!$A:$B,2,0),AO114,1),"")</f>
        <v>A</v>
      </c>
      <c r="AO114" s="3">
        <v>282</v>
      </c>
      <c r="AP114" s="3" t="str">
        <f>IFERROR(MID(VLOOKUP($B114,Seqs!$A:$B,2,0),AQ114,1),"")</f>
        <v>N</v>
      </c>
      <c r="AQ114" s="3">
        <v>316</v>
      </c>
      <c r="AR114" s="3" t="str">
        <f>IFERROR(MID(VLOOKUP($B114,Seqs!$A:$B,2,0),AS114,1),"")</f>
        <v>P</v>
      </c>
      <c r="AS114" s="3">
        <v>321</v>
      </c>
      <c r="AT114" s="3" t="str">
        <f>IFERROR(MID(VLOOKUP($B114,Seqs!$A:$B,2,0),AU114,1),"")</f>
        <v>R</v>
      </c>
      <c r="AU114" s="3">
        <v>345</v>
      </c>
      <c r="AV114" s="3" t="str">
        <f>IFERROR(MID(VLOOKUP($B114,Seqs!$A:$B,2,0),AW114,1),"")</f>
        <v>S</v>
      </c>
      <c r="AW114" s="3">
        <v>346</v>
      </c>
      <c r="AX114" s="3" t="str">
        <f>IFERROR(MID(VLOOKUP($B114,Seqs!$A:$B,2,0),AY114,1),"")</f>
        <v>L</v>
      </c>
      <c r="AY114" s="3">
        <v>357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ref="BB114" si="868">AND(E114&lt;G114,OR(G114&lt;I114,I114="-"),OR(I114&lt;K114,I114="-"),OR(K114&lt;M114,K114="-"),M114&lt;O114,OR(O114&lt;Q114,Q114="-"),OR(Q114&lt;S114,Q114="-"),OR(S114&lt;U114,S114="-"),U114&lt;W114,OR(W114&lt;Y114,Y114="-"),OR(Y114&lt;AA114,Y114="-"),OR(AA114&lt;AC114,AA114="-"),AC114&lt;AE114,OR(AE114&lt;AG114,AG114="-"),OR(AG114&lt;AI114,AG114="-"),OR(AI114&lt;AK114,AI114="-"),AK114&lt;AM114,AM114&lt;AO114,AO114&lt;AQ114,AQ114&lt;AS114,AS114&lt;AU114,OR(AU114&lt;AW114,AW114="-"),OR(AW114&lt;AY114,AW114="-"))</f>
        <v>1</v>
      </c>
      <c r="BC114" s="23">
        <f t="shared" ref="BC114" si="869">_xlfn.AGGREGATE(9,6,CH114:CS114)-_xlfn.AGGREGATE(9,6,BV114:CG114)+12</f>
        <v>285</v>
      </c>
      <c r="BD114" s="5" t="s">
        <v>23</v>
      </c>
      <c r="BE114" s="3" t="s">
        <v>1291</v>
      </c>
      <c r="BF114" s="118">
        <v>2.76</v>
      </c>
      <c r="BG114" s="49" t="s">
        <v>1</v>
      </c>
      <c r="BH114" s="49" t="s">
        <v>1</v>
      </c>
      <c r="BI114" s="1"/>
      <c r="BJ114" s="70" t="s">
        <v>1287</v>
      </c>
      <c r="BK114" s="57" t="s">
        <v>1287</v>
      </c>
      <c r="BL114" s="57" t="s">
        <v>1287</v>
      </c>
      <c r="BM114" s="57" t="s">
        <v>1287</v>
      </c>
      <c r="BN114" s="57" t="s">
        <v>1287</v>
      </c>
      <c r="BO114" s="57" t="s">
        <v>1287</v>
      </c>
      <c r="BP114" s="57" t="s">
        <v>1287</v>
      </c>
      <c r="BQ114" s="57" t="s">
        <v>1287</v>
      </c>
      <c r="BR114" s="57" t="s">
        <v>1287</v>
      </c>
      <c r="BS114" s="57" t="s">
        <v>1287</v>
      </c>
      <c r="BT114" s="57" t="s">
        <v>1287</v>
      </c>
      <c r="BU114" s="57" t="s">
        <v>1287</v>
      </c>
      <c r="BV114" s="70">
        <f t="shared" ref="BV114" si="870">E114</f>
        <v>40</v>
      </c>
      <c r="BW114" s="71">
        <f t="shared" ref="BW114" si="871">I114</f>
        <v>70</v>
      </c>
      <c r="BX114" s="72">
        <f t="shared" ref="BX114" si="872">M114</f>
        <v>74</v>
      </c>
      <c r="BY114" s="71">
        <f t="shared" ref="BY114" si="873">Q114</f>
        <v>106</v>
      </c>
      <c r="BZ114" s="72">
        <f t="shared" ref="BZ114" si="874">U114</f>
        <v>110</v>
      </c>
      <c r="CA114" s="71">
        <f t="shared" ref="CA114" si="875">Y114</f>
        <v>146</v>
      </c>
      <c r="CB114" s="72">
        <f t="shared" ref="CB114" si="876">AC114</f>
        <v>154</v>
      </c>
      <c r="CC114" s="71">
        <f t="shared" ref="CC114" si="877">AG114</f>
        <v>199</v>
      </c>
      <c r="CD114" s="72">
        <f t="shared" ref="CD114" si="878">AK114</f>
        <v>204</v>
      </c>
      <c r="CE114" s="71">
        <f t="shared" ref="CE114" si="879">AO114</f>
        <v>282</v>
      </c>
      <c r="CF114" s="72">
        <f t="shared" ref="CF114" si="880">AS114</f>
        <v>321</v>
      </c>
      <c r="CG114" s="71">
        <f t="shared" ref="CG114" si="881">AW114</f>
        <v>346</v>
      </c>
      <c r="CH114" s="70">
        <f t="shared" ref="CH114" si="882">G114</f>
        <v>69</v>
      </c>
      <c r="CI114" s="71">
        <f t="shared" ref="CI114" si="883">K114</f>
        <v>73</v>
      </c>
      <c r="CJ114" s="72">
        <f t="shared" ref="CJ114" si="884">O114</f>
        <v>104</v>
      </c>
      <c r="CK114" s="72">
        <f t="shared" ref="CK114" si="885">S114</f>
        <v>109</v>
      </c>
      <c r="CL114" s="72">
        <f t="shared" ref="CL114" si="886">W114</f>
        <v>145</v>
      </c>
      <c r="CM114" s="72">
        <f t="shared" ref="CM114" si="887">AA114</f>
        <v>153</v>
      </c>
      <c r="CN114" s="72">
        <f t="shared" ref="CN114" si="888">AE114</f>
        <v>180</v>
      </c>
      <c r="CO114" s="72">
        <f t="shared" ref="CO114" si="889">AI114</f>
        <v>201</v>
      </c>
      <c r="CP114" s="72">
        <f t="shared" ref="CP114" si="890">AM114</f>
        <v>273</v>
      </c>
      <c r="CQ114" s="72">
        <f t="shared" ref="CQ114" si="891">AQ114</f>
        <v>316</v>
      </c>
      <c r="CR114" s="72">
        <f t="shared" ref="CR114" si="892">AU114</f>
        <v>345</v>
      </c>
      <c r="CS114" s="72">
        <f t="shared" ref="CS114" si="893">AY114</f>
        <v>357</v>
      </c>
      <c r="CT114" s="23">
        <f t="shared" ref="CT114" si="894">M114-K114</f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ref="A115" si="895">CONCATENATE(B115,"_",C115)</f>
        <v>adrb1_melga_6H7N</v>
      </c>
      <c r="B115" s="3" t="s">
        <v>911</v>
      </c>
      <c r="C115" s="3" t="s">
        <v>1522</v>
      </c>
      <c r="D115" s="3" t="str">
        <f>IFERROR(MID(VLOOKUP($B115,Seqs!$A:$B,2,0),E115,1),"")</f>
        <v>W</v>
      </c>
      <c r="E115" s="3">
        <v>40</v>
      </c>
      <c r="F115" s="3" t="str">
        <f>IFERROR(MID(VLOOKUP($B115,Seqs!$A:$B,2,0),G115,1),"")</f>
        <v>T</v>
      </c>
      <c r="G115" s="3">
        <v>69</v>
      </c>
      <c r="H115" s="3" t="str">
        <f>IFERROR(MID(VLOOKUP($B115,Seqs!$A:$B,2,0),I115,1),"")</f>
        <v>Q</v>
      </c>
      <c r="I115" s="23">
        <v>70</v>
      </c>
      <c r="J115" s="3" t="str">
        <f>IFERROR(MID(VLOOKUP($B115,Seqs!$A:$B,2,0),K115,1),"")</f>
        <v>Q</v>
      </c>
      <c r="K115" s="23">
        <v>73</v>
      </c>
      <c r="L115" s="3" t="str">
        <f>IFERROR(MID(VLOOKUP($B115,Seqs!$A:$B,2,0),M115,1),"")</f>
        <v>T</v>
      </c>
      <c r="M115" s="3">
        <v>74</v>
      </c>
      <c r="N115" s="3" t="str">
        <f>IFERROR(MID(VLOOKUP($B115,Seqs!$A:$B,2,0),O115,1),"")</f>
        <v>R</v>
      </c>
      <c r="O115" s="3">
        <v>104</v>
      </c>
      <c r="P115" s="3" t="str">
        <f>IFERROR(MID(VLOOKUP($B115,Seqs!$A:$B,2,0),Q115,1),"")</f>
        <v>T</v>
      </c>
      <c r="Q115" s="3">
        <v>106</v>
      </c>
      <c r="R115" s="3" t="str">
        <f>IFERROR(MID(VLOOKUP($B115,Seqs!$A:$B,2,0),S115,1),"")</f>
        <v>W</v>
      </c>
      <c r="S115" s="3">
        <v>109</v>
      </c>
      <c r="T115" s="3" t="str">
        <f>IFERROR(MID(VLOOKUP($B115,Seqs!$A:$B,2,0),U115,1),"")</f>
        <v>G</v>
      </c>
      <c r="U115" s="3">
        <v>110</v>
      </c>
      <c r="V115" s="3" t="str">
        <f>IFERROR(MID(VLOOKUP($B115,Seqs!$A:$B,2,0),W115,1),"")</f>
        <v>S</v>
      </c>
      <c r="W115" s="3">
        <v>145</v>
      </c>
      <c r="X115" s="3" t="str">
        <f>IFERROR(MID(VLOOKUP($B115,Seqs!$A:$B,2,0),Y115,1),"")</f>
        <v>P</v>
      </c>
      <c r="Y115" s="3">
        <v>146</v>
      </c>
      <c r="Z115" s="3" t="str">
        <f>IFERROR(MID(VLOOKUP($B115,Seqs!$A:$B,2,0),AA115,1),"")</f>
        <v>M</v>
      </c>
      <c r="AA115" s="3">
        <v>153</v>
      </c>
      <c r="AB115" s="3" t="str">
        <f>IFERROR(MID(VLOOKUP($B115,Seqs!$A:$B,2,0),AC115,1),"")</f>
        <v>T</v>
      </c>
      <c r="AC115" s="3">
        <v>154</v>
      </c>
      <c r="AD115" s="3" t="str">
        <f>IFERROR(MID(VLOOKUP($B115,Seqs!$A:$B,2,0),AE115,1),"")</f>
        <v>H</v>
      </c>
      <c r="AE115" s="3">
        <v>180</v>
      </c>
      <c r="AF115" s="3" t="str">
        <f>IFERROR(MID(VLOOKUP($B115,Seqs!$A:$B,2,0),AG115,1),"")</f>
        <v>C</v>
      </c>
      <c r="AG115" s="3">
        <v>199</v>
      </c>
      <c r="AH115" s="3" t="str">
        <f>IFERROR(MID(VLOOKUP($B115,Seqs!$A:$B,2,0),AI115,1),"")</f>
        <v>F</v>
      </c>
      <c r="AI115" s="3">
        <v>201</v>
      </c>
      <c r="AJ115" s="3" t="str">
        <f>IFERROR(MID(VLOOKUP($B115,Seqs!$A:$B,2,0),AK115,1),"")</f>
        <v>N</v>
      </c>
      <c r="AK115" s="3">
        <v>204</v>
      </c>
      <c r="AL115" s="3" t="str">
        <f>IFERROR(MID(VLOOKUP($B115,Seqs!$A:$B,2,0),AM115,1),"")</f>
        <v>S</v>
      </c>
      <c r="AM115" s="3">
        <v>273</v>
      </c>
      <c r="AN115" s="3" t="str">
        <f>IFERROR(MID(VLOOKUP($B115,Seqs!$A:$B,2,0),AO115,1),"")</f>
        <v>A</v>
      </c>
      <c r="AO115" s="3">
        <v>282</v>
      </c>
      <c r="AP115" s="3" t="str">
        <f>IFERROR(MID(VLOOKUP($B115,Seqs!$A:$B,2,0),AQ115,1),"")</f>
        <v>N</v>
      </c>
      <c r="AQ115" s="3">
        <v>316</v>
      </c>
      <c r="AR115" s="3" t="str">
        <f>IFERROR(MID(VLOOKUP($B115,Seqs!$A:$B,2,0),AS115,1),"")</f>
        <v>P</v>
      </c>
      <c r="AS115" s="3">
        <v>321</v>
      </c>
      <c r="AT115" s="3" t="str">
        <f>IFERROR(MID(VLOOKUP($B115,Seqs!$A:$B,2,0),AU115,1),"")</f>
        <v>R</v>
      </c>
      <c r="AU115" s="3">
        <v>345</v>
      </c>
      <c r="AV115" s="3" t="str">
        <f>IFERROR(MID(VLOOKUP($B115,Seqs!$A:$B,2,0),AW115,1),"")</f>
        <v>S</v>
      </c>
      <c r="AW115" s="3">
        <v>346</v>
      </c>
      <c r="AX115" s="3" t="str">
        <f>IFERROR(MID(VLOOKUP($B115,Seqs!$A:$B,2,0),AY115,1),"")</f>
        <v>L</v>
      </c>
      <c r="AY115" s="3">
        <v>357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ref="BB115" si="896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 t="shared" ref="BC115" si="897">_xlfn.AGGREGATE(9,6,CH115:CS115)-_xlfn.AGGREGATE(9,6,BV115:CG115)+12</f>
        <v>285</v>
      </c>
      <c r="BD115" s="5" t="s">
        <v>1375</v>
      </c>
      <c r="BE115" s="3" t="s">
        <v>1291</v>
      </c>
      <c r="BF115" s="118">
        <v>2.5</v>
      </c>
      <c r="BG115" s="49" t="s">
        <v>1</v>
      </c>
      <c r="BH115" s="49" t="s">
        <v>1</v>
      </c>
      <c r="BI115" s="1"/>
      <c r="BJ115" s="70" t="s">
        <v>1287</v>
      </c>
      <c r="BK115" s="57" t="s">
        <v>1287</v>
      </c>
      <c r="BL115" s="57" t="s">
        <v>1287</v>
      </c>
      <c r="BM115" s="57" t="s">
        <v>1287</v>
      </c>
      <c r="BN115" s="57" t="s">
        <v>1287</v>
      </c>
      <c r="BO115" s="57" t="s">
        <v>1287</v>
      </c>
      <c r="BP115" s="57" t="s">
        <v>1287</v>
      </c>
      <c r="BQ115" s="57" t="s">
        <v>1287</v>
      </c>
      <c r="BR115" s="57" t="s">
        <v>1287</v>
      </c>
      <c r="BS115" s="57" t="s">
        <v>1287</v>
      </c>
      <c r="BT115" s="57" t="s">
        <v>1287</v>
      </c>
      <c r="BU115" s="57" t="s">
        <v>1287</v>
      </c>
      <c r="BV115" s="70">
        <f t="shared" ref="BV115" si="898">E115</f>
        <v>40</v>
      </c>
      <c r="BW115" s="71">
        <f t="shared" ref="BW115" si="899">I115</f>
        <v>70</v>
      </c>
      <c r="BX115" s="72">
        <f t="shared" ref="BX115" si="900">M115</f>
        <v>74</v>
      </c>
      <c r="BY115" s="71">
        <f t="shared" ref="BY115" si="901">Q115</f>
        <v>106</v>
      </c>
      <c r="BZ115" s="72">
        <f t="shared" ref="BZ115" si="902">U115</f>
        <v>110</v>
      </c>
      <c r="CA115" s="71">
        <f t="shared" ref="CA115" si="903">Y115</f>
        <v>146</v>
      </c>
      <c r="CB115" s="72">
        <f t="shared" ref="CB115" si="904">AC115</f>
        <v>154</v>
      </c>
      <c r="CC115" s="71">
        <f t="shared" ref="CC115" si="905">AG115</f>
        <v>199</v>
      </c>
      <c r="CD115" s="72">
        <f t="shared" ref="CD115" si="906">AK115</f>
        <v>204</v>
      </c>
      <c r="CE115" s="71">
        <f t="shared" ref="CE115" si="907">AO115</f>
        <v>282</v>
      </c>
      <c r="CF115" s="72">
        <f t="shared" ref="CF115" si="908">AS115</f>
        <v>321</v>
      </c>
      <c r="CG115" s="71">
        <f t="shared" ref="CG115" si="909">AW115</f>
        <v>346</v>
      </c>
      <c r="CH115" s="70">
        <f t="shared" ref="CH115" si="910">G115</f>
        <v>69</v>
      </c>
      <c r="CI115" s="71">
        <f t="shared" ref="CI115" si="911">K115</f>
        <v>73</v>
      </c>
      <c r="CJ115" s="72">
        <f t="shared" ref="CJ115" si="912">O115</f>
        <v>104</v>
      </c>
      <c r="CK115" s="72">
        <f t="shared" ref="CK115" si="913">S115</f>
        <v>109</v>
      </c>
      <c r="CL115" s="72">
        <f t="shared" ref="CL115" si="914">W115</f>
        <v>145</v>
      </c>
      <c r="CM115" s="72">
        <f t="shared" ref="CM115" si="915">AA115</f>
        <v>153</v>
      </c>
      <c r="CN115" s="72">
        <f t="shared" ref="CN115" si="916">AE115</f>
        <v>180</v>
      </c>
      <c r="CO115" s="72">
        <f t="shared" ref="CO115" si="917">AI115</f>
        <v>201</v>
      </c>
      <c r="CP115" s="72">
        <f t="shared" ref="CP115" si="918">AM115</f>
        <v>273</v>
      </c>
      <c r="CQ115" s="72">
        <f t="shared" ref="CQ115" si="919">AQ115</f>
        <v>316</v>
      </c>
      <c r="CR115" s="72">
        <f t="shared" ref="CR115" si="920">AU115</f>
        <v>345</v>
      </c>
      <c r="CS115" s="72">
        <f t="shared" ref="CS115" si="921">AY115</f>
        <v>357</v>
      </c>
      <c r="CT115" s="23">
        <f t="shared" ref="CT115" si="922">M115-K115</f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ref="A116" si="923">CONCATENATE(B116,"_",C116)</f>
        <v>adrb1_melga_6H7O</v>
      </c>
      <c r="B116" s="3" t="s">
        <v>911</v>
      </c>
      <c r="C116" s="3" t="s">
        <v>1523</v>
      </c>
      <c r="D116" s="3" t="str">
        <f>IFERROR(MID(VLOOKUP($B116,Seqs!$A:$B,2,0),E116,1),"")</f>
        <v>W</v>
      </c>
      <c r="E116" s="3">
        <v>40</v>
      </c>
      <c r="F116" s="3" t="str">
        <f>IFERROR(MID(VLOOKUP($B116,Seqs!$A:$B,2,0),G116,1),"")</f>
        <v>T</v>
      </c>
      <c r="G116" s="3">
        <v>69</v>
      </c>
      <c r="H116" s="3" t="str">
        <f>IFERROR(MID(VLOOKUP($B116,Seqs!$A:$B,2,0),I116,1),"")</f>
        <v>Q</v>
      </c>
      <c r="I116" s="23">
        <v>70</v>
      </c>
      <c r="J116" s="3" t="str">
        <f>IFERROR(MID(VLOOKUP($B116,Seqs!$A:$B,2,0),K116,1),"")</f>
        <v>Q</v>
      </c>
      <c r="K116" s="23">
        <v>73</v>
      </c>
      <c r="L116" s="3" t="str">
        <f>IFERROR(MID(VLOOKUP($B116,Seqs!$A:$B,2,0),M116,1),"")</f>
        <v>T</v>
      </c>
      <c r="M116" s="3">
        <v>74</v>
      </c>
      <c r="N116" s="3" t="str">
        <f>IFERROR(MID(VLOOKUP($B116,Seqs!$A:$B,2,0),O116,1),"")</f>
        <v>R</v>
      </c>
      <c r="O116" s="3">
        <v>104</v>
      </c>
      <c r="P116" s="3" t="str">
        <f>IFERROR(MID(VLOOKUP($B116,Seqs!$A:$B,2,0),Q116,1),"")</f>
        <v>T</v>
      </c>
      <c r="Q116" s="3">
        <v>106</v>
      </c>
      <c r="R116" s="3" t="str">
        <f>IFERROR(MID(VLOOKUP($B116,Seqs!$A:$B,2,0),S116,1),"")</f>
        <v>W</v>
      </c>
      <c r="S116" s="3">
        <v>109</v>
      </c>
      <c r="T116" s="3" t="str">
        <f>IFERROR(MID(VLOOKUP($B116,Seqs!$A:$B,2,0),U116,1),"")</f>
        <v>G</v>
      </c>
      <c r="U116" s="3">
        <v>110</v>
      </c>
      <c r="V116" s="3" t="str">
        <f>IFERROR(MID(VLOOKUP($B116,Seqs!$A:$B,2,0),W116,1),"")</f>
        <v>S</v>
      </c>
      <c r="W116" s="3">
        <v>145</v>
      </c>
      <c r="X116" s="3" t="str">
        <f>IFERROR(MID(VLOOKUP($B116,Seqs!$A:$B,2,0),Y116,1),"")</f>
        <v>P</v>
      </c>
      <c r="Y116" s="3">
        <v>146</v>
      </c>
      <c r="Z116" s="3" t="str">
        <f>IFERROR(MID(VLOOKUP($B116,Seqs!$A:$B,2,0),AA116,1),"")</f>
        <v>M</v>
      </c>
      <c r="AA116" s="3">
        <v>153</v>
      </c>
      <c r="AB116" s="3" t="str">
        <f>IFERROR(MID(VLOOKUP($B116,Seqs!$A:$B,2,0),AC116,1),"")</f>
        <v>T</v>
      </c>
      <c r="AC116" s="3">
        <v>154</v>
      </c>
      <c r="AD116" s="3" t="str">
        <f>IFERROR(MID(VLOOKUP($B116,Seqs!$A:$B,2,0),AE116,1),"")</f>
        <v>H</v>
      </c>
      <c r="AE116" s="3">
        <v>180</v>
      </c>
      <c r="AF116" s="3" t="str">
        <f>IFERROR(MID(VLOOKUP($B116,Seqs!$A:$B,2,0),AG116,1),"")</f>
        <v>C</v>
      </c>
      <c r="AG116" s="3">
        <v>199</v>
      </c>
      <c r="AH116" s="3" t="str">
        <f>IFERROR(MID(VLOOKUP($B116,Seqs!$A:$B,2,0),AI116,1),"")</f>
        <v>F</v>
      </c>
      <c r="AI116" s="3">
        <v>201</v>
      </c>
      <c r="AJ116" s="3" t="str">
        <f>IFERROR(MID(VLOOKUP($B116,Seqs!$A:$B,2,0),AK116,1),"")</f>
        <v>N</v>
      </c>
      <c r="AK116" s="3">
        <v>204</v>
      </c>
      <c r="AL116" s="3" t="str">
        <f>IFERROR(MID(VLOOKUP($B116,Seqs!$A:$B,2,0),AM116,1),"")</f>
        <v>S</v>
      </c>
      <c r="AM116" s="3">
        <v>273</v>
      </c>
      <c r="AN116" s="3" t="str">
        <f>IFERROR(MID(VLOOKUP($B116,Seqs!$A:$B,2,0),AO116,1),"")</f>
        <v>A</v>
      </c>
      <c r="AO116" s="3">
        <v>282</v>
      </c>
      <c r="AP116" s="3" t="str">
        <f>IFERROR(MID(VLOOKUP($B116,Seqs!$A:$B,2,0),AQ116,1),"")</f>
        <v>N</v>
      </c>
      <c r="AQ116" s="3">
        <v>316</v>
      </c>
      <c r="AR116" s="3" t="str">
        <f>IFERROR(MID(VLOOKUP($B116,Seqs!$A:$B,2,0),AS116,1),"")</f>
        <v>P</v>
      </c>
      <c r="AS116" s="3">
        <v>321</v>
      </c>
      <c r="AT116" s="3" t="str">
        <f>IFERROR(MID(VLOOKUP($B116,Seqs!$A:$B,2,0),AU116,1),"")</f>
        <v>R</v>
      </c>
      <c r="AU116" s="3">
        <v>345</v>
      </c>
      <c r="AV116" s="3" t="str">
        <f>IFERROR(MID(VLOOKUP($B116,Seqs!$A:$B,2,0),AW116,1),"")</f>
        <v>S</v>
      </c>
      <c r="AW116" s="3">
        <v>346</v>
      </c>
      <c r="AX116" s="3" t="str">
        <f>IFERROR(MID(VLOOKUP($B116,Seqs!$A:$B,2,0),AY116,1),"")</f>
        <v>L</v>
      </c>
      <c r="AY116" s="3">
        <v>357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ref="BB116" si="924"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23">
        <f t="shared" ref="BC116" si="925">_xlfn.AGGREGATE(9,6,CH116:CS116)-_xlfn.AGGREGATE(9,6,BV116:CG116)+12</f>
        <v>285</v>
      </c>
      <c r="BD116" s="5" t="s">
        <v>23</v>
      </c>
      <c r="BE116" s="3" t="s">
        <v>1291</v>
      </c>
      <c r="BF116" s="118">
        <v>2.8</v>
      </c>
      <c r="BG116" s="49" t="s">
        <v>1</v>
      </c>
      <c r="BH116" s="49" t="s">
        <v>1</v>
      </c>
      <c r="BI116" s="1"/>
      <c r="BJ116" s="70" t="s">
        <v>1287</v>
      </c>
      <c r="BK116" s="57" t="s">
        <v>1287</v>
      </c>
      <c r="BL116" s="57" t="s">
        <v>1287</v>
      </c>
      <c r="BM116" s="57" t="s">
        <v>1287</v>
      </c>
      <c r="BN116" s="57" t="s">
        <v>1287</v>
      </c>
      <c r="BO116" s="57" t="s">
        <v>1287</v>
      </c>
      <c r="BP116" s="57" t="s">
        <v>1287</v>
      </c>
      <c r="BQ116" s="57" t="s">
        <v>1287</v>
      </c>
      <c r="BR116" s="57" t="s">
        <v>1287</v>
      </c>
      <c r="BS116" s="57" t="s">
        <v>1287</v>
      </c>
      <c r="BT116" s="57" t="s">
        <v>1287</v>
      </c>
      <c r="BU116" s="57" t="s">
        <v>1287</v>
      </c>
      <c r="BV116" s="70">
        <f t="shared" ref="BV116" si="926">E116</f>
        <v>40</v>
      </c>
      <c r="BW116" s="71">
        <f t="shared" ref="BW116" si="927">I116</f>
        <v>70</v>
      </c>
      <c r="BX116" s="72">
        <f t="shared" ref="BX116" si="928">M116</f>
        <v>74</v>
      </c>
      <c r="BY116" s="71">
        <f t="shared" ref="BY116" si="929">Q116</f>
        <v>106</v>
      </c>
      <c r="BZ116" s="72">
        <f t="shared" ref="BZ116" si="930">U116</f>
        <v>110</v>
      </c>
      <c r="CA116" s="71">
        <f t="shared" ref="CA116" si="931">Y116</f>
        <v>146</v>
      </c>
      <c r="CB116" s="72">
        <f t="shared" ref="CB116" si="932">AC116</f>
        <v>154</v>
      </c>
      <c r="CC116" s="71">
        <f t="shared" ref="CC116" si="933">AG116</f>
        <v>199</v>
      </c>
      <c r="CD116" s="72">
        <f t="shared" ref="CD116" si="934">AK116</f>
        <v>204</v>
      </c>
      <c r="CE116" s="71">
        <f t="shared" ref="CE116" si="935">AO116</f>
        <v>282</v>
      </c>
      <c r="CF116" s="72">
        <f t="shared" ref="CF116" si="936">AS116</f>
        <v>321</v>
      </c>
      <c r="CG116" s="71">
        <f t="shared" ref="CG116" si="937">AW116</f>
        <v>346</v>
      </c>
      <c r="CH116" s="70">
        <f t="shared" ref="CH116" si="938">G116</f>
        <v>69</v>
      </c>
      <c r="CI116" s="71">
        <f t="shared" ref="CI116" si="939">K116</f>
        <v>73</v>
      </c>
      <c r="CJ116" s="72">
        <f t="shared" ref="CJ116" si="940">O116</f>
        <v>104</v>
      </c>
      <c r="CK116" s="72">
        <f t="shared" ref="CK116" si="941">S116</f>
        <v>109</v>
      </c>
      <c r="CL116" s="72">
        <f t="shared" ref="CL116" si="942">W116</f>
        <v>145</v>
      </c>
      <c r="CM116" s="72">
        <f t="shared" ref="CM116" si="943">AA116</f>
        <v>153</v>
      </c>
      <c r="CN116" s="72">
        <f t="shared" ref="CN116" si="944">AE116</f>
        <v>180</v>
      </c>
      <c r="CO116" s="72">
        <f t="shared" ref="CO116" si="945">AI116</f>
        <v>201</v>
      </c>
      <c r="CP116" s="72">
        <f t="shared" ref="CP116" si="946">AM116</f>
        <v>273</v>
      </c>
      <c r="CQ116" s="72">
        <f t="shared" ref="CQ116" si="947">AQ116</f>
        <v>316</v>
      </c>
      <c r="CR116" s="72">
        <f t="shared" ref="CR116" si="948">AU116</f>
        <v>345</v>
      </c>
      <c r="CS116" s="72">
        <f t="shared" ref="CS116" si="949">AY116</f>
        <v>357</v>
      </c>
      <c r="CT116" s="23">
        <f t="shared" ref="CT116" si="950">M116-K116</f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ref="A117" si="951">CONCATENATE(B117,"_",C117)</f>
        <v>adrb1_melga_6IBL</v>
      </c>
      <c r="B117" s="3" t="s">
        <v>911</v>
      </c>
      <c r="C117" s="3" t="s">
        <v>1550</v>
      </c>
      <c r="D117" s="3" t="str">
        <f>IFERROR(MID(VLOOKUP($B117,Seqs!$A:$B,2,0),E117,1),"")</f>
        <v>E</v>
      </c>
      <c r="E117" s="3">
        <v>41</v>
      </c>
      <c r="F117" s="3" t="str">
        <f>IFERROR(MID(VLOOKUP($B117,Seqs!$A:$B,2,0),G117,1),"")</f>
        <v>T</v>
      </c>
      <c r="G117" s="3">
        <v>69</v>
      </c>
      <c r="H117" s="3" t="str">
        <f>IFERROR(MID(VLOOKUP($B117,Seqs!$A:$B,2,0),I117,1),"")</f>
        <v>Q</v>
      </c>
      <c r="I117" s="23">
        <v>70</v>
      </c>
      <c r="J117" s="3" t="str">
        <f>IFERROR(MID(VLOOKUP($B117,Seqs!$A:$B,2,0),K117,1),"")</f>
        <v>Q</v>
      </c>
      <c r="K117" s="23">
        <v>73</v>
      </c>
      <c r="L117" s="3" t="str">
        <f>IFERROR(MID(VLOOKUP($B117,Seqs!$A:$B,2,0),M117,1),"")</f>
        <v>T</v>
      </c>
      <c r="M117" s="3">
        <v>74</v>
      </c>
      <c r="N117" s="3" t="str">
        <f>IFERROR(MID(VLOOKUP($B117,Seqs!$A:$B,2,0),O117,1),"")</f>
        <v>R</v>
      </c>
      <c r="O117" s="3">
        <v>104</v>
      </c>
      <c r="P117" s="3" t="str">
        <f>IFERROR(MID(VLOOKUP($B117,Seqs!$A:$B,2,0),Q117,1),"")</f>
        <v>T</v>
      </c>
      <c r="Q117" s="3">
        <v>106</v>
      </c>
      <c r="R117" s="3" t="str">
        <f>IFERROR(MID(VLOOKUP($B117,Seqs!$A:$B,2,0),S117,1),"")</f>
        <v>W</v>
      </c>
      <c r="S117" s="3">
        <v>109</v>
      </c>
      <c r="T117" s="3" t="str">
        <f>IFERROR(MID(VLOOKUP($B117,Seqs!$A:$B,2,0),U117,1),"")</f>
        <v>G</v>
      </c>
      <c r="U117" s="3">
        <v>110</v>
      </c>
      <c r="V117" s="3" t="str">
        <f>IFERROR(MID(VLOOKUP($B117,Seqs!$A:$B,2,0),W117,1),"")</f>
        <v>S</v>
      </c>
      <c r="W117" s="3">
        <v>145</v>
      </c>
      <c r="X117" s="3" t="str">
        <f>IFERROR(MID(VLOOKUP($B117,Seqs!$A:$B,2,0),Y117,1),"")</f>
        <v>P</v>
      </c>
      <c r="Y117" s="3">
        <v>146</v>
      </c>
      <c r="Z117" s="3" t="str">
        <f>IFERROR(MID(VLOOKUP($B117,Seqs!$A:$B,2,0),AA117,1),"")</f>
        <v>M</v>
      </c>
      <c r="AA117" s="3">
        <v>153</v>
      </c>
      <c r="AB117" s="3" t="str">
        <f>IFERROR(MID(VLOOKUP($B117,Seqs!$A:$B,2,0),AC117,1),"")</f>
        <v>T</v>
      </c>
      <c r="AC117" s="3">
        <v>154</v>
      </c>
      <c r="AD117" s="3" t="str">
        <f>IFERROR(MID(VLOOKUP($B117,Seqs!$A:$B,2,0),AE117,1),"")</f>
        <v>H</v>
      </c>
      <c r="AE117" s="3">
        <v>180</v>
      </c>
      <c r="AF117" s="3" t="str">
        <f>IFERROR(MID(VLOOKUP($B117,Seqs!$A:$B,2,0),AG117,1),"")</f>
        <v>C</v>
      </c>
      <c r="AG117" s="3">
        <v>199</v>
      </c>
      <c r="AH117" s="3" t="str">
        <f>IFERROR(MID(VLOOKUP($B117,Seqs!$A:$B,2,0),AI117,1),"")</f>
        <v>F</v>
      </c>
      <c r="AI117" s="3">
        <v>201</v>
      </c>
      <c r="AJ117" s="3" t="str">
        <f>IFERROR(MID(VLOOKUP($B117,Seqs!$A:$B,2,0),AK117,1),"")</f>
        <v>N</v>
      </c>
      <c r="AK117" s="3">
        <v>204</v>
      </c>
      <c r="AL117" s="3" t="str">
        <f>IFERROR(MID(VLOOKUP($B117,Seqs!$A:$B,2,0),AM117,1),"")</f>
        <v>S</v>
      </c>
      <c r="AM117" s="3">
        <v>273</v>
      </c>
      <c r="AN117" s="3" t="str">
        <f>IFERROR(MID(VLOOKUP($B117,Seqs!$A:$B,2,0),AO117,1),"")</f>
        <v>A</v>
      </c>
      <c r="AO117" s="3">
        <v>282</v>
      </c>
      <c r="AP117" s="3" t="str">
        <f>IFERROR(MID(VLOOKUP($B117,Seqs!$A:$B,2,0),AQ117,1),"")</f>
        <v>N</v>
      </c>
      <c r="AQ117" s="3">
        <v>316</v>
      </c>
      <c r="AR117" s="3" t="str">
        <f>IFERROR(MID(VLOOKUP($B117,Seqs!$A:$B,2,0),AS117,1),"")</f>
        <v>P</v>
      </c>
      <c r="AS117" s="3">
        <v>321</v>
      </c>
      <c r="AT117" s="3" t="str">
        <f>IFERROR(MID(VLOOKUP($B117,Seqs!$A:$B,2,0),AU117,1),"")</f>
        <v>C</v>
      </c>
      <c r="AU117" s="3">
        <v>344</v>
      </c>
      <c r="AV117" s="3" t="str">
        <f>IFERROR(MID(VLOOKUP($B117,Seqs!$A:$B,2,0),AW117,1),"")</f>
        <v>S</v>
      </c>
      <c r="AW117" s="3">
        <v>346</v>
      </c>
      <c r="AX117" s="3" t="str">
        <f>IFERROR(MID(VLOOKUP($B117,Seqs!$A:$B,2,0),AY117,1),"")</f>
        <v>L</v>
      </c>
      <c r="AY117" s="3">
        <v>357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ref="BB117" si="952">AND(E117&lt;G117,OR(G117&lt;I117,I117="-"),OR(I117&lt;K117,I117="-"),OR(K117&lt;M117,K117="-"),M117&lt;O117,OR(O117&lt;Q117,Q117="-"),OR(Q117&lt;S117,Q117="-"),OR(S117&lt;U117,S117="-"),U117&lt;W117,OR(W117&lt;Y117,Y117="-"),OR(Y117&lt;AA117,Y117="-"),OR(AA117&lt;AC117,AA117="-"),AC117&lt;AE117,OR(AE117&lt;AG117,AG117="-"),OR(AG117&lt;AI117,AG117="-"),OR(AI117&lt;AK117,AI117="-"),AK117&lt;AM117,AM117&lt;AO117,AO117&lt;AQ117,AQ117&lt;AS117,AS117&lt;AU117,OR(AU117&lt;AW117,AW117="-"),OR(AW117&lt;AY117,AW117="-"))</f>
        <v>1</v>
      </c>
      <c r="BC117" s="23">
        <f t="shared" ref="BC117" si="953">_xlfn.AGGREGATE(9,6,CH117:CS117)-_xlfn.AGGREGATE(9,6,BV117:CG117)+12</f>
        <v>283</v>
      </c>
      <c r="BD117" s="5" t="s">
        <v>23</v>
      </c>
      <c r="BE117" s="3" t="s">
        <v>1291</v>
      </c>
      <c r="BF117" s="118">
        <v>2.7</v>
      </c>
      <c r="BG117" s="49" t="s">
        <v>1</v>
      </c>
      <c r="BH117" s="49" t="s">
        <v>1</v>
      </c>
      <c r="BI117" s="1"/>
      <c r="BJ117" s="70" t="s">
        <v>1287</v>
      </c>
      <c r="BK117" s="57" t="s">
        <v>1287</v>
      </c>
      <c r="BL117" s="57" t="s">
        <v>1287</v>
      </c>
      <c r="BM117" s="57" t="s">
        <v>1287</v>
      </c>
      <c r="BN117" s="57" t="s">
        <v>1287</v>
      </c>
      <c r="BO117" s="57" t="s">
        <v>1287</v>
      </c>
      <c r="BP117" s="57" t="s">
        <v>1287</v>
      </c>
      <c r="BQ117" s="57" t="s">
        <v>1287</v>
      </c>
      <c r="BR117" s="57" t="s">
        <v>1287</v>
      </c>
      <c r="BS117" s="57" t="s">
        <v>1287</v>
      </c>
      <c r="BT117" s="57" t="s">
        <v>1287</v>
      </c>
      <c r="BU117" s="57" t="s">
        <v>1287</v>
      </c>
      <c r="BV117" s="70">
        <f t="shared" ref="BV117" si="954">E117</f>
        <v>41</v>
      </c>
      <c r="BW117" s="71">
        <f t="shared" ref="BW117" si="955">I117</f>
        <v>70</v>
      </c>
      <c r="BX117" s="72">
        <f t="shared" ref="BX117" si="956">M117</f>
        <v>74</v>
      </c>
      <c r="BY117" s="71">
        <f t="shared" ref="BY117" si="957">Q117</f>
        <v>106</v>
      </c>
      <c r="BZ117" s="72">
        <f t="shared" ref="BZ117" si="958">U117</f>
        <v>110</v>
      </c>
      <c r="CA117" s="71">
        <f t="shared" ref="CA117" si="959">Y117</f>
        <v>146</v>
      </c>
      <c r="CB117" s="72">
        <f t="shared" ref="CB117" si="960">AC117</f>
        <v>154</v>
      </c>
      <c r="CC117" s="71">
        <f t="shared" ref="CC117" si="961">AG117</f>
        <v>199</v>
      </c>
      <c r="CD117" s="72">
        <f t="shared" ref="CD117" si="962">AK117</f>
        <v>204</v>
      </c>
      <c r="CE117" s="71">
        <f t="shared" ref="CE117" si="963">AO117</f>
        <v>282</v>
      </c>
      <c r="CF117" s="72">
        <f t="shared" ref="CF117" si="964">AS117</f>
        <v>321</v>
      </c>
      <c r="CG117" s="71">
        <f t="shared" ref="CG117" si="965">AW117</f>
        <v>346</v>
      </c>
      <c r="CH117" s="70">
        <f t="shared" ref="CH117" si="966">G117</f>
        <v>69</v>
      </c>
      <c r="CI117" s="71">
        <f t="shared" ref="CI117" si="967">K117</f>
        <v>73</v>
      </c>
      <c r="CJ117" s="72">
        <f t="shared" ref="CJ117" si="968">O117</f>
        <v>104</v>
      </c>
      <c r="CK117" s="72">
        <f t="shared" ref="CK117" si="969">S117</f>
        <v>109</v>
      </c>
      <c r="CL117" s="72">
        <f t="shared" ref="CL117" si="970">W117</f>
        <v>145</v>
      </c>
      <c r="CM117" s="72">
        <f t="shared" ref="CM117" si="971">AA117</f>
        <v>153</v>
      </c>
      <c r="CN117" s="72">
        <f t="shared" ref="CN117" si="972">AE117</f>
        <v>180</v>
      </c>
      <c r="CO117" s="72">
        <f t="shared" ref="CO117" si="973">AI117</f>
        <v>201</v>
      </c>
      <c r="CP117" s="72">
        <f t="shared" ref="CP117" si="974">AM117</f>
        <v>273</v>
      </c>
      <c r="CQ117" s="72">
        <f t="shared" ref="CQ117" si="975">AQ117</f>
        <v>316</v>
      </c>
      <c r="CR117" s="72">
        <f t="shared" ref="CR117" si="976">AU117</f>
        <v>344</v>
      </c>
      <c r="CS117" s="72">
        <f t="shared" ref="CS117" si="977">AY117</f>
        <v>357</v>
      </c>
      <c r="CT117" s="23">
        <f t="shared" ref="CT117" si="978">M117-K117</f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503"/>
        <v>adrb2_human__wt</v>
      </c>
      <c r="B118" s="3" t="s">
        <v>126</v>
      </c>
      <c r="C118" s="3" t="s">
        <v>100</v>
      </c>
      <c r="D118" s="3" t="str">
        <f>IFERROR(MID(VLOOKUP($B118,Seqs!$A:$B,2,0),E118,1),"")</f>
        <v>Q</v>
      </c>
      <c r="E118" s="3">
        <v>26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>P</v>
      </c>
      <c r="Y118" s="3">
        <v>138</v>
      </c>
      <c r="Z118" s="3" t="str">
        <f>IFERROR(MID(VLOOKUP($B118,Seqs!$A:$B,2,0),AA118,1),"")</f>
        <v>L</v>
      </c>
      <c r="AA118" s="3">
        <v>145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E</v>
      </c>
      <c r="AM118" s="3">
        <v>237</v>
      </c>
      <c r="AN118" s="3" t="str">
        <f>IFERROR(MID(VLOOKUP($B118,Seqs!$A:$B,2,0),AO118,1),"")</f>
        <v>S</v>
      </c>
      <c r="AO118" s="3">
        <v>262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504"/>
        <v>1</v>
      </c>
      <c r="BC118" s="23">
        <f t="shared" si="785"/>
        <v>267</v>
      </c>
      <c r="BD118" s="56" t="s">
        <v>23</v>
      </c>
      <c r="BE118" s="3" t="s">
        <v>23</v>
      </c>
      <c r="BF118" s="118" t="s">
        <v>23</v>
      </c>
      <c r="BG118" s="49" t="s">
        <v>1372</v>
      </c>
      <c r="BH118" s="49" t="s">
        <v>1377</v>
      </c>
      <c r="BI118" s="3" t="s">
        <v>1165</v>
      </c>
      <c r="BJ118" s="70" t="s">
        <v>1287</v>
      </c>
      <c r="BK118" s="57" t="s">
        <v>1287</v>
      </c>
      <c r="BL118" s="57" t="s">
        <v>1287</v>
      </c>
      <c r="BM118" s="57" t="s">
        <v>1287</v>
      </c>
      <c r="BN118" s="57" t="s">
        <v>1287</v>
      </c>
      <c r="BO118" s="57" t="s">
        <v>1287</v>
      </c>
      <c r="BP118" s="57" t="s">
        <v>1287</v>
      </c>
      <c r="BQ118" s="57" t="s">
        <v>1287</v>
      </c>
      <c r="BR118" s="57" t="s">
        <v>1287</v>
      </c>
      <c r="BS118" s="57" t="s">
        <v>1287</v>
      </c>
      <c r="BT118" s="57" t="s">
        <v>1287</v>
      </c>
      <c r="BU118" s="57" t="s">
        <v>1287</v>
      </c>
      <c r="BV118" s="70">
        <f t="shared" si="786"/>
        <v>26</v>
      </c>
      <c r="BW118" s="71">
        <f t="shared" si="787"/>
        <v>62</v>
      </c>
      <c r="BX118" s="72">
        <f t="shared" si="788"/>
        <v>66</v>
      </c>
      <c r="BY118" s="71">
        <f t="shared" si="789"/>
        <v>98</v>
      </c>
      <c r="BZ118" s="72">
        <f t="shared" si="790"/>
        <v>102</v>
      </c>
      <c r="CA118" s="71">
        <f t="shared" si="791"/>
        <v>138</v>
      </c>
      <c r="CB118" s="72">
        <f t="shared" si="792"/>
        <v>146</v>
      </c>
      <c r="CC118" s="71">
        <f t="shared" si="793"/>
        <v>191</v>
      </c>
      <c r="CD118" s="72">
        <f t="shared" si="794"/>
        <v>196</v>
      </c>
      <c r="CE118" s="71">
        <f t="shared" si="795"/>
        <v>262</v>
      </c>
      <c r="CF118" s="72">
        <f t="shared" si="796"/>
        <v>304</v>
      </c>
      <c r="CG118" s="71">
        <f t="shared" si="797"/>
        <v>329</v>
      </c>
      <c r="CH118" s="70">
        <f t="shared" si="798"/>
        <v>61</v>
      </c>
      <c r="CI118" s="71">
        <f t="shared" si="799"/>
        <v>65</v>
      </c>
      <c r="CJ118" s="72">
        <f t="shared" si="800"/>
        <v>96</v>
      </c>
      <c r="CK118" s="72">
        <f t="shared" si="801"/>
        <v>101</v>
      </c>
      <c r="CL118" s="72">
        <f t="shared" si="802"/>
        <v>137</v>
      </c>
      <c r="CM118" s="72">
        <f t="shared" si="803"/>
        <v>145</v>
      </c>
      <c r="CN118" s="72">
        <f t="shared" si="804"/>
        <v>172</v>
      </c>
      <c r="CO118" s="72">
        <f t="shared" si="805"/>
        <v>193</v>
      </c>
      <c r="CP118" s="72">
        <f t="shared" si="806"/>
        <v>237</v>
      </c>
      <c r="CQ118" s="72">
        <f t="shared" si="807"/>
        <v>299</v>
      </c>
      <c r="CR118" s="72">
        <f t="shared" si="808"/>
        <v>328</v>
      </c>
      <c r="CS118" s="72">
        <f t="shared" si="809"/>
        <v>341</v>
      </c>
      <c r="CT118" s="23">
        <f t="shared" si="810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503"/>
        <v>adrb2_human_2RH1</v>
      </c>
      <c r="B119" s="3" t="s">
        <v>126</v>
      </c>
      <c r="C119" s="3" t="s">
        <v>75</v>
      </c>
      <c r="D119" s="3" t="str">
        <f>IFERROR(MID(VLOOKUP($B119,Seqs!$A:$B,2,0),E119,1),"")</f>
        <v>D</v>
      </c>
      <c r="E119" s="3">
        <v>29</v>
      </c>
      <c r="F119" s="3" t="str">
        <f>IFERROR(MID(VLOOKUP($B119,Seqs!$A:$B,2,0),G119,1),"")</f>
        <v>F</v>
      </c>
      <c r="G119" s="3">
        <v>61</v>
      </c>
      <c r="H119" s="3" t="str">
        <f>IFERROR(MID(VLOOKUP($B119,Seqs!$A:$B,2,0),I119,1),"")</f>
        <v>E</v>
      </c>
      <c r="I119" s="23">
        <v>62</v>
      </c>
      <c r="J119" s="3" t="str">
        <f>IFERROR(MID(VLOOKUP($B119,Seqs!$A:$B,2,0),K119,1),"")</f>
        <v>Q</v>
      </c>
      <c r="K119" s="23">
        <v>65</v>
      </c>
      <c r="L119" s="3" t="str">
        <f>IFERROR(MID(VLOOKUP($B119,Seqs!$A:$B,2,0),M119,1),"")</f>
        <v>T</v>
      </c>
      <c r="M119" s="3">
        <v>66</v>
      </c>
      <c r="N119" s="3" t="str">
        <f>IFERROR(MID(VLOOKUP($B119,Seqs!$A:$B,2,0),O119,1),"")</f>
        <v>M</v>
      </c>
      <c r="O119" s="3">
        <v>96</v>
      </c>
      <c r="P119" s="3" t="str">
        <f>IFERROR(MID(VLOOKUP($B119,Seqs!$A:$B,2,0),Q119,1),"")</f>
        <v>M</v>
      </c>
      <c r="Q119" s="3">
        <v>98</v>
      </c>
      <c r="R119" s="3" t="str">
        <f>IFERROR(MID(VLOOKUP($B119,Seqs!$A:$B,2,0),S119,1),"")</f>
        <v>F</v>
      </c>
      <c r="S119" s="3">
        <v>101</v>
      </c>
      <c r="T119" s="3" t="str">
        <f>IFERROR(MID(VLOOKUP($B119,Seqs!$A:$B,2,0),U119,1),"")</f>
        <v>G</v>
      </c>
      <c r="U119" s="3">
        <v>102</v>
      </c>
      <c r="V119" s="3" t="str">
        <f>IFERROR(MID(VLOOKUP($B119,Seqs!$A:$B,2,0),W119,1),"")</f>
        <v>S</v>
      </c>
      <c r="W119" s="3">
        <v>137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T</v>
      </c>
      <c r="AC119" s="9">
        <v>146</v>
      </c>
      <c r="AD119" s="3" t="str">
        <f>IFERROR(MID(VLOOKUP($B119,Seqs!$A:$B,2,0),AE119,1),"")</f>
        <v>H</v>
      </c>
      <c r="AE119" s="3">
        <v>172</v>
      </c>
      <c r="AF119" s="3" t="str">
        <f>IFERROR(MID(VLOOKUP($B119,Seqs!$A:$B,2,0),AG119,1),"")</f>
        <v>C</v>
      </c>
      <c r="AG119" s="3">
        <v>191</v>
      </c>
      <c r="AH119" s="3" t="str">
        <f>IFERROR(MID(VLOOKUP($B119,Seqs!$A:$B,2,0),AI119,1),"")</f>
        <v>F</v>
      </c>
      <c r="AI119" s="3">
        <v>193</v>
      </c>
      <c r="AJ119" s="3" t="str">
        <f>IFERROR(MID(VLOOKUP($B119,Seqs!$A:$B,2,0),AK119,1),"")</f>
        <v>N</v>
      </c>
      <c r="AK119" s="3">
        <v>196</v>
      </c>
      <c r="AL119" s="3" t="str">
        <f>IFERROR(MID(VLOOKUP($B119,Seqs!$A:$B,2,0),AM119,1),"")</f>
        <v>Q</v>
      </c>
      <c r="AM119" s="3">
        <v>229</v>
      </c>
      <c r="AN119" s="3" t="str">
        <f>IFERROR(MID(VLOOKUP($B119,Seqs!$A:$B,2,0),AO119,1),"")</f>
        <v>K</v>
      </c>
      <c r="AO119" s="3">
        <v>267</v>
      </c>
      <c r="AP119" s="3" t="str">
        <f>IFERROR(MID(VLOOKUP($B119,Seqs!$A:$B,2,0),AQ119,1),"")</f>
        <v>Q</v>
      </c>
      <c r="AQ119" s="3">
        <v>299</v>
      </c>
      <c r="AR119" s="3" t="str">
        <f>IFERROR(MID(VLOOKUP($B119,Seqs!$A:$B,2,0),AS119,1),"")</f>
        <v>R</v>
      </c>
      <c r="AS119" s="3">
        <v>304</v>
      </c>
      <c r="AT119" s="3" t="str">
        <f>IFERROR(MID(VLOOKUP($B119,Seqs!$A:$B,2,0),AU119,1),"")</f>
        <v>R</v>
      </c>
      <c r="AU119" s="3">
        <v>328</v>
      </c>
      <c r="AV119" s="3" t="str">
        <f>IFERROR(MID(VLOOKUP($B119,Seqs!$A:$B,2,0),AW119,1),"")</f>
        <v>S</v>
      </c>
      <c r="AW119" s="3">
        <v>329</v>
      </c>
      <c r="AX119" s="3" t="str">
        <f>IFERROR(MID(VLOOKUP($B119,Seqs!$A:$B,2,0),AY119,1),"")</f>
        <v>C</v>
      </c>
      <c r="AY119" s="3">
        <v>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504"/>
        <v>1</v>
      </c>
      <c r="BC119" s="23">
        <f t="shared" si="785"/>
        <v>244</v>
      </c>
      <c r="BD119" s="4" t="s">
        <v>23</v>
      </c>
      <c r="BE119" s="3" t="s">
        <v>1374</v>
      </c>
      <c r="BF119" s="118">
        <v>2.4</v>
      </c>
      <c r="BG119" s="49" t="s">
        <v>1377</v>
      </c>
      <c r="BH119" s="49" t="s">
        <v>1377</v>
      </c>
      <c r="BI119" s="1"/>
      <c r="BJ119" s="70" t="s">
        <v>1287</v>
      </c>
      <c r="BK119" s="57" t="s">
        <v>1287</v>
      </c>
      <c r="BL119" s="57" t="s">
        <v>1287</v>
      </c>
      <c r="BM119" s="57" t="s">
        <v>1287</v>
      </c>
      <c r="BN119" s="57" t="s">
        <v>1287</v>
      </c>
      <c r="BO119" s="57" t="s">
        <v>1287</v>
      </c>
      <c r="BP119" s="57" t="s">
        <v>1287</v>
      </c>
      <c r="BQ119" s="57" t="s">
        <v>1287</v>
      </c>
      <c r="BR119" s="57" t="s">
        <v>1287</v>
      </c>
      <c r="BS119" s="57" t="s">
        <v>1287</v>
      </c>
      <c r="BT119" s="57" t="s">
        <v>1287</v>
      </c>
      <c r="BU119" s="57" t="s">
        <v>1287</v>
      </c>
      <c r="BV119" s="70">
        <f t="shared" si="786"/>
        <v>29</v>
      </c>
      <c r="BW119" s="71">
        <f t="shared" si="787"/>
        <v>62</v>
      </c>
      <c r="BX119" s="72">
        <f t="shared" si="788"/>
        <v>66</v>
      </c>
      <c r="BY119" s="71">
        <f t="shared" si="789"/>
        <v>98</v>
      </c>
      <c r="BZ119" s="72">
        <f t="shared" si="790"/>
        <v>102</v>
      </c>
      <c r="CA119" s="71" t="str">
        <f t="shared" si="791"/>
        <v>-</v>
      </c>
      <c r="CB119" s="72">
        <f t="shared" si="792"/>
        <v>146</v>
      </c>
      <c r="CC119" s="71">
        <f t="shared" si="793"/>
        <v>191</v>
      </c>
      <c r="CD119" s="72">
        <f t="shared" si="794"/>
        <v>196</v>
      </c>
      <c r="CE119" s="71">
        <f t="shared" si="795"/>
        <v>267</v>
      </c>
      <c r="CF119" s="72">
        <f t="shared" si="796"/>
        <v>304</v>
      </c>
      <c r="CG119" s="71">
        <f t="shared" si="797"/>
        <v>329</v>
      </c>
      <c r="CH119" s="70">
        <f t="shared" si="798"/>
        <v>61</v>
      </c>
      <c r="CI119" s="71">
        <f t="shared" si="799"/>
        <v>65</v>
      </c>
      <c r="CJ119" s="72">
        <f t="shared" si="800"/>
        <v>96</v>
      </c>
      <c r="CK119" s="72">
        <f t="shared" si="801"/>
        <v>101</v>
      </c>
      <c r="CL119" s="72">
        <f t="shared" si="802"/>
        <v>137</v>
      </c>
      <c r="CM119" s="72" t="str">
        <f t="shared" si="803"/>
        <v>-</v>
      </c>
      <c r="CN119" s="72">
        <f t="shared" si="804"/>
        <v>172</v>
      </c>
      <c r="CO119" s="72">
        <f t="shared" si="805"/>
        <v>193</v>
      </c>
      <c r="CP119" s="72">
        <f t="shared" si="806"/>
        <v>229</v>
      </c>
      <c r="CQ119" s="72">
        <f t="shared" si="807"/>
        <v>299</v>
      </c>
      <c r="CR119" s="72">
        <f t="shared" si="808"/>
        <v>328</v>
      </c>
      <c r="CS119" s="72">
        <f t="shared" si="809"/>
        <v>341</v>
      </c>
      <c r="CT119" s="23">
        <f t="shared" si="810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503"/>
        <v>adrb2_human_3D4S</v>
      </c>
      <c r="B120" s="3" t="s">
        <v>126</v>
      </c>
      <c r="C120" s="3" t="s">
        <v>76</v>
      </c>
      <c r="D120" s="3" t="str">
        <f>IFERROR(MID(VLOOKUP($B120,Seqs!$A:$B,2,0),E120,1),"")</f>
        <v>W</v>
      </c>
      <c r="E120" s="3">
        <v>32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S</v>
      </c>
      <c r="W120" s="3">
        <v>137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T</v>
      </c>
      <c r="AC120" s="9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Q</v>
      </c>
      <c r="AM120" s="3">
        <v>229</v>
      </c>
      <c r="AN120" s="3" t="str">
        <f>IFERROR(MID(VLOOKUP($B120,Seqs!$A:$B,2,0),AO120,1),"")</f>
        <v>K</v>
      </c>
      <c r="AO120" s="3">
        <v>267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504"/>
        <v>1</v>
      </c>
      <c r="BC120" s="23">
        <f t="shared" si="785"/>
        <v>241</v>
      </c>
      <c r="BD120" s="4" t="s">
        <v>23</v>
      </c>
      <c r="BE120" s="3" t="s">
        <v>1374</v>
      </c>
      <c r="BF120" s="118">
        <v>2.8</v>
      </c>
      <c r="BG120" s="49" t="s">
        <v>1377</v>
      </c>
      <c r="BH120" s="49" t="s">
        <v>1377</v>
      </c>
      <c r="BI120" s="1"/>
      <c r="BJ120" s="70" t="s">
        <v>1287</v>
      </c>
      <c r="BK120" s="57" t="s">
        <v>1287</v>
      </c>
      <c r="BL120" s="57" t="s">
        <v>1287</v>
      </c>
      <c r="BM120" s="57" t="s">
        <v>1287</v>
      </c>
      <c r="BN120" s="57" t="s">
        <v>1287</v>
      </c>
      <c r="BO120" s="57" t="s">
        <v>1287</v>
      </c>
      <c r="BP120" s="57" t="s">
        <v>1287</v>
      </c>
      <c r="BQ120" s="57" t="s">
        <v>1287</v>
      </c>
      <c r="BR120" s="57" t="s">
        <v>1287</v>
      </c>
      <c r="BS120" s="57" t="s">
        <v>1287</v>
      </c>
      <c r="BT120" s="57" t="s">
        <v>1287</v>
      </c>
      <c r="BU120" s="57" t="s">
        <v>1287</v>
      </c>
      <c r="BV120" s="70">
        <f t="shared" si="786"/>
        <v>32</v>
      </c>
      <c r="BW120" s="71">
        <f t="shared" si="787"/>
        <v>62</v>
      </c>
      <c r="BX120" s="72">
        <f t="shared" si="788"/>
        <v>66</v>
      </c>
      <c r="BY120" s="71">
        <f t="shared" si="789"/>
        <v>98</v>
      </c>
      <c r="BZ120" s="72">
        <f t="shared" si="790"/>
        <v>102</v>
      </c>
      <c r="CA120" s="71" t="str">
        <f t="shared" si="791"/>
        <v>-</v>
      </c>
      <c r="CB120" s="72">
        <f t="shared" si="792"/>
        <v>146</v>
      </c>
      <c r="CC120" s="71">
        <f t="shared" si="793"/>
        <v>191</v>
      </c>
      <c r="CD120" s="72">
        <f t="shared" si="794"/>
        <v>196</v>
      </c>
      <c r="CE120" s="71">
        <f t="shared" si="795"/>
        <v>267</v>
      </c>
      <c r="CF120" s="72">
        <f t="shared" si="796"/>
        <v>304</v>
      </c>
      <c r="CG120" s="71">
        <f t="shared" si="797"/>
        <v>329</v>
      </c>
      <c r="CH120" s="70">
        <f t="shared" si="798"/>
        <v>61</v>
      </c>
      <c r="CI120" s="71">
        <f t="shared" si="799"/>
        <v>65</v>
      </c>
      <c r="CJ120" s="72">
        <f t="shared" si="800"/>
        <v>96</v>
      </c>
      <c r="CK120" s="72">
        <f t="shared" si="801"/>
        <v>101</v>
      </c>
      <c r="CL120" s="72">
        <f t="shared" si="802"/>
        <v>137</v>
      </c>
      <c r="CM120" s="72" t="str">
        <f t="shared" si="803"/>
        <v>-</v>
      </c>
      <c r="CN120" s="72">
        <f t="shared" si="804"/>
        <v>172</v>
      </c>
      <c r="CO120" s="72">
        <f t="shared" si="805"/>
        <v>193</v>
      </c>
      <c r="CP120" s="72">
        <f t="shared" si="806"/>
        <v>229</v>
      </c>
      <c r="CQ120" s="72">
        <f t="shared" si="807"/>
        <v>299</v>
      </c>
      <c r="CR120" s="72">
        <f t="shared" si="808"/>
        <v>328</v>
      </c>
      <c r="CS120" s="72">
        <f t="shared" si="809"/>
        <v>341</v>
      </c>
      <c r="CT120" s="23">
        <f t="shared" si="810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503"/>
        <v>adrb2_human_3NY8</v>
      </c>
      <c r="B121" s="3" t="s">
        <v>126</v>
      </c>
      <c r="C121" s="3" t="s">
        <v>1333</v>
      </c>
      <c r="D121" s="3" t="str">
        <f>IFERROR(MID(VLOOKUP($B121,Seqs!$A:$B,2,0),E121,1),"")</f>
        <v>W</v>
      </c>
      <c r="E121" s="3">
        <v>32</v>
      </c>
      <c r="F121" s="3" t="str">
        <f>IFERROR(MID(VLOOKUP($B121,Seqs!$A:$B,2,0),G121,1),"")</f>
        <v>F</v>
      </c>
      <c r="G121" s="3">
        <v>61</v>
      </c>
      <c r="H121" s="3" t="str">
        <f>IFERROR(MID(VLOOKUP($B121,Seqs!$A:$B,2,0),I121,1),"")</f>
        <v>E</v>
      </c>
      <c r="I121" s="23">
        <v>62</v>
      </c>
      <c r="J121" s="3" t="str">
        <f>IFERROR(MID(VLOOKUP($B121,Seqs!$A:$B,2,0),K121,1),"")</f>
        <v>Q</v>
      </c>
      <c r="K121" s="23">
        <v>65</v>
      </c>
      <c r="L121" s="3" t="str">
        <f>IFERROR(MID(VLOOKUP($B121,Seqs!$A:$B,2,0),M121,1),"")</f>
        <v>T</v>
      </c>
      <c r="M121" s="3">
        <v>66</v>
      </c>
      <c r="N121" s="3" t="str">
        <f>IFERROR(MID(VLOOKUP($B121,Seqs!$A:$B,2,0),O121,1),"")</f>
        <v>M</v>
      </c>
      <c r="O121" s="3">
        <v>96</v>
      </c>
      <c r="P121" s="3" t="str">
        <f>IFERROR(MID(VLOOKUP($B121,Seqs!$A:$B,2,0),Q121,1),"")</f>
        <v>M</v>
      </c>
      <c r="Q121" s="3">
        <v>98</v>
      </c>
      <c r="R121" s="3" t="str">
        <f>IFERROR(MID(VLOOKUP($B121,Seqs!$A:$B,2,0),S121,1),"")</f>
        <v>F</v>
      </c>
      <c r="S121" s="3">
        <v>101</v>
      </c>
      <c r="T121" s="3" t="str">
        <f>IFERROR(MID(VLOOKUP($B121,Seqs!$A:$B,2,0),U121,1),"")</f>
        <v>G</v>
      </c>
      <c r="U121" s="3">
        <v>102</v>
      </c>
      <c r="V121" s="3" t="str">
        <f>IFERROR(MID(VLOOKUP($B121,Seqs!$A:$B,2,0),W121,1),"")</f>
        <v>S</v>
      </c>
      <c r="W121" s="3">
        <v>137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T</v>
      </c>
      <c r="AC121" s="9">
        <v>146</v>
      </c>
      <c r="AD121" s="3" t="str">
        <f>IFERROR(MID(VLOOKUP($B121,Seqs!$A:$B,2,0),AE121,1),"")</f>
        <v>H</v>
      </c>
      <c r="AE121" s="3">
        <v>172</v>
      </c>
      <c r="AF121" s="3" t="str">
        <f>IFERROR(MID(VLOOKUP($B121,Seqs!$A:$B,2,0),AG121,1),"")</f>
        <v>C</v>
      </c>
      <c r="AG121" s="3">
        <v>191</v>
      </c>
      <c r="AH121" s="3" t="str">
        <f>IFERROR(MID(VLOOKUP($B121,Seqs!$A:$B,2,0),AI121,1),"")</f>
        <v>F</v>
      </c>
      <c r="AI121" s="3">
        <v>193</v>
      </c>
      <c r="AJ121" s="3" t="str">
        <f>IFERROR(MID(VLOOKUP($B121,Seqs!$A:$B,2,0),AK121,1),"")</f>
        <v>N</v>
      </c>
      <c r="AK121" s="3">
        <v>196</v>
      </c>
      <c r="AL121" s="3" t="str">
        <f>IFERROR(MID(VLOOKUP($B121,Seqs!$A:$B,2,0),AM121,1),"")</f>
        <v>Q</v>
      </c>
      <c r="AM121" s="3">
        <v>229</v>
      </c>
      <c r="AN121" s="3" t="str">
        <f>IFERROR(MID(VLOOKUP($B121,Seqs!$A:$B,2,0),AO121,1),"")</f>
        <v>K</v>
      </c>
      <c r="AO121" s="3">
        <v>267</v>
      </c>
      <c r="AP121" s="3" t="str">
        <f>IFERROR(MID(VLOOKUP($B121,Seqs!$A:$B,2,0),AQ121,1),"")</f>
        <v>Q</v>
      </c>
      <c r="AQ121" s="3">
        <v>299</v>
      </c>
      <c r="AR121" s="3" t="str">
        <f>IFERROR(MID(VLOOKUP($B121,Seqs!$A:$B,2,0),AS121,1),"")</f>
        <v>R</v>
      </c>
      <c r="AS121" s="3">
        <v>304</v>
      </c>
      <c r="AT121" s="3" t="str">
        <f>IFERROR(MID(VLOOKUP($B121,Seqs!$A:$B,2,0),AU121,1),"")</f>
        <v>R</v>
      </c>
      <c r="AU121" s="3">
        <v>328</v>
      </c>
      <c r="AV121" s="3" t="str">
        <f>IFERROR(MID(VLOOKUP($B121,Seqs!$A:$B,2,0),AW121,1),"")</f>
        <v>S</v>
      </c>
      <c r="AW121" s="3">
        <v>329</v>
      </c>
      <c r="AX121" s="3" t="str">
        <f>IFERROR(MID(VLOOKUP($B121,Seqs!$A:$B,2,0),AY121,1),"")</f>
        <v>C</v>
      </c>
      <c r="AY121" s="3">
        <v>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504"/>
        <v>1</v>
      </c>
      <c r="BC121" s="23">
        <f t="shared" si="785"/>
        <v>241</v>
      </c>
      <c r="BD121" s="4" t="s">
        <v>23</v>
      </c>
      <c r="BE121" s="3" t="s">
        <v>1374</v>
      </c>
      <c r="BF121" s="118">
        <v>2.84</v>
      </c>
      <c r="BG121" s="49" t="s">
        <v>1377</v>
      </c>
      <c r="BH121" s="49" t="s">
        <v>1377</v>
      </c>
      <c r="BI121" s="1"/>
      <c r="BJ121" s="70" t="s">
        <v>1287</v>
      </c>
      <c r="BK121" s="57" t="s">
        <v>1287</v>
      </c>
      <c r="BL121" s="57" t="s">
        <v>1287</v>
      </c>
      <c r="BM121" s="57" t="s">
        <v>1287</v>
      </c>
      <c r="BN121" s="57" t="s">
        <v>1287</v>
      </c>
      <c r="BO121" s="57" t="s">
        <v>1287</v>
      </c>
      <c r="BP121" s="57" t="s">
        <v>1287</v>
      </c>
      <c r="BQ121" s="57" t="s">
        <v>1287</v>
      </c>
      <c r="BR121" s="57" t="s">
        <v>1287</v>
      </c>
      <c r="BS121" s="57" t="s">
        <v>1287</v>
      </c>
      <c r="BT121" s="57" t="s">
        <v>1287</v>
      </c>
      <c r="BU121" s="57" t="s">
        <v>1287</v>
      </c>
      <c r="BV121" s="70">
        <f t="shared" si="786"/>
        <v>32</v>
      </c>
      <c r="BW121" s="71">
        <f t="shared" si="787"/>
        <v>62</v>
      </c>
      <c r="BX121" s="72">
        <f t="shared" si="788"/>
        <v>66</v>
      </c>
      <c r="BY121" s="71">
        <f t="shared" si="789"/>
        <v>98</v>
      </c>
      <c r="BZ121" s="72">
        <f t="shared" si="790"/>
        <v>102</v>
      </c>
      <c r="CA121" s="71" t="str">
        <f t="shared" si="791"/>
        <v>-</v>
      </c>
      <c r="CB121" s="72">
        <f t="shared" si="792"/>
        <v>146</v>
      </c>
      <c r="CC121" s="71">
        <f t="shared" si="793"/>
        <v>191</v>
      </c>
      <c r="CD121" s="72">
        <f t="shared" si="794"/>
        <v>196</v>
      </c>
      <c r="CE121" s="71">
        <f t="shared" si="795"/>
        <v>267</v>
      </c>
      <c r="CF121" s="72">
        <f t="shared" si="796"/>
        <v>304</v>
      </c>
      <c r="CG121" s="71">
        <f t="shared" si="797"/>
        <v>329</v>
      </c>
      <c r="CH121" s="70">
        <f t="shared" si="798"/>
        <v>61</v>
      </c>
      <c r="CI121" s="71">
        <f t="shared" si="799"/>
        <v>65</v>
      </c>
      <c r="CJ121" s="72">
        <f t="shared" si="800"/>
        <v>96</v>
      </c>
      <c r="CK121" s="72">
        <f t="shared" si="801"/>
        <v>101</v>
      </c>
      <c r="CL121" s="72">
        <f t="shared" si="802"/>
        <v>137</v>
      </c>
      <c r="CM121" s="72" t="str">
        <f t="shared" si="803"/>
        <v>-</v>
      </c>
      <c r="CN121" s="72">
        <f t="shared" si="804"/>
        <v>172</v>
      </c>
      <c r="CO121" s="72">
        <f t="shared" si="805"/>
        <v>193</v>
      </c>
      <c r="CP121" s="72">
        <f t="shared" si="806"/>
        <v>229</v>
      </c>
      <c r="CQ121" s="72">
        <f t="shared" si="807"/>
        <v>299</v>
      </c>
      <c r="CR121" s="72">
        <f t="shared" si="808"/>
        <v>328</v>
      </c>
      <c r="CS121" s="72">
        <f t="shared" si="809"/>
        <v>341</v>
      </c>
      <c r="CT121" s="23">
        <f t="shared" si="810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503"/>
        <v>adrb2_human_3NY9</v>
      </c>
      <c r="B122" s="3" t="s">
        <v>126</v>
      </c>
      <c r="C122" s="3" t="s">
        <v>1029</v>
      </c>
      <c r="D122" s="3" t="str">
        <f>IFERROR(MID(VLOOKUP($B122,Seqs!$A:$B,2,0),E122,1),"")</f>
        <v>W</v>
      </c>
      <c r="E122" s="3">
        <v>32</v>
      </c>
      <c r="F122" s="3" t="str">
        <f>IFERROR(MID(VLOOKUP($B122,Seqs!$A:$B,2,0),G122,1),"")</f>
        <v>F</v>
      </c>
      <c r="G122" s="3">
        <v>61</v>
      </c>
      <c r="H122" s="3" t="str">
        <f>IFERROR(MID(VLOOKUP($B122,Seqs!$A:$B,2,0),I122,1),"")</f>
        <v>E</v>
      </c>
      <c r="I122" s="23">
        <v>62</v>
      </c>
      <c r="J122" s="3" t="str">
        <f>IFERROR(MID(VLOOKUP($B122,Seqs!$A:$B,2,0),K122,1),"")</f>
        <v>Q</v>
      </c>
      <c r="K122" s="23">
        <v>65</v>
      </c>
      <c r="L122" s="3" t="str">
        <f>IFERROR(MID(VLOOKUP($B122,Seqs!$A:$B,2,0),M122,1),"")</f>
        <v>T</v>
      </c>
      <c r="M122" s="3">
        <v>66</v>
      </c>
      <c r="N122" s="3" t="str">
        <f>IFERROR(MID(VLOOKUP($B122,Seqs!$A:$B,2,0),O122,1),"")</f>
        <v>M</v>
      </c>
      <c r="O122" s="3">
        <v>96</v>
      </c>
      <c r="P122" s="3" t="str">
        <f>IFERROR(MID(VLOOKUP($B122,Seqs!$A:$B,2,0),Q122,1),"")</f>
        <v>M</v>
      </c>
      <c r="Q122" s="3">
        <v>98</v>
      </c>
      <c r="R122" s="3" t="str">
        <f>IFERROR(MID(VLOOKUP($B122,Seqs!$A:$B,2,0),S122,1),"")</f>
        <v>F</v>
      </c>
      <c r="S122" s="3">
        <v>101</v>
      </c>
      <c r="T122" s="3" t="str">
        <f>IFERROR(MID(VLOOKUP($B122,Seqs!$A:$B,2,0),U122,1),"")</f>
        <v>G</v>
      </c>
      <c r="U122" s="3">
        <v>102</v>
      </c>
      <c r="V122" s="3" t="str">
        <f>IFERROR(MID(VLOOKUP($B122,Seqs!$A:$B,2,0),W122,1),"")</f>
        <v>S</v>
      </c>
      <c r="W122" s="3">
        <v>137</v>
      </c>
      <c r="X122" s="3" t="str">
        <f>IFERROR(MID(VLOOKUP($B122,Seqs!$A:$B,2,0),Y122,1),"")</f>
        <v/>
      </c>
      <c r="Y122" s="3" t="s">
        <v>23</v>
      </c>
      <c r="Z122" s="3" t="str">
        <f>IFERROR(MID(VLOOKUP($B122,Seqs!$A:$B,2,0),AA122,1),"")</f>
        <v/>
      </c>
      <c r="AA122" s="3" t="s">
        <v>23</v>
      </c>
      <c r="AB122" s="3" t="str">
        <f>IFERROR(MID(VLOOKUP($B122,Seqs!$A:$B,2,0),AC122,1),"")</f>
        <v>T</v>
      </c>
      <c r="AC122" s="9">
        <v>146</v>
      </c>
      <c r="AD122" s="3" t="str">
        <f>IFERROR(MID(VLOOKUP($B122,Seqs!$A:$B,2,0),AE122,1),"")</f>
        <v>H</v>
      </c>
      <c r="AE122" s="3">
        <v>172</v>
      </c>
      <c r="AF122" s="3" t="str">
        <f>IFERROR(MID(VLOOKUP($B122,Seqs!$A:$B,2,0),AG122,1),"")</f>
        <v>C</v>
      </c>
      <c r="AG122" s="3">
        <v>191</v>
      </c>
      <c r="AH122" s="3" t="str">
        <f>IFERROR(MID(VLOOKUP($B122,Seqs!$A:$B,2,0),AI122,1),"")</f>
        <v>F</v>
      </c>
      <c r="AI122" s="3">
        <v>193</v>
      </c>
      <c r="AJ122" s="3" t="str">
        <f>IFERROR(MID(VLOOKUP($B122,Seqs!$A:$B,2,0),AK122,1),"")</f>
        <v>N</v>
      </c>
      <c r="AK122" s="3">
        <v>196</v>
      </c>
      <c r="AL122" s="3" t="str">
        <f>IFERROR(MID(VLOOKUP($B122,Seqs!$A:$B,2,0),AM122,1),"")</f>
        <v>Q</v>
      </c>
      <c r="AM122" s="3">
        <v>229</v>
      </c>
      <c r="AN122" s="3" t="str">
        <f>IFERROR(MID(VLOOKUP($B122,Seqs!$A:$B,2,0),AO122,1),"")</f>
        <v>K</v>
      </c>
      <c r="AO122" s="3">
        <v>267</v>
      </c>
      <c r="AP122" s="3" t="str">
        <f>IFERROR(MID(VLOOKUP($B122,Seqs!$A:$B,2,0),AQ122,1),"")</f>
        <v>Q</v>
      </c>
      <c r="AQ122" s="3">
        <v>299</v>
      </c>
      <c r="AR122" s="3" t="str">
        <f>IFERROR(MID(VLOOKUP($B122,Seqs!$A:$B,2,0),AS122,1),"")</f>
        <v>R</v>
      </c>
      <c r="AS122" s="3">
        <v>304</v>
      </c>
      <c r="AT122" s="3" t="str">
        <f>IFERROR(MID(VLOOKUP($B122,Seqs!$A:$B,2,0),AU122,1),"")</f>
        <v>R</v>
      </c>
      <c r="AU122" s="3">
        <v>328</v>
      </c>
      <c r="AV122" s="3" t="str">
        <f>IFERROR(MID(VLOOKUP($B122,Seqs!$A:$B,2,0),AW122,1),"")</f>
        <v>S</v>
      </c>
      <c r="AW122" s="3">
        <v>329</v>
      </c>
      <c r="AX122" s="3" t="str">
        <f>IFERROR(MID(VLOOKUP($B122,Seqs!$A:$B,2,0),AY122,1),"")</f>
        <v>C</v>
      </c>
      <c r="AY122" s="3">
        <v>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504"/>
        <v>1</v>
      </c>
      <c r="BC122" s="23">
        <f t="shared" si="785"/>
        <v>241</v>
      </c>
      <c r="BD122" s="4" t="s">
        <v>23</v>
      </c>
      <c r="BE122" s="3" t="s">
        <v>1374</v>
      </c>
      <c r="BF122" s="118">
        <v>2.84</v>
      </c>
      <c r="BG122" s="49" t="s">
        <v>1377</v>
      </c>
      <c r="BH122" s="49" t="s">
        <v>1377</v>
      </c>
      <c r="BI122" s="1"/>
      <c r="BJ122" s="70" t="s">
        <v>1287</v>
      </c>
      <c r="BK122" s="57" t="s">
        <v>1287</v>
      </c>
      <c r="BL122" s="57" t="s">
        <v>1287</v>
      </c>
      <c r="BM122" s="57" t="s">
        <v>1287</v>
      </c>
      <c r="BN122" s="57" t="s">
        <v>1287</v>
      </c>
      <c r="BO122" s="57" t="s">
        <v>1287</v>
      </c>
      <c r="BP122" s="57" t="s">
        <v>1287</v>
      </c>
      <c r="BQ122" s="57" t="s">
        <v>1287</v>
      </c>
      <c r="BR122" s="57" t="s">
        <v>1287</v>
      </c>
      <c r="BS122" s="57" t="s">
        <v>1287</v>
      </c>
      <c r="BT122" s="57" t="s">
        <v>1287</v>
      </c>
      <c r="BU122" s="57" t="s">
        <v>1287</v>
      </c>
      <c r="BV122" s="70">
        <f t="shared" si="786"/>
        <v>32</v>
      </c>
      <c r="BW122" s="71">
        <f t="shared" si="787"/>
        <v>62</v>
      </c>
      <c r="BX122" s="72">
        <f t="shared" si="788"/>
        <v>66</v>
      </c>
      <c r="BY122" s="71">
        <f t="shared" si="789"/>
        <v>98</v>
      </c>
      <c r="BZ122" s="72">
        <f t="shared" si="790"/>
        <v>102</v>
      </c>
      <c r="CA122" s="71" t="str">
        <f t="shared" si="791"/>
        <v>-</v>
      </c>
      <c r="CB122" s="72">
        <f t="shared" si="792"/>
        <v>146</v>
      </c>
      <c r="CC122" s="71">
        <f t="shared" si="793"/>
        <v>191</v>
      </c>
      <c r="CD122" s="72">
        <f t="shared" si="794"/>
        <v>196</v>
      </c>
      <c r="CE122" s="71">
        <f t="shared" si="795"/>
        <v>267</v>
      </c>
      <c r="CF122" s="72">
        <f t="shared" si="796"/>
        <v>304</v>
      </c>
      <c r="CG122" s="71">
        <f t="shared" si="797"/>
        <v>329</v>
      </c>
      <c r="CH122" s="70">
        <f t="shared" si="798"/>
        <v>61</v>
      </c>
      <c r="CI122" s="71">
        <f t="shared" si="799"/>
        <v>65</v>
      </c>
      <c r="CJ122" s="72">
        <f t="shared" si="800"/>
        <v>96</v>
      </c>
      <c r="CK122" s="72">
        <f t="shared" si="801"/>
        <v>101</v>
      </c>
      <c r="CL122" s="72">
        <f t="shared" si="802"/>
        <v>137</v>
      </c>
      <c r="CM122" s="72" t="str">
        <f t="shared" si="803"/>
        <v>-</v>
      </c>
      <c r="CN122" s="72">
        <f t="shared" si="804"/>
        <v>172</v>
      </c>
      <c r="CO122" s="72">
        <f t="shared" si="805"/>
        <v>193</v>
      </c>
      <c r="CP122" s="72">
        <f t="shared" si="806"/>
        <v>229</v>
      </c>
      <c r="CQ122" s="72">
        <f t="shared" si="807"/>
        <v>299</v>
      </c>
      <c r="CR122" s="72">
        <f t="shared" si="808"/>
        <v>328</v>
      </c>
      <c r="CS122" s="72">
        <f t="shared" si="809"/>
        <v>341</v>
      </c>
      <c r="CT122" s="23">
        <f t="shared" si="810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503"/>
        <v>adrb2_human_3NYA</v>
      </c>
      <c r="B123" s="3" t="s">
        <v>126</v>
      </c>
      <c r="C123" s="3" t="s">
        <v>1334</v>
      </c>
      <c r="D123" s="3" t="str">
        <f>IFERROR(MID(VLOOKUP($B123,Seqs!$A:$B,2,0),E123,1),"")</f>
        <v>W</v>
      </c>
      <c r="E123" s="3">
        <v>32</v>
      </c>
      <c r="F123" s="3" t="str">
        <f>IFERROR(MID(VLOOKUP($B123,Seqs!$A:$B,2,0),G123,1),"")</f>
        <v>F</v>
      </c>
      <c r="G123" s="3">
        <v>61</v>
      </c>
      <c r="H123" s="3" t="str">
        <f>IFERROR(MID(VLOOKUP($B123,Seqs!$A:$B,2,0),I123,1),"")</f>
        <v>E</v>
      </c>
      <c r="I123" s="23">
        <v>62</v>
      </c>
      <c r="J123" s="3" t="str">
        <f>IFERROR(MID(VLOOKUP($B123,Seqs!$A:$B,2,0),K123,1),"")</f>
        <v>Q</v>
      </c>
      <c r="K123" s="23">
        <v>65</v>
      </c>
      <c r="L123" s="3" t="str">
        <f>IFERROR(MID(VLOOKUP($B123,Seqs!$A:$B,2,0),M123,1),"")</f>
        <v>T</v>
      </c>
      <c r="M123" s="3">
        <v>66</v>
      </c>
      <c r="N123" s="3" t="str">
        <f>IFERROR(MID(VLOOKUP($B123,Seqs!$A:$B,2,0),O123,1),"")</f>
        <v>M</v>
      </c>
      <c r="O123" s="3">
        <v>96</v>
      </c>
      <c r="P123" s="3" t="str">
        <f>IFERROR(MID(VLOOKUP($B123,Seqs!$A:$B,2,0),Q123,1),"")</f>
        <v>M</v>
      </c>
      <c r="Q123" s="3">
        <v>98</v>
      </c>
      <c r="R123" s="3" t="str">
        <f>IFERROR(MID(VLOOKUP($B123,Seqs!$A:$B,2,0),S123,1),"")</f>
        <v>F</v>
      </c>
      <c r="S123" s="3">
        <v>101</v>
      </c>
      <c r="T123" s="3" t="str">
        <f>IFERROR(MID(VLOOKUP($B123,Seqs!$A:$B,2,0),U123,1),"")</f>
        <v>G</v>
      </c>
      <c r="U123" s="3">
        <v>102</v>
      </c>
      <c r="V123" s="3" t="str">
        <f>IFERROR(MID(VLOOKUP($B123,Seqs!$A:$B,2,0),W123,1),"")</f>
        <v>S</v>
      </c>
      <c r="W123" s="3">
        <v>137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T</v>
      </c>
      <c r="AC123" s="9">
        <v>146</v>
      </c>
      <c r="AD123" s="3" t="str">
        <f>IFERROR(MID(VLOOKUP($B123,Seqs!$A:$B,2,0),AE123,1),"")</f>
        <v>H</v>
      </c>
      <c r="AE123" s="3">
        <v>172</v>
      </c>
      <c r="AF123" s="3" t="str">
        <f>IFERROR(MID(VLOOKUP($B123,Seqs!$A:$B,2,0),AG123,1),"")</f>
        <v>C</v>
      </c>
      <c r="AG123" s="3">
        <v>191</v>
      </c>
      <c r="AH123" s="3" t="str">
        <f>IFERROR(MID(VLOOKUP($B123,Seqs!$A:$B,2,0),AI123,1),"")</f>
        <v>F</v>
      </c>
      <c r="AI123" s="3">
        <v>193</v>
      </c>
      <c r="AJ123" s="3" t="str">
        <f>IFERROR(MID(VLOOKUP($B123,Seqs!$A:$B,2,0),AK123,1),"")</f>
        <v>N</v>
      </c>
      <c r="AK123" s="3">
        <v>196</v>
      </c>
      <c r="AL123" s="3" t="str">
        <f>IFERROR(MID(VLOOKUP($B123,Seqs!$A:$B,2,0),AM123,1),"")</f>
        <v>Q</v>
      </c>
      <c r="AM123" s="3">
        <v>229</v>
      </c>
      <c r="AN123" s="3" t="str">
        <f>IFERROR(MID(VLOOKUP($B123,Seqs!$A:$B,2,0),AO123,1),"")</f>
        <v>K</v>
      </c>
      <c r="AO123" s="3">
        <v>267</v>
      </c>
      <c r="AP123" s="3" t="str">
        <f>IFERROR(MID(VLOOKUP($B123,Seqs!$A:$B,2,0),AQ123,1),"")</f>
        <v>Q</v>
      </c>
      <c r="AQ123" s="3">
        <v>299</v>
      </c>
      <c r="AR123" s="3" t="str">
        <f>IFERROR(MID(VLOOKUP($B123,Seqs!$A:$B,2,0),AS123,1),"")</f>
        <v>R</v>
      </c>
      <c r="AS123" s="3">
        <v>304</v>
      </c>
      <c r="AT123" s="3" t="str">
        <f>IFERROR(MID(VLOOKUP($B123,Seqs!$A:$B,2,0),AU123,1),"")</f>
        <v>R</v>
      </c>
      <c r="AU123" s="3">
        <v>328</v>
      </c>
      <c r="AV123" s="3" t="str">
        <f>IFERROR(MID(VLOOKUP($B123,Seqs!$A:$B,2,0),AW123,1),"")</f>
        <v>S</v>
      </c>
      <c r="AW123" s="3">
        <v>329</v>
      </c>
      <c r="AX123" s="3" t="str">
        <f>IFERROR(MID(VLOOKUP($B123,Seqs!$A:$B,2,0),AY123,1),"")</f>
        <v>C</v>
      </c>
      <c r="AY123" s="3">
        <v>341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504"/>
        <v>1</v>
      </c>
      <c r="BC123" s="23">
        <f t="shared" si="785"/>
        <v>241</v>
      </c>
      <c r="BD123" s="4" t="s">
        <v>23</v>
      </c>
      <c r="BE123" s="3" t="s">
        <v>1374</v>
      </c>
      <c r="BF123" s="118">
        <v>3.16</v>
      </c>
      <c r="BG123" s="49" t="s">
        <v>1377</v>
      </c>
      <c r="BH123" s="49" t="s">
        <v>1377</v>
      </c>
      <c r="BI123" s="1"/>
      <c r="BJ123" s="70" t="s">
        <v>1287</v>
      </c>
      <c r="BK123" s="57" t="s">
        <v>1287</v>
      </c>
      <c r="BL123" s="57" t="s">
        <v>1287</v>
      </c>
      <c r="BM123" s="57" t="s">
        <v>1287</v>
      </c>
      <c r="BN123" s="57" t="s">
        <v>1287</v>
      </c>
      <c r="BO123" s="57" t="s">
        <v>1287</v>
      </c>
      <c r="BP123" s="57" t="s">
        <v>1287</v>
      </c>
      <c r="BQ123" s="57" t="s">
        <v>1287</v>
      </c>
      <c r="BR123" s="57" t="s">
        <v>1287</v>
      </c>
      <c r="BS123" s="57" t="s">
        <v>1287</v>
      </c>
      <c r="BT123" s="57" t="s">
        <v>1287</v>
      </c>
      <c r="BU123" s="57" t="s">
        <v>1287</v>
      </c>
      <c r="BV123" s="70">
        <f t="shared" si="786"/>
        <v>32</v>
      </c>
      <c r="BW123" s="71">
        <f t="shared" si="787"/>
        <v>62</v>
      </c>
      <c r="BX123" s="72">
        <f t="shared" si="788"/>
        <v>66</v>
      </c>
      <c r="BY123" s="71">
        <f t="shared" si="789"/>
        <v>98</v>
      </c>
      <c r="BZ123" s="72">
        <f t="shared" si="790"/>
        <v>102</v>
      </c>
      <c r="CA123" s="71" t="str">
        <f t="shared" si="791"/>
        <v>-</v>
      </c>
      <c r="CB123" s="72">
        <f t="shared" si="792"/>
        <v>146</v>
      </c>
      <c r="CC123" s="71">
        <f t="shared" si="793"/>
        <v>191</v>
      </c>
      <c r="CD123" s="72">
        <f t="shared" si="794"/>
        <v>196</v>
      </c>
      <c r="CE123" s="71">
        <f t="shared" si="795"/>
        <v>267</v>
      </c>
      <c r="CF123" s="72">
        <f t="shared" si="796"/>
        <v>304</v>
      </c>
      <c r="CG123" s="71">
        <f t="shared" si="797"/>
        <v>329</v>
      </c>
      <c r="CH123" s="70">
        <f t="shared" si="798"/>
        <v>61</v>
      </c>
      <c r="CI123" s="71">
        <f t="shared" si="799"/>
        <v>65</v>
      </c>
      <c r="CJ123" s="72">
        <f t="shared" si="800"/>
        <v>96</v>
      </c>
      <c r="CK123" s="72">
        <f t="shared" si="801"/>
        <v>101</v>
      </c>
      <c r="CL123" s="72">
        <f t="shared" si="802"/>
        <v>137</v>
      </c>
      <c r="CM123" s="72" t="str">
        <f t="shared" si="803"/>
        <v>-</v>
      </c>
      <c r="CN123" s="72">
        <f t="shared" si="804"/>
        <v>172</v>
      </c>
      <c r="CO123" s="72">
        <f t="shared" si="805"/>
        <v>193</v>
      </c>
      <c r="CP123" s="72">
        <f t="shared" si="806"/>
        <v>229</v>
      </c>
      <c r="CQ123" s="72">
        <f t="shared" si="807"/>
        <v>299</v>
      </c>
      <c r="CR123" s="72">
        <f t="shared" si="808"/>
        <v>328</v>
      </c>
      <c r="CS123" s="72">
        <f t="shared" si="809"/>
        <v>341</v>
      </c>
      <c r="CT123" s="23">
        <f t="shared" si="810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503"/>
        <v>adrb2_human_3P0G</v>
      </c>
      <c r="B124" s="3" t="s">
        <v>126</v>
      </c>
      <c r="C124" s="3" t="s">
        <v>66</v>
      </c>
      <c r="D124" s="3" t="str">
        <f>IFERROR(MID(VLOOKUP($B124,Seqs!$A:$B,2,0),E124,1),"")</f>
        <v>Q</v>
      </c>
      <c r="E124" s="3">
        <v>26</v>
      </c>
      <c r="F124" s="3" t="str">
        <f>IFERROR(MID(VLOOKUP($B124,Seqs!$A:$B,2,0),G124,1),"")</f>
        <v>F</v>
      </c>
      <c r="G124" s="3">
        <v>61</v>
      </c>
      <c r="H124" s="3" t="str">
        <f>IFERROR(MID(VLOOKUP($B124,Seqs!$A:$B,2,0),I124,1),"")</f>
        <v>E</v>
      </c>
      <c r="I124" s="23">
        <v>62</v>
      </c>
      <c r="J124" s="3" t="str">
        <f>IFERROR(MID(VLOOKUP($B124,Seqs!$A:$B,2,0),K124,1),"")</f>
        <v>Q</v>
      </c>
      <c r="K124" s="23">
        <v>65</v>
      </c>
      <c r="L124" s="3" t="str">
        <f>IFERROR(MID(VLOOKUP($B124,Seqs!$A:$B,2,0),M124,1),"")</f>
        <v>T</v>
      </c>
      <c r="M124" s="3">
        <v>66</v>
      </c>
      <c r="N124" s="3" t="str">
        <f>IFERROR(MID(VLOOKUP($B124,Seqs!$A:$B,2,0),O124,1),"")</f>
        <v>M</v>
      </c>
      <c r="O124" s="3">
        <v>96</v>
      </c>
      <c r="P124" s="3" t="str">
        <f>IFERROR(MID(VLOOKUP($B124,Seqs!$A:$B,2,0),Q124,1),"")</f>
        <v>M</v>
      </c>
      <c r="Q124" s="3">
        <v>98</v>
      </c>
      <c r="R124" s="3" t="str">
        <f>IFERROR(MID(VLOOKUP($B124,Seqs!$A:$B,2,0),S124,1),"")</f>
        <v>F</v>
      </c>
      <c r="S124" s="3">
        <v>101</v>
      </c>
      <c r="T124" s="3" t="str">
        <f>IFERROR(MID(VLOOKUP($B124,Seqs!$A:$B,2,0),U124,1),"")</f>
        <v>G</v>
      </c>
      <c r="U124" s="3">
        <v>102</v>
      </c>
      <c r="V124" s="3" t="str">
        <f>IFERROR(MID(VLOOKUP($B124,Seqs!$A:$B,2,0),W124,1),"")</f>
        <v>S</v>
      </c>
      <c r="W124" s="3">
        <v>137</v>
      </c>
      <c r="X124" s="3" t="str">
        <f>IFERROR(MID(VLOOKUP($B124,Seqs!$A:$B,2,0),Y124,1),"")</f>
        <v>P</v>
      </c>
      <c r="Y124" s="3">
        <v>138</v>
      </c>
      <c r="Z124" s="3" t="str">
        <f>IFERROR(MID(VLOOKUP($B124,Seqs!$A:$B,2,0),AA124,1),"")</f>
        <v>L</v>
      </c>
      <c r="AA124" s="3">
        <v>145</v>
      </c>
      <c r="AB124" s="3" t="str">
        <f>IFERROR(MID(VLOOKUP($B124,Seqs!$A:$B,2,0),AC124,1),"")</f>
        <v>T</v>
      </c>
      <c r="AC124" s="9">
        <v>146</v>
      </c>
      <c r="AD124" s="3" t="str">
        <f>IFERROR(MID(VLOOKUP($B124,Seqs!$A:$B,2,0),AE124,1),"")</f>
        <v>H</v>
      </c>
      <c r="AE124" s="3">
        <v>172</v>
      </c>
      <c r="AF124" s="3" t="str">
        <f>IFERROR(MID(VLOOKUP($B124,Seqs!$A:$B,2,0),AG124,1),"")</f>
        <v>C</v>
      </c>
      <c r="AG124" s="3">
        <v>191</v>
      </c>
      <c r="AH124" s="3" t="str">
        <f>IFERROR(MID(VLOOKUP($B124,Seqs!$A:$B,2,0),AI124,1),"")</f>
        <v>F</v>
      </c>
      <c r="AI124" s="3">
        <v>193</v>
      </c>
      <c r="AJ124" s="3" t="str">
        <f>IFERROR(MID(VLOOKUP($B124,Seqs!$A:$B,2,0),AK124,1),"")</f>
        <v>N</v>
      </c>
      <c r="AK124" s="3">
        <v>196</v>
      </c>
      <c r="AL124" s="3" t="str">
        <f>IFERROR(MID(VLOOKUP($B124,Seqs!$A:$B,2,0),AM124,1),"")</f>
        <v>A</v>
      </c>
      <c r="AM124" s="3">
        <v>226</v>
      </c>
      <c r="AN124" s="3" t="str">
        <f>IFERROR(MID(VLOOKUP($B124,Seqs!$A:$B,2,0),AO124,1),"")</f>
        <v>H</v>
      </c>
      <c r="AO124" s="3">
        <v>269</v>
      </c>
      <c r="AP124" s="3" t="str">
        <f>IFERROR(MID(VLOOKUP($B124,Seqs!$A:$B,2,0),AQ124,1),"")</f>
        <v>Q</v>
      </c>
      <c r="AQ124" s="3">
        <v>299</v>
      </c>
      <c r="AR124" s="3" t="str">
        <f>IFERROR(MID(VLOOKUP($B124,Seqs!$A:$B,2,0),AS124,1),"")</f>
        <v>R</v>
      </c>
      <c r="AS124" s="3">
        <v>304</v>
      </c>
      <c r="AT124" s="3" t="str">
        <f>IFERROR(MID(VLOOKUP($B124,Seqs!$A:$B,2,0),AU124,1),"")</f>
        <v>R</v>
      </c>
      <c r="AU124" s="3">
        <v>328</v>
      </c>
      <c r="AV124" s="3" t="str">
        <f>IFERROR(MID(VLOOKUP($B124,Seqs!$A:$B,2,0),AW124,1),"")</f>
        <v>S</v>
      </c>
      <c r="AW124" s="3">
        <v>329</v>
      </c>
      <c r="AX124" s="3" t="str">
        <f>IFERROR(MID(VLOOKUP($B124,Seqs!$A:$B,2,0),AY124,1),"")</f>
        <v>C</v>
      </c>
      <c r="AY124" s="3">
        <v>341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504"/>
        <v>1</v>
      </c>
      <c r="BC124" s="23">
        <f t="shared" si="785"/>
        <v>249</v>
      </c>
      <c r="BD124" s="16" t="s">
        <v>23</v>
      </c>
      <c r="BE124" s="3" t="s">
        <v>1291</v>
      </c>
      <c r="BF124" s="118">
        <v>3.5</v>
      </c>
      <c r="BG124" s="49" t="s">
        <v>1377</v>
      </c>
      <c r="BH124" s="49" t="s">
        <v>1377</v>
      </c>
      <c r="BI124" s="1"/>
      <c r="BJ124" s="70" t="s">
        <v>1287</v>
      </c>
      <c r="BK124" s="57" t="s">
        <v>1287</v>
      </c>
      <c r="BL124" s="57" t="s">
        <v>1287</v>
      </c>
      <c r="BM124" s="57" t="s">
        <v>1287</v>
      </c>
      <c r="BN124" s="57" t="s">
        <v>1287</v>
      </c>
      <c r="BO124" s="57" t="s">
        <v>1287</v>
      </c>
      <c r="BP124" s="57" t="s">
        <v>1287</v>
      </c>
      <c r="BQ124" s="57" t="s">
        <v>1287</v>
      </c>
      <c r="BR124" s="57" t="s">
        <v>1287</v>
      </c>
      <c r="BS124" s="57" t="s">
        <v>1287</v>
      </c>
      <c r="BT124" s="57" t="s">
        <v>1287</v>
      </c>
      <c r="BU124" s="57" t="s">
        <v>1287</v>
      </c>
      <c r="BV124" s="70">
        <f t="shared" si="786"/>
        <v>26</v>
      </c>
      <c r="BW124" s="71">
        <f t="shared" si="787"/>
        <v>62</v>
      </c>
      <c r="BX124" s="72">
        <f t="shared" si="788"/>
        <v>66</v>
      </c>
      <c r="BY124" s="71">
        <f t="shared" si="789"/>
        <v>98</v>
      </c>
      <c r="BZ124" s="72">
        <f t="shared" si="790"/>
        <v>102</v>
      </c>
      <c r="CA124" s="71">
        <f t="shared" si="791"/>
        <v>138</v>
      </c>
      <c r="CB124" s="72">
        <f t="shared" si="792"/>
        <v>146</v>
      </c>
      <c r="CC124" s="71">
        <f t="shared" si="793"/>
        <v>191</v>
      </c>
      <c r="CD124" s="72">
        <f t="shared" si="794"/>
        <v>196</v>
      </c>
      <c r="CE124" s="71">
        <f t="shared" si="795"/>
        <v>269</v>
      </c>
      <c r="CF124" s="72">
        <f t="shared" si="796"/>
        <v>304</v>
      </c>
      <c r="CG124" s="71">
        <f t="shared" si="797"/>
        <v>329</v>
      </c>
      <c r="CH124" s="70">
        <f t="shared" si="798"/>
        <v>61</v>
      </c>
      <c r="CI124" s="71">
        <f t="shared" si="799"/>
        <v>65</v>
      </c>
      <c r="CJ124" s="72">
        <f t="shared" si="800"/>
        <v>96</v>
      </c>
      <c r="CK124" s="72">
        <f t="shared" si="801"/>
        <v>101</v>
      </c>
      <c r="CL124" s="72">
        <f t="shared" si="802"/>
        <v>137</v>
      </c>
      <c r="CM124" s="72">
        <f t="shared" si="803"/>
        <v>145</v>
      </c>
      <c r="CN124" s="72">
        <f t="shared" si="804"/>
        <v>172</v>
      </c>
      <c r="CO124" s="72">
        <f t="shared" si="805"/>
        <v>193</v>
      </c>
      <c r="CP124" s="72">
        <f t="shared" si="806"/>
        <v>226</v>
      </c>
      <c r="CQ124" s="72">
        <f t="shared" si="807"/>
        <v>299</v>
      </c>
      <c r="CR124" s="72">
        <f t="shared" si="808"/>
        <v>328</v>
      </c>
      <c r="CS124" s="72">
        <f t="shared" si="809"/>
        <v>341</v>
      </c>
      <c r="CT124" s="23">
        <f t="shared" si="810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503"/>
        <v>adrb2_human_3PDS</v>
      </c>
      <c r="B125" s="3" t="s">
        <v>126</v>
      </c>
      <c r="C125" s="3" t="s">
        <v>1335</v>
      </c>
      <c r="D125" s="3" t="str">
        <f>IFERROR(MID(VLOOKUP($B125,Seqs!$A:$B,2,0),E125,1),"")</f>
        <v>D</v>
      </c>
      <c r="E125" s="3">
        <v>29</v>
      </c>
      <c r="F125" s="3" t="str">
        <f>IFERROR(MID(VLOOKUP($B125,Seqs!$A:$B,2,0),G125,1),"")</f>
        <v>F</v>
      </c>
      <c r="G125" s="3">
        <v>61</v>
      </c>
      <c r="H125" s="3" t="str">
        <f>IFERROR(MID(VLOOKUP($B125,Seqs!$A:$B,2,0),I125,1),"")</f>
        <v>E</v>
      </c>
      <c r="I125" s="23">
        <v>62</v>
      </c>
      <c r="J125" s="3" t="str">
        <f>IFERROR(MID(VLOOKUP($B125,Seqs!$A:$B,2,0),K125,1),"")</f>
        <v>Q</v>
      </c>
      <c r="K125" s="23">
        <v>65</v>
      </c>
      <c r="L125" s="3" t="str">
        <f>IFERROR(MID(VLOOKUP($B125,Seqs!$A:$B,2,0),M125,1),"")</f>
        <v>T</v>
      </c>
      <c r="M125" s="3">
        <v>66</v>
      </c>
      <c r="N125" s="3" t="str">
        <f>IFERROR(MID(VLOOKUP($B125,Seqs!$A:$B,2,0),O125,1),"")</f>
        <v>M</v>
      </c>
      <c r="O125" s="3">
        <v>96</v>
      </c>
      <c r="P125" s="3" t="str">
        <f>IFERROR(MID(VLOOKUP($B125,Seqs!$A:$B,2,0),Q125,1),"")</f>
        <v>M</v>
      </c>
      <c r="Q125" s="3">
        <v>98</v>
      </c>
      <c r="R125" s="3" t="str">
        <f>IFERROR(MID(VLOOKUP($B125,Seqs!$A:$B,2,0),S125,1),"")</f>
        <v>F</v>
      </c>
      <c r="S125" s="3">
        <v>101</v>
      </c>
      <c r="T125" s="3" t="str">
        <f>IFERROR(MID(VLOOKUP($B125,Seqs!$A:$B,2,0),U125,1),"")</f>
        <v>G</v>
      </c>
      <c r="U125" s="3">
        <v>102</v>
      </c>
      <c r="V125" s="3" t="str">
        <f>IFERROR(MID(VLOOKUP($B125,Seqs!$A:$B,2,0),W125,1),"")</f>
        <v>S</v>
      </c>
      <c r="W125" s="3">
        <v>137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T</v>
      </c>
      <c r="AC125" s="9">
        <v>146</v>
      </c>
      <c r="AD125" s="3" t="str">
        <f>IFERROR(MID(VLOOKUP($B125,Seqs!$A:$B,2,0),AE125,1),"")</f>
        <v>H</v>
      </c>
      <c r="AE125" s="3">
        <v>172</v>
      </c>
      <c r="AF125" s="3" t="str">
        <f>IFERROR(MID(VLOOKUP($B125,Seqs!$A:$B,2,0),AG125,1),"")</f>
        <v>C</v>
      </c>
      <c r="AG125" s="3">
        <v>191</v>
      </c>
      <c r="AH125" s="3" t="str">
        <f>IFERROR(MID(VLOOKUP($B125,Seqs!$A:$B,2,0),AI125,1),"")</f>
        <v>F</v>
      </c>
      <c r="AI125" s="3">
        <v>193</v>
      </c>
      <c r="AJ125" s="3" t="str">
        <f>IFERROR(MID(VLOOKUP($B125,Seqs!$A:$B,2,0),AK125,1),"")</f>
        <v>N</v>
      </c>
      <c r="AK125" s="3">
        <v>196</v>
      </c>
      <c r="AL125" s="3" t="str">
        <f>IFERROR(MID(VLOOKUP($B125,Seqs!$A:$B,2,0),AM125,1),"")</f>
        <v>Q</v>
      </c>
      <c r="AM125" s="3">
        <v>229</v>
      </c>
      <c r="AN125" s="3" t="str">
        <f>IFERROR(MID(VLOOKUP($B125,Seqs!$A:$B,2,0),AO125,1),"")</f>
        <v>L</v>
      </c>
      <c r="AO125" s="3">
        <v>266</v>
      </c>
      <c r="AP125" s="3" t="str">
        <f>IFERROR(MID(VLOOKUP($B125,Seqs!$A:$B,2,0),AQ125,1),"")</f>
        <v>Q</v>
      </c>
      <c r="AQ125" s="3">
        <v>299</v>
      </c>
      <c r="AR125" s="3" t="str">
        <f>IFERROR(MID(VLOOKUP($B125,Seqs!$A:$B,2,0),AS125,1),"")</f>
        <v>R</v>
      </c>
      <c r="AS125" s="3">
        <v>304</v>
      </c>
      <c r="AT125" s="3" t="str">
        <f>IFERROR(MID(VLOOKUP($B125,Seqs!$A:$B,2,0),AU125,1),"")</f>
        <v>R</v>
      </c>
      <c r="AU125" s="3">
        <v>328</v>
      </c>
      <c r="AV125" s="3" t="str">
        <f>IFERROR(MID(VLOOKUP($B125,Seqs!$A:$B,2,0),AW125,1),"")</f>
        <v>S</v>
      </c>
      <c r="AW125" s="3">
        <v>329</v>
      </c>
      <c r="AX125" s="3" t="str">
        <f>IFERROR(MID(VLOOKUP($B125,Seqs!$A:$B,2,0),AY125,1),"")</f>
        <v>C</v>
      </c>
      <c r="AY125" s="3">
        <v>341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si="504"/>
        <v>1</v>
      </c>
      <c r="BC125" s="23">
        <f t="shared" si="785"/>
        <v>245</v>
      </c>
      <c r="BD125" s="5" t="s">
        <v>23</v>
      </c>
      <c r="BE125" s="3" t="s">
        <v>1374</v>
      </c>
      <c r="BF125" s="118">
        <v>3.5</v>
      </c>
      <c r="BG125" s="49" t="s">
        <v>1377</v>
      </c>
      <c r="BH125" s="49" t="s">
        <v>1377</v>
      </c>
      <c r="BI125" s="1"/>
      <c r="BJ125" s="70" t="s">
        <v>1287</v>
      </c>
      <c r="BK125" s="57" t="s">
        <v>1287</v>
      </c>
      <c r="BL125" s="57" t="s">
        <v>1287</v>
      </c>
      <c r="BM125" s="57" t="s">
        <v>1287</v>
      </c>
      <c r="BN125" s="57" t="s">
        <v>1287</v>
      </c>
      <c r="BO125" s="57" t="s">
        <v>1287</v>
      </c>
      <c r="BP125" s="57" t="s">
        <v>1287</v>
      </c>
      <c r="BQ125" s="57" t="s">
        <v>1287</v>
      </c>
      <c r="BR125" s="57" t="s">
        <v>1287</v>
      </c>
      <c r="BS125" s="57" t="s">
        <v>1287</v>
      </c>
      <c r="BT125" s="57" t="s">
        <v>1287</v>
      </c>
      <c r="BU125" s="57" t="s">
        <v>1287</v>
      </c>
      <c r="BV125" s="70">
        <f t="shared" si="786"/>
        <v>29</v>
      </c>
      <c r="BW125" s="71">
        <f t="shared" si="787"/>
        <v>62</v>
      </c>
      <c r="BX125" s="72">
        <f t="shared" si="788"/>
        <v>66</v>
      </c>
      <c r="BY125" s="71">
        <f t="shared" si="789"/>
        <v>98</v>
      </c>
      <c r="BZ125" s="72">
        <f t="shared" si="790"/>
        <v>102</v>
      </c>
      <c r="CA125" s="71" t="str">
        <f t="shared" si="791"/>
        <v>-</v>
      </c>
      <c r="CB125" s="72">
        <f t="shared" si="792"/>
        <v>146</v>
      </c>
      <c r="CC125" s="71">
        <f t="shared" si="793"/>
        <v>191</v>
      </c>
      <c r="CD125" s="72">
        <f t="shared" si="794"/>
        <v>196</v>
      </c>
      <c r="CE125" s="71">
        <f t="shared" si="795"/>
        <v>266</v>
      </c>
      <c r="CF125" s="72">
        <f t="shared" si="796"/>
        <v>304</v>
      </c>
      <c r="CG125" s="71">
        <f t="shared" si="797"/>
        <v>329</v>
      </c>
      <c r="CH125" s="70">
        <f t="shared" si="798"/>
        <v>61</v>
      </c>
      <c r="CI125" s="71">
        <f t="shared" si="799"/>
        <v>65</v>
      </c>
      <c r="CJ125" s="72">
        <f t="shared" si="800"/>
        <v>96</v>
      </c>
      <c r="CK125" s="72">
        <f t="shared" si="801"/>
        <v>101</v>
      </c>
      <c r="CL125" s="72">
        <f t="shared" si="802"/>
        <v>137</v>
      </c>
      <c r="CM125" s="72" t="str">
        <f t="shared" si="803"/>
        <v>-</v>
      </c>
      <c r="CN125" s="72">
        <f t="shared" si="804"/>
        <v>172</v>
      </c>
      <c r="CO125" s="72">
        <f t="shared" si="805"/>
        <v>193</v>
      </c>
      <c r="CP125" s="72">
        <f t="shared" si="806"/>
        <v>229</v>
      </c>
      <c r="CQ125" s="72">
        <f t="shared" si="807"/>
        <v>299</v>
      </c>
      <c r="CR125" s="72">
        <f t="shared" si="808"/>
        <v>328</v>
      </c>
      <c r="CS125" s="72">
        <f t="shared" si="809"/>
        <v>341</v>
      </c>
      <c r="CT125" s="23">
        <f t="shared" si="810"/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ht="17" customHeight="1" x14ac:dyDescent="0.2">
      <c r="A126" s="3" t="str">
        <f t="shared" si="503"/>
        <v>adrb2_human_3SN6</v>
      </c>
      <c r="B126" s="3" t="s">
        <v>126</v>
      </c>
      <c r="C126" s="3" t="s">
        <v>85</v>
      </c>
      <c r="D126" s="3" t="str">
        <f>IFERROR(MID(VLOOKUP($B126,Seqs!$A:$B,2,0),E126,1),"")</f>
        <v>D</v>
      </c>
      <c r="E126" s="3">
        <v>29</v>
      </c>
      <c r="F126" s="3" t="str">
        <f>IFERROR(MID(VLOOKUP($B126,Seqs!$A:$B,2,0),G126,1),"")</f>
        <v>F</v>
      </c>
      <c r="G126" s="3">
        <v>61</v>
      </c>
      <c r="H126" s="3" t="str">
        <f>IFERROR(MID(VLOOKUP($B126,Seqs!$A:$B,2,0),I126,1),"")</f>
        <v>E</v>
      </c>
      <c r="I126" s="23">
        <v>62</v>
      </c>
      <c r="J126" s="3" t="str">
        <f>IFERROR(MID(VLOOKUP($B126,Seqs!$A:$B,2,0),K126,1),"")</f>
        <v>Q</v>
      </c>
      <c r="K126" s="23">
        <v>65</v>
      </c>
      <c r="L126" s="3" t="str">
        <f>IFERROR(MID(VLOOKUP($B126,Seqs!$A:$B,2,0),M126,1),"")</f>
        <v>T</v>
      </c>
      <c r="M126" s="3">
        <v>66</v>
      </c>
      <c r="N126" s="3" t="str">
        <f>IFERROR(MID(VLOOKUP($B126,Seqs!$A:$B,2,0),O126,1),"")</f>
        <v>M</v>
      </c>
      <c r="O126" s="3">
        <v>96</v>
      </c>
      <c r="P126" s="3" t="str">
        <f>IFERROR(MID(VLOOKUP($B126,Seqs!$A:$B,2,0),Q126,1),"")</f>
        <v>M</v>
      </c>
      <c r="Q126" s="3">
        <v>98</v>
      </c>
      <c r="R126" s="3" t="str">
        <f>IFERROR(MID(VLOOKUP($B126,Seqs!$A:$B,2,0),S126,1),"")</f>
        <v>F</v>
      </c>
      <c r="S126" s="3">
        <v>101</v>
      </c>
      <c r="T126" s="3" t="str">
        <f>IFERROR(MID(VLOOKUP($B126,Seqs!$A:$B,2,0),U126,1),"")</f>
        <v>G</v>
      </c>
      <c r="U126" s="3">
        <v>102</v>
      </c>
      <c r="V126" s="3" t="str">
        <f>IFERROR(MID(VLOOKUP($B126,Seqs!$A:$B,2,0),W126,1),"")</f>
        <v>S</v>
      </c>
      <c r="W126" s="3">
        <v>137</v>
      </c>
      <c r="X126" s="3" t="str">
        <f>IFERROR(MID(VLOOKUP($B126,Seqs!$A:$B,2,0),Y126,1),"")</f>
        <v>P</v>
      </c>
      <c r="Y126" s="3">
        <v>138</v>
      </c>
      <c r="Z126" s="3" t="str">
        <f>IFERROR(MID(VLOOKUP($B126,Seqs!$A:$B,2,0),AA126,1),"")</f>
        <v>L</v>
      </c>
      <c r="AA126" s="3">
        <v>145</v>
      </c>
      <c r="AB126" s="3" t="str">
        <f>IFERROR(MID(VLOOKUP($B126,Seqs!$A:$B,2,0),AC126,1),"")</f>
        <v>T</v>
      </c>
      <c r="AC126" s="9">
        <v>146</v>
      </c>
      <c r="AD126" s="3" t="str">
        <f>IFERROR(MID(VLOOKUP($B126,Seqs!$A:$B,2,0),AE126,1),"")</f>
        <v>H</v>
      </c>
      <c r="AE126" s="3">
        <v>172</v>
      </c>
      <c r="AF126" s="3" t="str">
        <f>IFERROR(MID(VLOOKUP($B126,Seqs!$A:$B,2,0),AG126,1),"")</f>
        <v>C</v>
      </c>
      <c r="AG126" s="3">
        <v>191</v>
      </c>
      <c r="AH126" s="3" t="str">
        <f>IFERROR(MID(VLOOKUP($B126,Seqs!$A:$B,2,0),AI126,1),"")</f>
        <v>F</v>
      </c>
      <c r="AI126" s="3">
        <v>193</v>
      </c>
      <c r="AJ126" s="3" t="str">
        <f>IFERROR(MID(VLOOKUP($B126,Seqs!$A:$B,2,0),AK126,1),"")</f>
        <v>N</v>
      </c>
      <c r="AK126" s="3">
        <v>196</v>
      </c>
      <c r="AL126" s="3" t="str">
        <f>IFERROR(MID(VLOOKUP($B126,Seqs!$A:$B,2,0),AM126,1),"")</f>
        <v>E</v>
      </c>
      <c r="AM126" s="3">
        <v>237</v>
      </c>
      <c r="AN126" s="3" t="str">
        <f>IFERROR(MID(VLOOKUP($B126,Seqs!$A:$B,2,0),AO126,1),"")</f>
        <v>C</v>
      </c>
      <c r="AO126" s="3">
        <v>265</v>
      </c>
      <c r="AP126" s="3" t="str">
        <f>IFERROR(MID(VLOOKUP($B126,Seqs!$A:$B,2,0),AQ126,1),"")</f>
        <v>Q</v>
      </c>
      <c r="AQ126" s="3">
        <v>299</v>
      </c>
      <c r="AR126" s="3" t="str">
        <f>IFERROR(MID(VLOOKUP($B126,Seqs!$A:$B,2,0),AS126,1),"")</f>
        <v>R</v>
      </c>
      <c r="AS126" s="3">
        <v>304</v>
      </c>
      <c r="AT126" s="3" t="str">
        <f>IFERROR(MID(VLOOKUP($B126,Seqs!$A:$B,2,0),AU126,1),"")</f>
        <v>R</v>
      </c>
      <c r="AU126" s="3">
        <v>328</v>
      </c>
      <c r="AV126" s="3" t="str">
        <f>IFERROR(MID(VLOOKUP($B126,Seqs!$A:$B,2,0),AW126,1),"")</f>
        <v>S</v>
      </c>
      <c r="AW126" s="3">
        <v>329</v>
      </c>
      <c r="AX126" s="3" t="str">
        <f>IFERROR(MID(VLOOKUP($B126,Seqs!$A:$B,2,0),AY126,1),"")</f>
        <v>C</v>
      </c>
      <c r="AY126" s="3">
        <v>341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si="504"/>
        <v>1</v>
      </c>
      <c r="BC126" s="23">
        <f t="shared" si="785"/>
        <v>261</v>
      </c>
      <c r="BD126" s="4" t="s">
        <v>1375</v>
      </c>
      <c r="BE126" s="3" t="s">
        <v>1291</v>
      </c>
      <c r="BF126" s="118">
        <v>3.2</v>
      </c>
      <c r="BG126" s="49" t="s">
        <v>1377</v>
      </c>
      <c r="BH126" s="49" t="s">
        <v>1377</v>
      </c>
      <c r="BI126" s="1"/>
      <c r="BJ126" s="70" t="s">
        <v>1287</v>
      </c>
      <c r="BK126" s="57" t="s">
        <v>1287</v>
      </c>
      <c r="BL126" s="57" t="s">
        <v>1287</v>
      </c>
      <c r="BM126" s="57" t="s">
        <v>1287</v>
      </c>
      <c r="BN126" s="57" t="s">
        <v>1287</v>
      </c>
      <c r="BO126" s="57" t="s">
        <v>1287</v>
      </c>
      <c r="BP126" s="57" t="s">
        <v>1287</v>
      </c>
      <c r="BQ126" s="57" t="s">
        <v>1287</v>
      </c>
      <c r="BR126" s="57" t="s">
        <v>1287</v>
      </c>
      <c r="BS126" s="57" t="s">
        <v>1287</v>
      </c>
      <c r="BT126" s="57" t="s">
        <v>1287</v>
      </c>
      <c r="BU126" s="57" t="s">
        <v>1287</v>
      </c>
      <c r="BV126" s="70">
        <f t="shared" si="786"/>
        <v>29</v>
      </c>
      <c r="BW126" s="71">
        <f t="shared" si="787"/>
        <v>62</v>
      </c>
      <c r="BX126" s="72">
        <f t="shared" si="788"/>
        <v>66</v>
      </c>
      <c r="BY126" s="71">
        <f t="shared" si="789"/>
        <v>98</v>
      </c>
      <c r="BZ126" s="72">
        <f t="shared" si="790"/>
        <v>102</v>
      </c>
      <c r="CA126" s="71">
        <f t="shared" si="791"/>
        <v>138</v>
      </c>
      <c r="CB126" s="72">
        <f t="shared" si="792"/>
        <v>146</v>
      </c>
      <c r="CC126" s="71">
        <f t="shared" si="793"/>
        <v>191</v>
      </c>
      <c r="CD126" s="72">
        <f t="shared" si="794"/>
        <v>196</v>
      </c>
      <c r="CE126" s="71">
        <f t="shared" si="795"/>
        <v>265</v>
      </c>
      <c r="CF126" s="72">
        <f t="shared" si="796"/>
        <v>304</v>
      </c>
      <c r="CG126" s="71">
        <f t="shared" si="797"/>
        <v>329</v>
      </c>
      <c r="CH126" s="70">
        <f t="shared" si="798"/>
        <v>61</v>
      </c>
      <c r="CI126" s="71">
        <f t="shared" si="799"/>
        <v>65</v>
      </c>
      <c r="CJ126" s="72">
        <f t="shared" si="800"/>
        <v>96</v>
      </c>
      <c r="CK126" s="72">
        <f t="shared" si="801"/>
        <v>101</v>
      </c>
      <c r="CL126" s="72">
        <f t="shared" si="802"/>
        <v>137</v>
      </c>
      <c r="CM126" s="72">
        <f t="shared" si="803"/>
        <v>145</v>
      </c>
      <c r="CN126" s="72">
        <f t="shared" si="804"/>
        <v>172</v>
      </c>
      <c r="CO126" s="72">
        <f t="shared" si="805"/>
        <v>193</v>
      </c>
      <c r="CP126" s="72">
        <f t="shared" si="806"/>
        <v>237</v>
      </c>
      <c r="CQ126" s="72">
        <f t="shared" si="807"/>
        <v>299</v>
      </c>
      <c r="CR126" s="72">
        <f t="shared" si="808"/>
        <v>328</v>
      </c>
      <c r="CS126" s="72">
        <f t="shared" si="809"/>
        <v>341</v>
      </c>
      <c r="CT126" s="23">
        <f t="shared" si="810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ht="17" customHeight="1" x14ac:dyDescent="0.2">
      <c r="A127" s="3" t="str">
        <f t="shared" ref="A127" si="979">CONCATENATE(B127,"_",C127)</f>
        <v>adrb2_human_4GBR</v>
      </c>
      <c r="B127" s="3" t="s">
        <v>126</v>
      </c>
      <c r="C127" s="3" t="s">
        <v>1106</v>
      </c>
      <c r="D127" s="3" t="str">
        <f>IFERROR(MID(VLOOKUP($B127,Seqs!$A:$B,2,0),E127,1),"")</f>
        <v>D</v>
      </c>
      <c r="E127" s="3">
        <v>29</v>
      </c>
      <c r="F127" s="3" t="str">
        <f>IFERROR(MID(VLOOKUP($B127,Seqs!$A:$B,2,0),G127,1),"")</f>
        <v>F</v>
      </c>
      <c r="G127" s="3">
        <v>61</v>
      </c>
      <c r="H127" s="3" t="str">
        <f>IFERROR(MID(VLOOKUP($B127,Seqs!$A:$B,2,0),I127,1),"")</f>
        <v>E</v>
      </c>
      <c r="I127" s="23">
        <v>62</v>
      </c>
      <c r="J127" s="3" t="str">
        <f>IFERROR(MID(VLOOKUP($B127,Seqs!$A:$B,2,0),K127,1),"")</f>
        <v>Q</v>
      </c>
      <c r="K127" s="23">
        <v>65</v>
      </c>
      <c r="L127" s="3" t="str">
        <f>IFERROR(MID(VLOOKUP($B127,Seqs!$A:$B,2,0),M127,1),"")</f>
        <v>T</v>
      </c>
      <c r="M127" s="3">
        <v>66</v>
      </c>
      <c r="N127" s="3" t="str">
        <f>IFERROR(MID(VLOOKUP($B127,Seqs!$A:$B,2,0),O127,1),"")</f>
        <v>M</v>
      </c>
      <c r="O127" s="3">
        <v>96</v>
      </c>
      <c r="P127" s="3" t="str">
        <f>IFERROR(MID(VLOOKUP($B127,Seqs!$A:$B,2,0),Q127,1),"")</f>
        <v>M</v>
      </c>
      <c r="Q127" s="3">
        <v>98</v>
      </c>
      <c r="R127" s="3" t="str">
        <f>IFERROR(MID(VLOOKUP($B127,Seqs!$A:$B,2,0),S127,1),"")</f>
        <v>F</v>
      </c>
      <c r="S127" s="3">
        <v>101</v>
      </c>
      <c r="T127" s="3" t="str">
        <f>IFERROR(MID(VLOOKUP($B127,Seqs!$A:$B,2,0),U127,1),"")</f>
        <v>G</v>
      </c>
      <c r="U127" s="3">
        <v>102</v>
      </c>
      <c r="V127" s="3" t="str">
        <f>IFERROR(MID(VLOOKUP($B127,Seqs!$A:$B,2,0),W127,1),"")</f>
        <v>T</v>
      </c>
      <c r="W127" s="3">
        <v>136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T</v>
      </c>
      <c r="AC127" s="3">
        <v>146</v>
      </c>
      <c r="AD127" s="3" t="str">
        <f>IFERROR(MID(VLOOKUP($B127,Seqs!$A:$B,2,0),AE127,1),"")</f>
        <v>H</v>
      </c>
      <c r="AE127" s="3">
        <v>172</v>
      </c>
      <c r="AF127" s="3" t="str">
        <f>IFERROR(MID(VLOOKUP($B127,Seqs!$A:$B,2,0),AG127,1),"")</f>
        <v>C</v>
      </c>
      <c r="AG127" s="3">
        <v>191</v>
      </c>
      <c r="AH127" s="3" t="str">
        <f>IFERROR(MID(VLOOKUP($B127,Seqs!$A:$B,2,0),AI127,1),"")</f>
        <v>F</v>
      </c>
      <c r="AI127" s="3">
        <v>193</v>
      </c>
      <c r="AJ127" s="3" t="str">
        <f>IFERROR(MID(VLOOKUP($B127,Seqs!$A:$B,2,0),AK127,1),"")</f>
        <v>N</v>
      </c>
      <c r="AK127" s="3">
        <v>196</v>
      </c>
      <c r="AL127" s="3" t="str">
        <f>IFERROR(MID(VLOOKUP($B127,Seqs!$A:$B,2,0),AM127,1),"")</f>
        <v>K</v>
      </c>
      <c r="AM127" s="3">
        <v>232</v>
      </c>
      <c r="AN127" s="3" t="str">
        <f>IFERROR(MID(VLOOKUP($B127,Seqs!$A:$B,2,0),AO127,1),"")</f>
        <v>E</v>
      </c>
      <c r="AO127" s="3">
        <v>237</v>
      </c>
      <c r="AP127" s="3" t="str">
        <f>IFERROR(MID(VLOOKUP($B127,Seqs!$A:$B,2,0),AQ127,1),"")</f>
        <v>A</v>
      </c>
      <c r="AQ127" s="3">
        <v>271</v>
      </c>
      <c r="AR127" s="3" t="str">
        <f>IFERROR(MID(VLOOKUP($B127,Seqs!$A:$B,2,0),AS127,1),"")</f>
        <v>G</v>
      </c>
      <c r="AS127" s="3">
        <v>276</v>
      </c>
      <c r="AT127" s="3" t="str">
        <f>IFERROR(MID(VLOOKUP($B127,Seqs!$A:$B,2,0),AU127,1),"")</f>
        <v>D</v>
      </c>
      <c r="AU127" s="3">
        <v>300</v>
      </c>
      <c r="AV127" s="3" t="str">
        <f>IFERROR(MID(VLOOKUP($B127,Seqs!$A:$B,2,0),AW127,1),"")</f>
        <v>N</v>
      </c>
      <c r="AW127" s="3">
        <v>301</v>
      </c>
      <c r="AX127" s="3" t="str">
        <f>IFERROR(MID(VLOOKUP($B127,Seqs!$A:$B,2,0),AY127,1),"")</f>
        <v>W</v>
      </c>
      <c r="AY127" s="3">
        <v>313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ref="BB127" si="980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 t="shared" ref="BC127" si="981">_xlfn.AGGREGATE(9,6,CH127:CS127)-_xlfn.AGGREGATE(9,6,BV127:CG127)+12</f>
        <v>248</v>
      </c>
      <c r="BD127" s="4" t="s">
        <v>23</v>
      </c>
      <c r="BE127" s="3" t="s">
        <v>1374</v>
      </c>
      <c r="BF127" s="118">
        <v>3.99</v>
      </c>
      <c r="BG127" s="49" t="s">
        <v>1</v>
      </c>
      <c r="BH127" s="49" t="s">
        <v>1</v>
      </c>
      <c r="BI127" s="1"/>
      <c r="BJ127" s="70" t="s">
        <v>1287</v>
      </c>
      <c r="BK127" s="57" t="s">
        <v>1287</v>
      </c>
      <c r="BL127" s="57" t="s">
        <v>1287</v>
      </c>
      <c r="BM127" s="57" t="s">
        <v>1287</v>
      </c>
      <c r="BN127" s="57" t="s">
        <v>1287</v>
      </c>
      <c r="BO127" s="57" t="s">
        <v>1287</v>
      </c>
      <c r="BP127" s="57" t="s">
        <v>1287</v>
      </c>
      <c r="BQ127" s="57" t="s">
        <v>1287</v>
      </c>
      <c r="BR127" s="57" t="s">
        <v>1287</v>
      </c>
      <c r="BS127" s="57" t="s">
        <v>1287</v>
      </c>
      <c r="BT127" s="57" t="s">
        <v>1287</v>
      </c>
      <c r="BU127" s="57" t="s">
        <v>1287</v>
      </c>
      <c r="BV127" s="70">
        <f t="shared" ref="BV127" si="982">E127</f>
        <v>29</v>
      </c>
      <c r="BW127" s="71">
        <f t="shared" ref="BW127" si="983">I127</f>
        <v>62</v>
      </c>
      <c r="BX127" s="72">
        <f t="shared" ref="BX127" si="984">M127</f>
        <v>66</v>
      </c>
      <c r="BY127" s="71">
        <f t="shared" ref="BY127" si="985">Q127</f>
        <v>98</v>
      </c>
      <c r="BZ127" s="72">
        <f t="shared" ref="BZ127" si="986">U127</f>
        <v>102</v>
      </c>
      <c r="CA127" s="71" t="str">
        <f t="shared" ref="CA127" si="987">Y127</f>
        <v>-</v>
      </c>
      <c r="CB127" s="72">
        <f t="shared" ref="CB127" si="988">AC127</f>
        <v>146</v>
      </c>
      <c r="CC127" s="71">
        <f t="shared" ref="CC127" si="989">AG127</f>
        <v>191</v>
      </c>
      <c r="CD127" s="72">
        <f t="shared" ref="CD127" si="990">AK127</f>
        <v>196</v>
      </c>
      <c r="CE127" s="71">
        <f t="shared" ref="CE127" si="991">AO127</f>
        <v>237</v>
      </c>
      <c r="CF127" s="72">
        <f t="shared" ref="CF127" si="992">AS127</f>
        <v>276</v>
      </c>
      <c r="CG127" s="71">
        <f t="shared" ref="CG127" si="993">AW127</f>
        <v>301</v>
      </c>
      <c r="CH127" s="70">
        <f t="shared" ref="CH127" si="994">G127</f>
        <v>61</v>
      </c>
      <c r="CI127" s="71">
        <f t="shared" ref="CI127" si="995">K127</f>
        <v>65</v>
      </c>
      <c r="CJ127" s="72">
        <f t="shared" ref="CJ127" si="996">O127</f>
        <v>96</v>
      </c>
      <c r="CK127" s="72">
        <f t="shared" ref="CK127" si="997">S127</f>
        <v>101</v>
      </c>
      <c r="CL127" s="72">
        <f t="shared" ref="CL127" si="998">W127</f>
        <v>136</v>
      </c>
      <c r="CM127" s="72" t="str">
        <f t="shared" ref="CM127" si="999">AA127</f>
        <v>-</v>
      </c>
      <c r="CN127" s="72">
        <f t="shared" ref="CN127" si="1000">AE127</f>
        <v>172</v>
      </c>
      <c r="CO127" s="72">
        <f t="shared" ref="CO127" si="1001">AI127</f>
        <v>193</v>
      </c>
      <c r="CP127" s="72">
        <f t="shared" ref="CP127" si="1002">AM127</f>
        <v>232</v>
      </c>
      <c r="CQ127" s="72">
        <f t="shared" ref="CQ127" si="1003">AQ127</f>
        <v>271</v>
      </c>
      <c r="CR127" s="72">
        <f t="shared" ref="CR127" si="1004">AU127</f>
        <v>300</v>
      </c>
      <c r="CS127" s="72">
        <f t="shared" ref="CS127" si="1005">AY127</f>
        <v>313</v>
      </c>
      <c r="CT127" s="23">
        <f t="shared" ref="CT127" si="1006">M127-K127</f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ref="A128:A241" si="1007">CONCATENATE(B128,"_",C128)</f>
        <v>adrb2_human_4LDE</v>
      </c>
      <c r="B128" s="3" t="s">
        <v>126</v>
      </c>
      <c r="C128" s="3" t="s">
        <v>77</v>
      </c>
      <c r="D128" s="3" t="str">
        <f>IFERROR(MID(VLOOKUP($B128,Seqs!$A:$B,2,0),E128,1),"")</f>
        <v/>
      </c>
      <c r="E128" s="3">
        <v>1029</v>
      </c>
      <c r="F128" s="3" t="str">
        <f>IFERROR(MID(VLOOKUP($B128,Seqs!$A:$B,2,0),G128,1),"")</f>
        <v/>
      </c>
      <c r="G128" s="3">
        <v>1061</v>
      </c>
      <c r="H128" s="3" t="str">
        <f>IFERROR(MID(VLOOKUP($B128,Seqs!$A:$B,2,0),I128,1),"")</f>
        <v/>
      </c>
      <c r="I128" s="23">
        <v>1062</v>
      </c>
      <c r="J128" s="3" t="str">
        <f>IFERROR(MID(VLOOKUP($B128,Seqs!$A:$B,2,0),K128,1),"")</f>
        <v/>
      </c>
      <c r="K128" s="23">
        <v>1065</v>
      </c>
      <c r="L128" s="3" t="str">
        <f>IFERROR(MID(VLOOKUP($B128,Seqs!$A:$B,2,0),M128,1),"")</f>
        <v/>
      </c>
      <c r="M128" s="3">
        <v>1066</v>
      </c>
      <c r="N128" s="3" t="str">
        <f>IFERROR(MID(VLOOKUP($B128,Seqs!$A:$B,2,0),O128,1),"")</f>
        <v/>
      </c>
      <c r="O128" s="3">
        <v>1096</v>
      </c>
      <c r="P128" s="3" t="str">
        <f>IFERROR(MID(VLOOKUP($B128,Seqs!$A:$B,2,0),Q128,1),"")</f>
        <v/>
      </c>
      <c r="Q128" s="3">
        <v>1098</v>
      </c>
      <c r="R128" s="3" t="str">
        <f>IFERROR(MID(VLOOKUP($B128,Seqs!$A:$B,2,0),S128,1),"")</f>
        <v/>
      </c>
      <c r="S128" s="3">
        <v>1101</v>
      </c>
      <c r="T128" s="3" t="str">
        <f>IFERROR(MID(VLOOKUP($B128,Seqs!$A:$B,2,0),U128,1),"")</f>
        <v/>
      </c>
      <c r="U128" s="3">
        <v>1102</v>
      </c>
      <c r="V128" s="3" t="str">
        <f>IFERROR(MID(VLOOKUP($B128,Seqs!$A:$B,2,0),W128,1),"")</f>
        <v/>
      </c>
      <c r="W128" s="3">
        <v>1137</v>
      </c>
      <c r="X128" s="3" t="str">
        <f>IFERROR(MID(VLOOKUP($B128,Seqs!$A:$B,2,0),Y128,1),"")</f>
        <v/>
      </c>
      <c r="Y128" s="3">
        <v>1138</v>
      </c>
      <c r="Z128" s="3" t="str">
        <f>IFERROR(MID(VLOOKUP($B128,Seqs!$A:$B,2,0),AA128,1),"")</f>
        <v/>
      </c>
      <c r="AA128" s="3">
        <v>1145</v>
      </c>
      <c r="AB128" s="3" t="str">
        <f>IFERROR(MID(VLOOKUP($B128,Seqs!$A:$B,2,0),AC128,1),"")</f>
        <v/>
      </c>
      <c r="AC128" s="9">
        <v>1146</v>
      </c>
      <c r="AD128" s="3" t="str">
        <f>IFERROR(MID(VLOOKUP($B128,Seqs!$A:$B,2,0),AE128,1),"")</f>
        <v/>
      </c>
      <c r="AE128" s="3">
        <v>1172</v>
      </c>
      <c r="AF128" s="3" t="str">
        <f>IFERROR(MID(VLOOKUP($B128,Seqs!$A:$B,2,0),AG128,1),"")</f>
        <v/>
      </c>
      <c r="AG128" s="3">
        <v>1191</v>
      </c>
      <c r="AH128" s="3" t="str">
        <f>IFERROR(MID(VLOOKUP($B128,Seqs!$A:$B,2,0),AI128,1),"")</f>
        <v/>
      </c>
      <c r="AI128" s="3">
        <v>1193</v>
      </c>
      <c r="AJ128" s="3" t="str">
        <f>IFERROR(MID(VLOOKUP($B128,Seqs!$A:$B,2,0),AK128,1),"")</f>
        <v/>
      </c>
      <c r="AK128" s="3">
        <v>1196</v>
      </c>
      <c r="AL128" s="3" t="str">
        <f>IFERROR(MID(VLOOKUP($B128,Seqs!$A:$B,2,0),AM128,1),"")</f>
        <v/>
      </c>
      <c r="AM128" s="3">
        <v>1225</v>
      </c>
      <c r="AN128" s="3" t="str">
        <f>IFERROR(MID(VLOOKUP($B128,Seqs!$A:$B,2,0),AO128,1),"")</f>
        <v/>
      </c>
      <c r="AO128" s="3">
        <v>1266</v>
      </c>
      <c r="AP128" s="3" t="str">
        <f>IFERROR(MID(VLOOKUP($B128,Seqs!$A:$B,2,0),AQ128,1),"")</f>
        <v/>
      </c>
      <c r="AQ128" s="3">
        <v>1299</v>
      </c>
      <c r="AR128" s="3" t="str">
        <f>IFERROR(MID(VLOOKUP($B128,Seqs!$A:$B,2,0),AS128,1),"")</f>
        <v/>
      </c>
      <c r="AS128" s="3">
        <v>1304</v>
      </c>
      <c r="AT128" s="3" t="str">
        <f>IFERROR(MID(VLOOKUP($B128,Seqs!$A:$B,2,0),AU128,1),"")</f>
        <v/>
      </c>
      <c r="AU128" s="3">
        <v>1328</v>
      </c>
      <c r="AV128" s="3" t="str">
        <f>IFERROR(MID(VLOOKUP($B128,Seqs!$A:$B,2,0),AW128,1),"")</f>
        <v/>
      </c>
      <c r="AW128" s="3">
        <v>1329</v>
      </c>
      <c r="AX128" s="3" t="str">
        <f>IFERROR(MID(VLOOKUP($B128,Seqs!$A:$B,2,0),AY128,1),"")</f>
        <v/>
      </c>
      <c r="AY128" s="3">
        <v>1341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 t="shared" ref="BB128:BB241" si="1008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 t="shared" si="785"/>
        <v>248</v>
      </c>
      <c r="BD128" s="4" t="s">
        <v>23</v>
      </c>
      <c r="BE128" s="3" t="s">
        <v>1291</v>
      </c>
      <c r="BF128" s="118">
        <v>2.79</v>
      </c>
      <c r="BG128" s="49" t="s">
        <v>1377</v>
      </c>
      <c r="BH128" s="49" t="s">
        <v>1377</v>
      </c>
      <c r="BI128" s="1"/>
      <c r="BJ128" s="70" t="s">
        <v>1287</v>
      </c>
      <c r="BK128" s="57" t="s">
        <v>1287</v>
      </c>
      <c r="BL128" s="57" t="s">
        <v>1287</v>
      </c>
      <c r="BM128" s="57" t="s">
        <v>1287</v>
      </c>
      <c r="BN128" s="57" t="s">
        <v>1287</v>
      </c>
      <c r="BO128" s="57" t="s">
        <v>1287</v>
      </c>
      <c r="BP128" s="57" t="s">
        <v>1287</v>
      </c>
      <c r="BQ128" s="57" t="s">
        <v>1287</v>
      </c>
      <c r="BR128" s="57" t="s">
        <v>1287</v>
      </c>
      <c r="BS128" s="57" t="s">
        <v>1287</v>
      </c>
      <c r="BT128" s="57" t="s">
        <v>1287</v>
      </c>
      <c r="BU128" s="57" t="s">
        <v>1287</v>
      </c>
      <c r="BV128" s="70">
        <f t="shared" si="786"/>
        <v>1029</v>
      </c>
      <c r="BW128" s="71">
        <f t="shared" si="787"/>
        <v>1062</v>
      </c>
      <c r="BX128" s="72">
        <f t="shared" si="788"/>
        <v>1066</v>
      </c>
      <c r="BY128" s="71">
        <f t="shared" si="789"/>
        <v>1098</v>
      </c>
      <c r="BZ128" s="72">
        <f t="shared" si="790"/>
        <v>1102</v>
      </c>
      <c r="CA128" s="71">
        <f t="shared" si="791"/>
        <v>1138</v>
      </c>
      <c r="CB128" s="72">
        <f t="shared" si="792"/>
        <v>1146</v>
      </c>
      <c r="CC128" s="71">
        <f t="shared" si="793"/>
        <v>1191</v>
      </c>
      <c r="CD128" s="72">
        <f t="shared" si="794"/>
        <v>1196</v>
      </c>
      <c r="CE128" s="71">
        <f t="shared" si="795"/>
        <v>1266</v>
      </c>
      <c r="CF128" s="72">
        <f t="shared" si="796"/>
        <v>1304</v>
      </c>
      <c r="CG128" s="71">
        <f t="shared" si="797"/>
        <v>1329</v>
      </c>
      <c r="CH128" s="70">
        <f t="shared" si="798"/>
        <v>1061</v>
      </c>
      <c r="CI128" s="71">
        <f t="shared" si="799"/>
        <v>1065</v>
      </c>
      <c r="CJ128" s="72">
        <f t="shared" si="800"/>
        <v>1096</v>
      </c>
      <c r="CK128" s="72">
        <f t="shared" si="801"/>
        <v>1101</v>
      </c>
      <c r="CL128" s="72">
        <f t="shared" si="802"/>
        <v>1137</v>
      </c>
      <c r="CM128" s="72">
        <f t="shared" si="803"/>
        <v>1145</v>
      </c>
      <c r="CN128" s="72">
        <f t="shared" si="804"/>
        <v>1172</v>
      </c>
      <c r="CO128" s="72">
        <f t="shared" si="805"/>
        <v>1193</v>
      </c>
      <c r="CP128" s="72">
        <f t="shared" si="806"/>
        <v>1225</v>
      </c>
      <c r="CQ128" s="72">
        <f t="shared" si="807"/>
        <v>1299</v>
      </c>
      <c r="CR128" s="72">
        <f t="shared" si="808"/>
        <v>1328</v>
      </c>
      <c r="CS128" s="72">
        <f t="shared" si="809"/>
        <v>1341</v>
      </c>
      <c r="CT128" s="23">
        <f t="shared" si="810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3" t="str">
        <f t="shared" si="1007"/>
        <v>adrb2_human_4LDL</v>
      </c>
      <c r="B129" s="3" t="s">
        <v>126</v>
      </c>
      <c r="C129" s="3" t="s">
        <v>1044</v>
      </c>
      <c r="D129" s="3" t="str">
        <f>IFERROR(MID(VLOOKUP($B129,Seqs!$A:$B,2,0),E129,1),"")</f>
        <v/>
      </c>
      <c r="E129" s="3">
        <v>1029</v>
      </c>
      <c r="F129" s="3" t="str">
        <f>IFERROR(MID(VLOOKUP($B129,Seqs!$A:$B,2,0),G129,1),"")</f>
        <v/>
      </c>
      <c r="G129" s="3">
        <v>1061</v>
      </c>
      <c r="H129" s="3" t="str">
        <f>IFERROR(MID(VLOOKUP($B129,Seqs!$A:$B,2,0),I129,1),"")</f>
        <v/>
      </c>
      <c r="I129" s="23">
        <v>1062</v>
      </c>
      <c r="J129" s="3" t="str">
        <f>IFERROR(MID(VLOOKUP($B129,Seqs!$A:$B,2,0),K129,1),"")</f>
        <v/>
      </c>
      <c r="K129" s="23">
        <v>1065</v>
      </c>
      <c r="L129" s="3" t="str">
        <f>IFERROR(MID(VLOOKUP($B129,Seqs!$A:$B,2,0),M129,1),"")</f>
        <v/>
      </c>
      <c r="M129" s="3">
        <v>1066</v>
      </c>
      <c r="N129" s="3" t="str">
        <f>IFERROR(MID(VLOOKUP($B129,Seqs!$A:$B,2,0),O129,1),"")</f>
        <v/>
      </c>
      <c r="O129" s="3">
        <v>1096</v>
      </c>
      <c r="P129" s="3" t="str">
        <f>IFERROR(MID(VLOOKUP($B129,Seqs!$A:$B,2,0),Q129,1),"")</f>
        <v/>
      </c>
      <c r="Q129" s="3">
        <v>1098</v>
      </c>
      <c r="R129" s="3" t="str">
        <f>IFERROR(MID(VLOOKUP($B129,Seqs!$A:$B,2,0),S129,1),"")</f>
        <v/>
      </c>
      <c r="S129" s="3">
        <v>1101</v>
      </c>
      <c r="T129" s="3" t="str">
        <f>IFERROR(MID(VLOOKUP($B129,Seqs!$A:$B,2,0),U129,1),"")</f>
        <v/>
      </c>
      <c r="U129" s="3">
        <v>1102</v>
      </c>
      <c r="V129" s="3" t="str">
        <f>IFERROR(MID(VLOOKUP($B129,Seqs!$A:$B,2,0),W129,1),"")</f>
        <v/>
      </c>
      <c r="W129" s="3">
        <v>1137</v>
      </c>
      <c r="X129" s="3" t="str">
        <f>IFERROR(MID(VLOOKUP($B129,Seqs!$A:$B,2,0),Y129,1),"")</f>
        <v/>
      </c>
      <c r="Y129" s="3">
        <v>1138</v>
      </c>
      <c r="Z129" s="3" t="str">
        <f>IFERROR(MID(VLOOKUP($B129,Seqs!$A:$B,2,0),AA129,1),"")</f>
        <v/>
      </c>
      <c r="AA129" s="3">
        <v>1145</v>
      </c>
      <c r="AB129" s="3" t="str">
        <f>IFERROR(MID(VLOOKUP($B129,Seqs!$A:$B,2,0),AC129,1),"")</f>
        <v/>
      </c>
      <c r="AC129" s="9">
        <v>1146</v>
      </c>
      <c r="AD129" s="3" t="str">
        <f>IFERROR(MID(VLOOKUP($B129,Seqs!$A:$B,2,0),AE129,1),"")</f>
        <v/>
      </c>
      <c r="AE129" s="3">
        <v>1172</v>
      </c>
      <c r="AF129" s="3" t="str">
        <f>IFERROR(MID(VLOOKUP($B129,Seqs!$A:$B,2,0),AG129,1),"")</f>
        <v/>
      </c>
      <c r="AG129" s="3">
        <v>1191</v>
      </c>
      <c r="AH129" s="3" t="str">
        <f>IFERROR(MID(VLOOKUP($B129,Seqs!$A:$B,2,0),AI129,1),"")</f>
        <v/>
      </c>
      <c r="AI129" s="3">
        <v>1193</v>
      </c>
      <c r="AJ129" s="3" t="str">
        <f>IFERROR(MID(VLOOKUP($B129,Seqs!$A:$B,2,0),AK129,1),"")</f>
        <v/>
      </c>
      <c r="AK129" s="3">
        <v>1196</v>
      </c>
      <c r="AL129" s="3" t="str">
        <f>IFERROR(MID(VLOOKUP($B129,Seqs!$A:$B,2,0),AM129,1),"")</f>
        <v/>
      </c>
      <c r="AM129" s="3">
        <v>1225</v>
      </c>
      <c r="AN129" s="3" t="str">
        <f>IFERROR(MID(VLOOKUP($B129,Seqs!$A:$B,2,0),AO129,1),"")</f>
        <v/>
      </c>
      <c r="AO129" s="3">
        <v>1266</v>
      </c>
      <c r="AP129" s="3" t="str">
        <f>IFERROR(MID(VLOOKUP($B129,Seqs!$A:$B,2,0),AQ129,1),"")</f>
        <v/>
      </c>
      <c r="AQ129" s="3">
        <v>1299</v>
      </c>
      <c r="AR129" s="3" t="str">
        <f>IFERROR(MID(VLOOKUP($B129,Seqs!$A:$B,2,0),AS129,1),"")</f>
        <v/>
      </c>
      <c r="AS129" s="3">
        <v>1304</v>
      </c>
      <c r="AT129" s="3" t="str">
        <f>IFERROR(MID(VLOOKUP($B129,Seqs!$A:$B,2,0),AU129,1),"")</f>
        <v/>
      </c>
      <c r="AU129" s="3">
        <v>1328</v>
      </c>
      <c r="AV129" s="3" t="str">
        <f>IFERROR(MID(VLOOKUP($B129,Seqs!$A:$B,2,0),AW129,1),"")</f>
        <v/>
      </c>
      <c r="AW129" s="3">
        <v>1329</v>
      </c>
      <c r="AX129" s="3" t="str">
        <f>IFERROR(MID(VLOOKUP($B129,Seqs!$A:$B,2,0),AY129,1),"")</f>
        <v/>
      </c>
      <c r="AY129" s="3">
        <v>1341</v>
      </c>
      <c r="AZ129" s="77" t="str">
        <f>VLOOKUP(B129,Classification!A:D,2,0)</f>
        <v>A</v>
      </c>
      <c r="BA129" s="94" t="str">
        <f>VLOOKUP(B129,Classification!A:D,4,0)</f>
        <v>Adrenoceptors</v>
      </c>
      <c r="BB129" s="27" t="b">
        <f t="shared" si="1008"/>
        <v>1</v>
      </c>
      <c r="BC129" s="23">
        <f t="shared" si="785"/>
        <v>248</v>
      </c>
      <c r="BD129" s="4" t="s">
        <v>23</v>
      </c>
      <c r="BE129" s="3" t="s">
        <v>1291</v>
      </c>
      <c r="BF129" s="118">
        <v>3.1</v>
      </c>
      <c r="BG129" s="49" t="s">
        <v>1377</v>
      </c>
      <c r="BH129" s="49" t="s">
        <v>1377</v>
      </c>
      <c r="BI129" s="1"/>
      <c r="BJ129" s="70" t="s">
        <v>1287</v>
      </c>
      <c r="BK129" s="57" t="s">
        <v>1287</v>
      </c>
      <c r="BL129" s="57" t="s">
        <v>1287</v>
      </c>
      <c r="BM129" s="57" t="s">
        <v>1287</v>
      </c>
      <c r="BN129" s="57" t="s">
        <v>1287</v>
      </c>
      <c r="BO129" s="57" t="s">
        <v>1287</v>
      </c>
      <c r="BP129" s="57" t="s">
        <v>1287</v>
      </c>
      <c r="BQ129" s="57" t="s">
        <v>1287</v>
      </c>
      <c r="BR129" s="57" t="s">
        <v>1287</v>
      </c>
      <c r="BS129" s="57" t="s">
        <v>1287</v>
      </c>
      <c r="BT129" s="57" t="s">
        <v>1287</v>
      </c>
      <c r="BU129" s="57" t="s">
        <v>1287</v>
      </c>
      <c r="BV129" s="70">
        <f t="shared" si="786"/>
        <v>1029</v>
      </c>
      <c r="BW129" s="71">
        <f t="shared" si="787"/>
        <v>1062</v>
      </c>
      <c r="BX129" s="72">
        <f t="shared" si="788"/>
        <v>1066</v>
      </c>
      <c r="BY129" s="71">
        <f t="shared" si="789"/>
        <v>1098</v>
      </c>
      <c r="BZ129" s="72">
        <f t="shared" si="790"/>
        <v>1102</v>
      </c>
      <c r="CA129" s="71">
        <f t="shared" si="791"/>
        <v>1138</v>
      </c>
      <c r="CB129" s="72">
        <f t="shared" si="792"/>
        <v>1146</v>
      </c>
      <c r="CC129" s="71">
        <f t="shared" si="793"/>
        <v>1191</v>
      </c>
      <c r="CD129" s="72">
        <f t="shared" si="794"/>
        <v>1196</v>
      </c>
      <c r="CE129" s="71">
        <f t="shared" si="795"/>
        <v>1266</v>
      </c>
      <c r="CF129" s="72">
        <f t="shared" si="796"/>
        <v>1304</v>
      </c>
      <c r="CG129" s="71">
        <f t="shared" si="797"/>
        <v>1329</v>
      </c>
      <c r="CH129" s="70">
        <f t="shared" si="798"/>
        <v>1061</v>
      </c>
      <c r="CI129" s="71">
        <f t="shared" si="799"/>
        <v>1065</v>
      </c>
      <c r="CJ129" s="72">
        <f t="shared" si="800"/>
        <v>1096</v>
      </c>
      <c r="CK129" s="72">
        <f t="shared" si="801"/>
        <v>1101</v>
      </c>
      <c r="CL129" s="72">
        <f t="shared" si="802"/>
        <v>1137</v>
      </c>
      <c r="CM129" s="72">
        <f t="shared" si="803"/>
        <v>1145</v>
      </c>
      <c r="CN129" s="72">
        <f t="shared" si="804"/>
        <v>1172</v>
      </c>
      <c r="CO129" s="72">
        <f t="shared" si="805"/>
        <v>1193</v>
      </c>
      <c r="CP129" s="72">
        <f t="shared" si="806"/>
        <v>1225</v>
      </c>
      <c r="CQ129" s="72">
        <f t="shared" si="807"/>
        <v>1299</v>
      </c>
      <c r="CR129" s="72">
        <f t="shared" si="808"/>
        <v>1328</v>
      </c>
      <c r="CS129" s="72">
        <f t="shared" si="809"/>
        <v>1341</v>
      </c>
      <c r="CT129" s="23">
        <f t="shared" si="810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ht="17" customHeight="1" x14ac:dyDescent="0.2">
      <c r="A130" s="3" t="str">
        <f t="shared" si="1007"/>
        <v>adrb2_human_4LDO</v>
      </c>
      <c r="B130" s="3" t="s">
        <v>126</v>
      </c>
      <c r="C130" s="3" t="s">
        <v>1045</v>
      </c>
      <c r="D130" s="3" t="str">
        <f>IFERROR(MID(VLOOKUP($B130,Seqs!$A:$B,2,0),E130,1),"")</f>
        <v/>
      </c>
      <c r="E130" s="3">
        <v>1029</v>
      </c>
      <c r="F130" s="3" t="str">
        <f>IFERROR(MID(VLOOKUP($B130,Seqs!$A:$B,2,0),G130,1),"")</f>
        <v/>
      </c>
      <c r="G130" s="3">
        <v>1061</v>
      </c>
      <c r="H130" s="3" t="str">
        <f>IFERROR(MID(VLOOKUP($B130,Seqs!$A:$B,2,0),I130,1),"")</f>
        <v/>
      </c>
      <c r="I130" s="23">
        <v>1062</v>
      </c>
      <c r="J130" s="3" t="str">
        <f>IFERROR(MID(VLOOKUP($B130,Seqs!$A:$B,2,0),K130,1),"")</f>
        <v/>
      </c>
      <c r="K130" s="23">
        <v>1065</v>
      </c>
      <c r="L130" s="3" t="str">
        <f>IFERROR(MID(VLOOKUP($B130,Seqs!$A:$B,2,0),M130,1),"")</f>
        <v/>
      </c>
      <c r="M130" s="3">
        <v>1066</v>
      </c>
      <c r="N130" s="3" t="str">
        <f>IFERROR(MID(VLOOKUP($B130,Seqs!$A:$B,2,0),O130,1),"")</f>
        <v/>
      </c>
      <c r="O130" s="3">
        <v>1096</v>
      </c>
      <c r="P130" s="3" t="str">
        <f>IFERROR(MID(VLOOKUP($B130,Seqs!$A:$B,2,0),Q130,1),"")</f>
        <v/>
      </c>
      <c r="Q130" s="3">
        <v>1098</v>
      </c>
      <c r="R130" s="3" t="str">
        <f>IFERROR(MID(VLOOKUP($B130,Seqs!$A:$B,2,0),S130,1),"")</f>
        <v/>
      </c>
      <c r="S130" s="3">
        <v>1101</v>
      </c>
      <c r="T130" s="3" t="str">
        <f>IFERROR(MID(VLOOKUP($B130,Seqs!$A:$B,2,0),U130,1),"")</f>
        <v/>
      </c>
      <c r="U130" s="3">
        <v>1102</v>
      </c>
      <c r="V130" s="3" t="str">
        <f>IFERROR(MID(VLOOKUP($B130,Seqs!$A:$B,2,0),W130,1),"")</f>
        <v/>
      </c>
      <c r="W130" s="3">
        <v>1137</v>
      </c>
      <c r="X130" s="3" t="str">
        <f>IFERROR(MID(VLOOKUP($B130,Seqs!$A:$B,2,0),Y130,1),"")</f>
        <v/>
      </c>
      <c r="Y130" s="3">
        <v>1138</v>
      </c>
      <c r="Z130" s="3" t="str">
        <f>IFERROR(MID(VLOOKUP($B130,Seqs!$A:$B,2,0),AA130,1),"")</f>
        <v/>
      </c>
      <c r="AA130" s="3">
        <v>1145</v>
      </c>
      <c r="AB130" s="3" t="str">
        <f>IFERROR(MID(VLOOKUP($B130,Seqs!$A:$B,2,0),AC130,1),"")</f>
        <v/>
      </c>
      <c r="AC130" s="9">
        <v>1146</v>
      </c>
      <c r="AD130" s="3" t="str">
        <f>IFERROR(MID(VLOOKUP($B130,Seqs!$A:$B,2,0),AE130,1),"")</f>
        <v/>
      </c>
      <c r="AE130" s="3">
        <v>1172</v>
      </c>
      <c r="AF130" s="3" t="str">
        <f>IFERROR(MID(VLOOKUP($B130,Seqs!$A:$B,2,0),AG130,1),"")</f>
        <v/>
      </c>
      <c r="AG130" s="3">
        <v>1191</v>
      </c>
      <c r="AH130" s="3" t="str">
        <f>IFERROR(MID(VLOOKUP($B130,Seqs!$A:$B,2,0),AI130,1),"")</f>
        <v/>
      </c>
      <c r="AI130" s="3">
        <v>1193</v>
      </c>
      <c r="AJ130" s="3" t="str">
        <f>IFERROR(MID(VLOOKUP($B130,Seqs!$A:$B,2,0),AK130,1),"")</f>
        <v/>
      </c>
      <c r="AK130" s="3">
        <v>1196</v>
      </c>
      <c r="AL130" s="3" t="str">
        <f>IFERROR(MID(VLOOKUP($B130,Seqs!$A:$B,2,0),AM130,1),"")</f>
        <v/>
      </c>
      <c r="AM130" s="3">
        <v>1225</v>
      </c>
      <c r="AN130" s="3" t="str">
        <f>IFERROR(MID(VLOOKUP($B130,Seqs!$A:$B,2,0),AO130,1),"")</f>
        <v/>
      </c>
      <c r="AO130" s="3">
        <v>1266</v>
      </c>
      <c r="AP130" s="3" t="str">
        <f>IFERROR(MID(VLOOKUP($B130,Seqs!$A:$B,2,0),AQ130,1),"")</f>
        <v/>
      </c>
      <c r="AQ130" s="3">
        <v>1299</v>
      </c>
      <c r="AR130" s="3" t="str">
        <f>IFERROR(MID(VLOOKUP($B130,Seqs!$A:$B,2,0),AS130,1),"")</f>
        <v/>
      </c>
      <c r="AS130" s="3">
        <v>1304</v>
      </c>
      <c r="AT130" s="3" t="str">
        <f>IFERROR(MID(VLOOKUP($B130,Seqs!$A:$B,2,0),AU130,1),"")</f>
        <v/>
      </c>
      <c r="AU130" s="3">
        <v>1328</v>
      </c>
      <c r="AV130" s="3" t="str">
        <f>IFERROR(MID(VLOOKUP($B130,Seqs!$A:$B,2,0),AW130,1),"")</f>
        <v/>
      </c>
      <c r="AW130" s="3">
        <v>1329</v>
      </c>
      <c r="AX130" s="3" t="str">
        <f>IFERROR(MID(VLOOKUP($B130,Seqs!$A:$B,2,0),AY130,1),"")</f>
        <v/>
      </c>
      <c r="AY130" s="3">
        <v>1341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 t="shared" si="1008"/>
        <v>1</v>
      </c>
      <c r="BC130" s="23">
        <f t="shared" si="785"/>
        <v>248</v>
      </c>
      <c r="BD130" s="4" t="s">
        <v>23</v>
      </c>
      <c r="BE130" s="3" t="s">
        <v>1291</v>
      </c>
      <c r="BF130" s="118">
        <v>3.2</v>
      </c>
      <c r="BG130" s="49" t="s">
        <v>1377</v>
      </c>
      <c r="BH130" s="49" t="s">
        <v>1377</v>
      </c>
      <c r="BI130" s="1"/>
      <c r="BJ130" s="70" t="s">
        <v>1287</v>
      </c>
      <c r="BK130" s="57" t="s">
        <v>1287</v>
      </c>
      <c r="BL130" s="57" t="s">
        <v>1287</v>
      </c>
      <c r="BM130" s="57" t="s">
        <v>1287</v>
      </c>
      <c r="BN130" s="57" t="s">
        <v>1287</v>
      </c>
      <c r="BO130" s="57" t="s">
        <v>1287</v>
      </c>
      <c r="BP130" s="57" t="s">
        <v>1287</v>
      </c>
      <c r="BQ130" s="57" t="s">
        <v>1287</v>
      </c>
      <c r="BR130" s="57" t="s">
        <v>1287</v>
      </c>
      <c r="BS130" s="57" t="s">
        <v>1287</v>
      </c>
      <c r="BT130" s="57" t="s">
        <v>1287</v>
      </c>
      <c r="BU130" s="57" t="s">
        <v>1287</v>
      </c>
      <c r="BV130" s="70">
        <f t="shared" si="786"/>
        <v>1029</v>
      </c>
      <c r="BW130" s="71">
        <f t="shared" si="787"/>
        <v>1062</v>
      </c>
      <c r="BX130" s="72">
        <f t="shared" si="788"/>
        <v>1066</v>
      </c>
      <c r="BY130" s="71">
        <f t="shared" si="789"/>
        <v>1098</v>
      </c>
      <c r="BZ130" s="72">
        <f t="shared" si="790"/>
        <v>1102</v>
      </c>
      <c r="CA130" s="71">
        <f t="shared" si="791"/>
        <v>1138</v>
      </c>
      <c r="CB130" s="72">
        <f t="shared" si="792"/>
        <v>1146</v>
      </c>
      <c r="CC130" s="71">
        <f t="shared" si="793"/>
        <v>1191</v>
      </c>
      <c r="CD130" s="72">
        <f t="shared" si="794"/>
        <v>1196</v>
      </c>
      <c r="CE130" s="71">
        <f t="shared" si="795"/>
        <v>1266</v>
      </c>
      <c r="CF130" s="72">
        <f t="shared" si="796"/>
        <v>1304</v>
      </c>
      <c r="CG130" s="71">
        <f t="shared" si="797"/>
        <v>1329</v>
      </c>
      <c r="CH130" s="70">
        <f t="shared" si="798"/>
        <v>1061</v>
      </c>
      <c r="CI130" s="71">
        <f t="shared" si="799"/>
        <v>1065</v>
      </c>
      <c r="CJ130" s="72">
        <f t="shared" si="800"/>
        <v>1096</v>
      </c>
      <c r="CK130" s="72">
        <f t="shared" si="801"/>
        <v>1101</v>
      </c>
      <c r="CL130" s="72">
        <f t="shared" si="802"/>
        <v>1137</v>
      </c>
      <c r="CM130" s="72">
        <f t="shared" si="803"/>
        <v>1145</v>
      </c>
      <c r="CN130" s="72">
        <f t="shared" si="804"/>
        <v>1172</v>
      </c>
      <c r="CO130" s="72">
        <f t="shared" si="805"/>
        <v>1193</v>
      </c>
      <c r="CP130" s="72">
        <f t="shared" si="806"/>
        <v>1225</v>
      </c>
      <c r="CQ130" s="72">
        <f t="shared" si="807"/>
        <v>1299</v>
      </c>
      <c r="CR130" s="72">
        <f t="shared" si="808"/>
        <v>1328</v>
      </c>
      <c r="CS130" s="72">
        <f t="shared" si="809"/>
        <v>1341</v>
      </c>
      <c r="CT130" s="23">
        <f t="shared" si="810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1007"/>
        <v>adrb2_human_4QKX</v>
      </c>
      <c r="B131" s="3" t="s">
        <v>126</v>
      </c>
      <c r="C131" s="3" t="s">
        <v>78</v>
      </c>
      <c r="D131" s="3" t="str">
        <f>IFERROR(MID(VLOOKUP($B131,Seqs!$A:$B,2,0),E131,1),"")</f>
        <v/>
      </c>
      <c r="E131" s="3">
        <v>1029</v>
      </c>
      <c r="F131" s="3" t="str">
        <f>IFERROR(MID(VLOOKUP($B131,Seqs!$A:$B,2,0),G131,1),"")</f>
        <v/>
      </c>
      <c r="G131" s="3">
        <v>1061</v>
      </c>
      <c r="H131" s="3" t="str">
        <f>IFERROR(MID(VLOOKUP($B131,Seqs!$A:$B,2,0),I131,1),"")</f>
        <v/>
      </c>
      <c r="I131" s="23">
        <v>1062</v>
      </c>
      <c r="J131" s="3" t="str">
        <f>IFERROR(MID(VLOOKUP($B131,Seqs!$A:$B,2,0),K131,1),"")</f>
        <v/>
      </c>
      <c r="K131" s="23">
        <v>1065</v>
      </c>
      <c r="L131" s="3" t="str">
        <f>IFERROR(MID(VLOOKUP($B131,Seqs!$A:$B,2,0),M131,1),"")</f>
        <v/>
      </c>
      <c r="M131" s="3">
        <v>1066</v>
      </c>
      <c r="N131" s="3" t="str">
        <f>IFERROR(MID(VLOOKUP($B131,Seqs!$A:$B,2,0),O131,1),"")</f>
        <v/>
      </c>
      <c r="O131" s="3">
        <v>1096</v>
      </c>
      <c r="P131" s="3" t="str">
        <f>IFERROR(MID(VLOOKUP($B131,Seqs!$A:$B,2,0),Q131,1),"")</f>
        <v/>
      </c>
      <c r="Q131" s="3">
        <v>1098</v>
      </c>
      <c r="R131" s="3" t="str">
        <f>IFERROR(MID(VLOOKUP($B131,Seqs!$A:$B,2,0),S131,1),"")</f>
        <v/>
      </c>
      <c r="S131" s="3">
        <v>1101</v>
      </c>
      <c r="T131" s="3" t="str">
        <f>IFERROR(MID(VLOOKUP($B131,Seqs!$A:$B,2,0),U131,1),"")</f>
        <v/>
      </c>
      <c r="U131" s="3">
        <v>1102</v>
      </c>
      <c r="V131" s="3" t="str">
        <f>IFERROR(MID(VLOOKUP($B131,Seqs!$A:$B,2,0),W131,1),"")</f>
        <v/>
      </c>
      <c r="W131" s="3">
        <v>1137</v>
      </c>
      <c r="X131" s="3" t="str">
        <f>IFERROR(MID(VLOOKUP($B131,Seqs!$A:$B,2,0),Y131,1),"")</f>
        <v/>
      </c>
      <c r="Y131" s="3">
        <v>1138</v>
      </c>
      <c r="Z131" s="3" t="str">
        <f>IFERROR(MID(VLOOKUP($B131,Seqs!$A:$B,2,0),AA131,1),"")</f>
        <v/>
      </c>
      <c r="AA131" s="3">
        <v>1145</v>
      </c>
      <c r="AB131" s="3" t="str">
        <f>IFERROR(MID(VLOOKUP($B131,Seqs!$A:$B,2,0),AC131,1),"")</f>
        <v/>
      </c>
      <c r="AC131" s="9">
        <v>1146</v>
      </c>
      <c r="AD131" s="3" t="str">
        <f>IFERROR(MID(VLOOKUP($B131,Seqs!$A:$B,2,0),AE131,1),"")</f>
        <v/>
      </c>
      <c r="AE131" s="3">
        <v>1172</v>
      </c>
      <c r="AF131" s="3" t="str">
        <f>IFERROR(MID(VLOOKUP($B131,Seqs!$A:$B,2,0),AG131,1),"")</f>
        <v/>
      </c>
      <c r="AG131" s="3">
        <v>1191</v>
      </c>
      <c r="AH131" s="3" t="str">
        <f>IFERROR(MID(VLOOKUP($B131,Seqs!$A:$B,2,0),AI131,1),"")</f>
        <v/>
      </c>
      <c r="AI131" s="3">
        <v>1193</v>
      </c>
      <c r="AJ131" s="3" t="str">
        <f>IFERROR(MID(VLOOKUP($B131,Seqs!$A:$B,2,0),AK131,1),"")</f>
        <v/>
      </c>
      <c r="AK131" s="3">
        <v>1196</v>
      </c>
      <c r="AL131" s="3" t="str">
        <f>IFERROR(MID(VLOOKUP($B131,Seqs!$A:$B,2,0),AM131,1),"")</f>
        <v/>
      </c>
      <c r="AM131" s="3">
        <v>1225</v>
      </c>
      <c r="AN131" s="3" t="str">
        <f>IFERROR(MID(VLOOKUP($B131,Seqs!$A:$B,2,0),AO131,1),"")</f>
        <v/>
      </c>
      <c r="AO131" s="3">
        <v>1266</v>
      </c>
      <c r="AP131" s="3" t="str">
        <f>IFERROR(MID(VLOOKUP($B131,Seqs!$A:$B,2,0),AQ131,1),"")</f>
        <v/>
      </c>
      <c r="AQ131" s="3">
        <v>1299</v>
      </c>
      <c r="AR131" s="3" t="str">
        <f>IFERROR(MID(VLOOKUP($B131,Seqs!$A:$B,2,0),AS131,1),"")</f>
        <v/>
      </c>
      <c r="AS131" s="3">
        <v>1304</v>
      </c>
      <c r="AT131" s="3" t="str">
        <f>IFERROR(MID(VLOOKUP($B131,Seqs!$A:$B,2,0),AU131,1),"")</f>
        <v/>
      </c>
      <c r="AU131" s="3">
        <v>1328</v>
      </c>
      <c r="AV131" s="3" t="str">
        <f>IFERROR(MID(VLOOKUP($B131,Seqs!$A:$B,2,0),AW131,1),"")</f>
        <v/>
      </c>
      <c r="AW131" s="3">
        <v>1329</v>
      </c>
      <c r="AX131" s="3" t="str">
        <f>IFERROR(MID(VLOOKUP($B131,Seqs!$A:$B,2,0),AY131,1),"")</f>
        <v/>
      </c>
      <c r="AY131" s="3">
        <v>1341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 t="shared" si="1008"/>
        <v>1</v>
      </c>
      <c r="BC131" s="23">
        <f t="shared" si="785"/>
        <v>248</v>
      </c>
      <c r="BD131" s="4" t="s">
        <v>23</v>
      </c>
      <c r="BE131" s="3" t="s">
        <v>1291</v>
      </c>
      <c r="BF131" s="118">
        <v>3.3</v>
      </c>
      <c r="BG131" s="49" t="s">
        <v>1377</v>
      </c>
      <c r="BH131" s="49" t="s">
        <v>1377</v>
      </c>
      <c r="BI131" s="1"/>
      <c r="BJ131" s="70" t="s">
        <v>1287</v>
      </c>
      <c r="BK131" s="57" t="s">
        <v>1287</v>
      </c>
      <c r="BL131" s="57" t="s">
        <v>1287</v>
      </c>
      <c r="BM131" s="57" t="s">
        <v>1287</v>
      </c>
      <c r="BN131" s="57" t="s">
        <v>1287</v>
      </c>
      <c r="BO131" s="57" t="s">
        <v>1287</v>
      </c>
      <c r="BP131" s="57" t="s">
        <v>1287</v>
      </c>
      <c r="BQ131" s="57" t="s">
        <v>1287</v>
      </c>
      <c r="BR131" s="57" t="s">
        <v>1287</v>
      </c>
      <c r="BS131" s="57" t="s">
        <v>1287</v>
      </c>
      <c r="BT131" s="57" t="s">
        <v>1287</v>
      </c>
      <c r="BU131" s="57" t="s">
        <v>1287</v>
      </c>
      <c r="BV131" s="70">
        <f t="shared" si="786"/>
        <v>1029</v>
      </c>
      <c r="BW131" s="71">
        <f t="shared" si="787"/>
        <v>1062</v>
      </c>
      <c r="BX131" s="72">
        <f t="shared" si="788"/>
        <v>1066</v>
      </c>
      <c r="BY131" s="71">
        <f t="shared" si="789"/>
        <v>1098</v>
      </c>
      <c r="BZ131" s="72">
        <f t="shared" si="790"/>
        <v>1102</v>
      </c>
      <c r="CA131" s="71">
        <f t="shared" si="791"/>
        <v>1138</v>
      </c>
      <c r="CB131" s="72">
        <f t="shared" si="792"/>
        <v>1146</v>
      </c>
      <c r="CC131" s="71">
        <f t="shared" si="793"/>
        <v>1191</v>
      </c>
      <c r="CD131" s="72">
        <f t="shared" si="794"/>
        <v>1196</v>
      </c>
      <c r="CE131" s="71">
        <f t="shared" si="795"/>
        <v>1266</v>
      </c>
      <c r="CF131" s="72">
        <f t="shared" si="796"/>
        <v>1304</v>
      </c>
      <c r="CG131" s="71">
        <f t="shared" si="797"/>
        <v>1329</v>
      </c>
      <c r="CH131" s="70">
        <f t="shared" si="798"/>
        <v>1061</v>
      </c>
      <c r="CI131" s="71">
        <f t="shared" si="799"/>
        <v>1065</v>
      </c>
      <c r="CJ131" s="72">
        <f t="shared" si="800"/>
        <v>1096</v>
      </c>
      <c r="CK131" s="72">
        <f t="shared" si="801"/>
        <v>1101</v>
      </c>
      <c r="CL131" s="72">
        <f t="shared" si="802"/>
        <v>1137</v>
      </c>
      <c r="CM131" s="72">
        <f t="shared" si="803"/>
        <v>1145</v>
      </c>
      <c r="CN131" s="72">
        <f t="shared" si="804"/>
        <v>1172</v>
      </c>
      <c r="CO131" s="72">
        <f t="shared" si="805"/>
        <v>1193</v>
      </c>
      <c r="CP131" s="72">
        <f t="shared" si="806"/>
        <v>1225</v>
      </c>
      <c r="CQ131" s="72">
        <f t="shared" si="807"/>
        <v>1299</v>
      </c>
      <c r="CR131" s="72">
        <f t="shared" si="808"/>
        <v>1328</v>
      </c>
      <c r="CS131" s="72">
        <f t="shared" si="809"/>
        <v>1341</v>
      </c>
      <c r="CT131" s="23">
        <f t="shared" si="810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si="1007"/>
        <v>adrb2_human_5D6L</v>
      </c>
      <c r="B132" s="3" t="s">
        <v>126</v>
      </c>
      <c r="C132" s="3" t="s">
        <v>1343</v>
      </c>
      <c r="D132" s="3" t="str">
        <f>IFERROR(MID(VLOOKUP($B132,Seqs!$A:$B,2,0),E132,1),"")</f>
        <v>D</v>
      </c>
      <c r="E132" s="3">
        <v>29</v>
      </c>
      <c r="F132" s="3" t="str">
        <f>IFERROR(MID(VLOOKUP($B132,Seqs!$A:$B,2,0),G132,1),"")</f>
        <v>F</v>
      </c>
      <c r="G132" s="3">
        <v>61</v>
      </c>
      <c r="H132" s="3" t="str">
        <f>IFERROR(MID(VLOOKUP($B132,Seqs!$A:$B,2,0),I132,1),"")</f>
        <v>E</v>
      </c>
      <c r="I132" s="23">
        <v>62</v>
      </c>
      <c r="J132" s="3" t="str">
        <f>IFERROR(MID(VLOOKUP($B132,Seqs!$A:$B,2,0),K132,1),"")</f>
        <v>Q</v>
      </c>
      <c r="K132" s="23">
        <v>65</v>
      </c>
      <c r="L132" s="3" t="str">
        <f>IFERROR(MID(VLOOKUP($B132,Seqs!$A:$B,2,0),M132,1),"")</f>
        <v>T</v>
      </c>
      <c r="M132" s="3">
        <v>66</v>
      </c>
      <c r="N132" s="3" t="str">
        <f>IFERROR(MID(VLOOKUP($B132,Seqs!$A:$B,2,0),O132,1),"")</f>
        <v>M</v>
      </c>
      <c r="O132" s="3">
        <v>96</v>
      </c>
      <c r="P132" s="3" t="str">
        <f>IFERROR(MID(VLOOKUP($B132,Seqs!$A:$B,2,0),Q132,1),"")</f>
        <v>M</v>
      </c>
      <c r="Q132" s="3">
        <v>98</v>
      </c>
      <c r="R132" s="3" t="str">
        <f>IFERROR(MID(VLOOKUP($B132,Seqs!$A:$B,2,0),S132,1),"")</f>
        <v>F</v>
      </c>
      <c r="S132" s="3">
        <v>101</v>
      </c>
      <c r="T132" s="3" t="str">
        <f>IFERROR(MID(VLOOKUP($B132,Seqs!$A:$B,2,0),U132,1),"")</f>
        <v>G</v>
      </c>
      <c r="U132" s="3">
        <v>102</v>
      </c>
      <c r="V132" s="3" t="str">
        <f>IFERROR(MID(VLOOKUP($B132,Seqs!$A:$B,2,0),W132,1),"")</f>
        <v>S</v>
      </c>
      <c r="W132" s="3">
        <v>137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T</v>
      </c>
      <c r="AC132" s="9">
        <v>146</v>
      </c>
      <c r="AD132" s="3" t="str">
        <f>IFERROR(MID(VLOOKUP($B132,Seqs!$A:$B,2,0),AE132,1),"")</f>
        <v>H</v>
      </c>
      <c r="AE132" s="3">
        <v>172</v>
      </c>
      <c r="AF132" s="3" t="str">
        <f>IFERROR(MID(VLOOKUP($B132,Seqs!$A:$B,2,0),AG132,1),"")</f>
        <v>C</v>
      </c>
      <c r="AG132" s="3">
        <v>191</v>
      </c>
      <c r="AH132" s="3" t="str">
        <f>IFERROR(MID(VLOOKUP($B132,Seqs!$A:$B,2,0),AI132,1),"")</f>
        <v>F</v>
      </c>
      <c r="AI132" s="3">
        <v>193</v>
      </c>
      <c r="AJ132" s="3" t="str">
        <f>IFERROR(MID(VLOOKUP($B132,Seqs!$A:$B,2,0),AK132,1),"")</f>
        <v>N</v>
      </c>
      <c r="AK132" s="3">
        <v>196</v>
      </c>
      <c r="AL132" s="3" t="str">
        <f>IFERROR(MID(VLOOKUP($B132,Seqs!$A:$B,2,0),AM132,1),"")</f>
        <v>Q</v>
      </c>
      <c r="AM132" s="3">
        <v>229</v>
      </c>
      <c r="AN132" s="3" t="str">
        <f>IFERROR(MID(VLOOKUP($B132,Seqs!$A:$B,2,0),AO132,1),"")</f>
        <v>K</v>
      </c>
      <c r="AO132" s="3">
        <v>267</v>
      </c>
      <c r="AP132" s="3" t="str">
        <f>IFERROR(MID(VLOOKUP($B132,Seqs!$A:$B,2,0),AQ132,1),"")</f>
        <v>Q</v>
      </c>
      <c r="AQ132" s="3">
        <v>299</v>
      </c>
      <c r="AR132" s="3" t="str">
        <f>IFERROR(MID(VLOOKUP($B132,Seqs!$A:$B,2,0),AS132,1),"")</f>
        <v>R</v>
      </c>
      <c r="AS132" s="3">
        <v>304</v>
      </c>
      <c r="AT132" s="3" t="str">
        <f>IFERROR(MID(VLOOKUP($B132,Seqs!$A:$B,2,0),AU132,1),"")</f>
        <v>R</v>
      </c>
      <c r="AU132" s="3">
        <v>328</v>
      </c>
      <c r="AV132" s="3" t="str">
        <f>IFERROR(MID(VLOOKUP($B132,Seqs!$A:$B,2,0),AW132,1),"")</f>
        <v>S</v>
      </c>
      <c r="AW132" s="3">
        <v>329</v>
      </c>
      <c r="AX132" s="3" t="str">
        <f>IFERROR(MID(VLOOKUP($B132,Seqs!$A:$B,2,0),AY132,1),"")</f>
        <v>C</v>
      </c>
      <c r="AY132" s="3">
        <v>341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si="1008"/>
        <v>1</v>
      </c>
      <c r="BC132" s="23">
        <f t="shared" si="785"/>
        <v>244</v>
      </c>
      <c r="BD132" s="4" t="s">
        <v>23</v>
      </c>
      <c r="BE132" s="3" t="s">
        <v>1374</v>
      </c>
      <c r="BF132" s="118">
        <v>3.2</v>
      </c>
      <c r="BG132" s="49" t="s">
        <v>1</v>
      </c>
      <c r="BH132" s="49" t="s">
        <v>1377</v>
      </c>
      <c r="BI132" s="1"/>
      <c r="BJ132" s="70" t="s">
        <v>1287</v>
      </c>
      <c r="BK132" s="57" t="s">
        <v>1287</v>
      </c>
      <c r="BL132" s="57" t="s">
        <v>1287</v>
      </c>
      <c r="BM132" s="57" t="s">
        <v>1287</v>
      </c>
      <c r="BN132" s="57" t="s">
        <v>1287</v>
      </c>
      <c r="BO132" s="57" t="s">
        <v>1287</v>
      </c>
      <c r="BP132" s="57" t="s">
        <v>1287</v>
      </c>
      <c r="BQ132" s="57" t="s">
        <v>1287</v>
      </c>
      <c r="BR132" s="57" t="s">
        <v>1287</v>
      </c>
      <c r="BS132" s="57" t="s">
        <v>1287</v>
      </c>
      <c r="BT132" s="57" t="s">
        <v>1287</v>
      </c>
      <c r="BU132" s="57" t="s">
        <v>1287</v>
      </c>
      <c r="BV132" s="70">
        <f t="shared" si="786"/>
        <v>29</v>
      </c>
      <c r="BW132" s="71">
        <f t="shared" si="787"/>
        <v>62</v>
      </c>
      <c r="BX132" s="72">
        <f t="shared" si="788"/>
        <v>66</v>
      </c>
      <c r="BY132" s="71">
        <f t="shared" si="789"/>
        <v>98</v>
      </c>
      <c r="BZ132" s="72">
        <f t="shared" si="790"/>
        <v>102</v>
      </c>
      <c r="CA132" s="71" t="str">
        <f t="shared" si="791"/>
        <v>-</v>
      </c>
      <c r="CB132" s="72">
        <f t="shared" si="792"/>
        <v>146</v>
      </c>
      <c r="CC132" s="71">
        <f t="shared" si="793"/>
        <v>191</v>
      </c>
      <c r="CD132" s="72">
        <f t="shared" si="794"/>
        <v>196</v>
      </c>
      <c r="CE132" s="71">
        <f t="shared" si="795"/>
        <v>267</v>
      </c>
      <c r="CF132" s="72">
        <f t="shared" si="796"/>
        <v>304</v>
      </c>
      <c r="CG132" s="71">
        <f t="shared" si="797"/>
        <v>329</v>
      </c>
      <c r="CH132" s="70">
        <f t="shared" si="798"/>
        <v>61</v>
      </c>
      <c r="CI132" s="71">
        <f t="shared" si="799"/>
        <v>65</v>
      </c>
      <c r="CJ132" s="72">
        <f t="shared" si="800"/>
        <v>96</v>
      </c>
      <c r="CK132" s="72">
        <f t="shared" si="801"/>
        <v>101</v>
      </c>
      <c r="CL132" s="72">
        <f t="shared" si="802"/>
        <v>137</v>
      </c>
      <c r="CM132" s="72" t="str">
        <f t="shared" si="803"/>
        <v>-</v>
      </c>
      <c r="CN132" s="72">
        <f t="shared" si="804"/>
        <v>172</v>
      </c>
      <c r="CO132" s="72">
        <f t="shared" si="805"/>
        <v>193</v>
      </c>
      <c r="CP132" s="72">
        <f t="shared" si="806"/>
        <v>229</v>
      </c>
      <c r="CQ132" s="72">
        <f t="shared" si="807"/>
        <v>299</v>
      </c>
      <c r="CR132" s="72">
        <f t="shared" si="808"/>
        <v>328</v>
      </c>
      <c r="CS132" s="72">
        <f t="shared" si="809"/>
        <v>341</v>
      </c>
      <c r="CT132" s="23">
        <f t="shared" si="810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 t="shared" si="1007"/>
        <v>adrb2_human_5JQH</v>
      </c>
      <c r="B133" s="3" t="s">
        <v>126</v>
      </c>
      <c r="C133" s="3" t="s">
        <v>1344</v>
      </c>
      <c r="D133" s="3" t="str">
        <f>IFERROR(MID(VLOOKUP($B133,Seqs!$A:$B,2,0),E133,1),"")</f>
        <v/>
      </c>
      <c r="E133" s="3">
        <v>1023</v>
      </c>
      <c r="F133" s="3" t="str">
        <f>IFERROR(MID(VLOOKUP($B133,Seqs!$A:$B,2,0),G133,1),"")</f>
        <v/>
      </c>
      <c r="G133" s="3">
        <v>1061</v>
      </c>
      <c r="H133" s="3" t="str">
        <f>IFERROR(MID(VLOOKUP($B133,Seqs!$A:$B,2,0),I133,1),"")</f>
        <v/>
      </c>
      <c r="I133" s="23">
        <v>1062</v>
      </c>
      <c r="J133" s="3" t="str">
        <f>IFERROR(MID(VLOOKUP($B133,Seqs!$A:$B,2,0),K133,1),"")</f>
        <v/>
      </c>
      <c r="K133" s="23">
        <v>1065</v>
      </c>
      <c r="L133" s="3" t="str">
        <f>IFERROR(MID(VLOOKUP($B133,Seqs!$A:$B,2,0),M133,1),"")</f>
        <v/>
      </c>
      <c r="M133" s="3">
        <v>1066</v>
      </c>
      <c r="N133" s="3" t="str">
        <f>IFERROR(MID(VLOOKUP($B133,Seqs!$A:$B,2,0),O133,1),"")</f>
        <v/>
      </c>
      <c r="O133" s="3">
        <v>1096</v>
      </c>
      <c r="P133" s="3" t="str">
        <f>IFERROR(MID(VLOOKUP($B133,Seqs!$A:$B,2,0),Q133,1),"")</f>
        <v/>
      </c>
      <c r="Q133" s="3">
        <v>1098</v>
      </c>
      <c r="R133" s="3" t="str">
        <f>IFERROR(MID(VLOOKUP($B133,Seqs!$A:$B,2,0),S133,1),"")</f>
        <v/>
      </c>
      <c r="S133" s="3">
        <v>1101</v>
      </c>
      <c r="T133" s="3" t="str">
        <f>IFERROR(MID(VLOOKUP($B133,Seqs!$A:$B,2,0),U133,1),"")</f>
        <v/>
      </c>
      <c r="U133" s="3">
        <v>1102</v>
      </c>
      <c r="V133" s="3" t="str">
        <f>IFERROR(MID(VLOOKUP($B133,Seqs!$A:$B,2,0),W133,1),"")</f>
        <v/>
      </c>
      <c r="W133" s="3">
        <v>1137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/>
      </c>
      <c r="AC133" s="9">
        <v>1146</v>
      </c>
      <c r="AD133" s="3" t="str">
        <f>IFERROR(MID(VLOOKUP($B133,Seqs!$A:$B,2,0),AE133,1),"")</f>
        <v/>
      </c>
      <c r="AE133" s="3">
        <v>1172</v>
      </c>
      <c r="AF133" s="3" t="str">
        <f>IFERROR(MID(VLOOKUP($B133,Seqs!$A:$B,2,0),AG133,1),"")</f>
        <v/>
      </c>
      <c r="AG133" s="3">
        <v>1191</v>
      </c>
      <c r="AH133" s="3" t="str">
        <f>IFERROR(MID(VLOOKUP($B133,Seqs!$A:$B,2,0),AI133,1),"")</f>
        <v/>
      </c>
      <c r="AI133" s="3">
        <v>1193</v>
      </c>
      <c r="AJ133" s="3" t="str">
        <f>IFERROR(MID(VLOOKUP($B133,Seqs!$A:$B,2,0),AK133,1),"")</f>
        <v/>
      </c>
      <c r="AK133" s="3">
        <v>1196</v>
      </c>
      <c r="AL133" s="3" t="str">
        <f>IFERROR(MID(VLOOKUP($B133,Seqs!$A:$B,2,0),AM133,1),"")</f>
        <v/>
      </c>
      <c r="AM133" s="3">
        <v>1230</v>
      </c>
      <c r="AN133" s="3" t="str">
        <f>IFERROR(MID(VLOOKUP($B133,Seqs!$A:$B,2,0),AO133,1),"")</f>
        <v/>
      </c>
      <c r="AO133" s="3">
        <v>1271</v>
      </c>
      <c r="AP133" s="3" t="str">
        <f>IFERROR(MID(VLOOKUP($B133,Seqs!$A:$B,2,0),AQ133,1),"")</f>
        <v/>
      </c>
      <c r="AQ133" s="3">
        <v>1299</v>
      </c>
      <c r="AR133" s="3" t="str">
        <f>IFERROR(MID(VLOOKUP($B133,Seqs!$A:$B,2,0),AS133,1),"")</f>
        <v/>
      </c>
      <c r="AS133" s="3">
        <v>1304</v>
      </c>
      <c r="AT133" s="3" t="str">
        <f>IFERROR(MID(VLOOKUP($B133,Seqs!$A:$B,2,0),AU133,1),"")</f>
        <v/>
      </c>
      <c r="AU133" s="3">
        <v>1328</v>
      </c>
      <c r="AV133" s="3" t="str">
        <f>IFERROR(MID(VLOOKUP($B133,Seqs!$A:$B,2,0),AW133,1),"")</f>
        <v/>
      </c>
      <c r="AW133" s="3">
        <v>1329</v>
      </c>
      <c r="AX133" s="3" t="str">
        <f>IFERROR(MID(VLOOKUP($B133,Seqs!$A:$B,2,0),AY133,1),"")</f>
        <v/>
      </c>
      <c r="AY133" s="3">
        <v>1341</v>
      </c>
      <c r="AZ133" s="77" t="str">
        <f>VLOOKUP(B133,Classification!A:D,2,0)</f>
        <v>A</v>
      </c>
      <c r="BA133" s="94" t="str">
        <f>VLOOKUP(B133,Classification!A:D,4,0)</f>
        <v>Adrenoceptors</v>
      </c>
      <c r="BB133" s="27" t="b">
        <f t="shared" si="1008"/>
        <v>1</v>
      </c>
      <c r="BC133" s="23">
        <f t="shared" si="785"/>
        <v>247</v>
      </c>
      <c r="BD133" s="74" t="s">
        <v>1376</v>
      </c>
      <c r="BE133" s="3" t="s">
        <v>1374</v>
      </c>
      <c r="BF133" s="118">
        <v>3.2</v>
      </c>
      <c r="BG133" s="49" t="s">
        <v>1281</v>
      </c>
      <c r="BH133" s="49" t="s">
        <v>1377</v>
      </c>
      <c r="BI133" s="1"/>
      <c r="BJ133" s="70" t="s">
        <v>1287</v>
      </c>
      <c r="BK133" s="57" t="s">
        <v>1287</v>
      </c>
      <c r="BL133" s="57" t="s">
        <v>1287</v>
      </c>
      <c r="BM133" s="57" t="s">
        <v>1287</v>
      </c>
      <c r="BN133" s="57" t="s">
        <v>1287</v>
      </c>
      <c r="BO133" s="57" t="s">
        <v>1287</v>
      </c>
      <c r="BP133" s="57" t="s">
        <v>1287</v>
      </c>
      <c r="BQ133" s="57" t="s">
        <v>1287</v>
      </c>
      <c r="BR133" s="57" t="s">
        <v>1287</v>
      </c>
      <c r="BS133" s="57" t="s">
        <v>1287</v>
      </c>
      <c r="BT133" s="57" t="s">
        <v>1287</v>
      </c>
      <c r="BU133" s="57" t="s">
        <v>1287</v>
      </c>
      <c r="BV133" s="70">
        <f t="shared" si="786"/>
        <v>1023</v>
      </c>
      <c r="BW133" s="71">
        <f t="shared" si="787"/>
        <v>1062</v>
      </c>
      <c r="BX133" s="72">
        <f t="shared" si="788"/>
        <v>1066</v>
      </c>
      <c r="BY133" s="71">
        <f t="shared" si="789"/>
        <v>1098</v>
      </c>
      <c r="BZ133" s="72">
        <f t="shared" si="790"/>
        <v>1102</v>
      </c>
      <c r="CA133" s="71" t="str">
        <f t="shared" si="791"/>
        <v>-</v>
      </c>
      <c r="CB133" s="72">
        <f t="shared" si="792"/>
        <v>1146</v>
      </c>
      <c r="CC133" s="71">
        <f t="shared" si="793"/>
        <v>1191</v>
      </c>
      <c r="CD133" s="72">
        <f t="shared" si="794"/>
        <v>1196</v>
      </c>
      <c r="CE133" s="71">
        <f t="shared" si="795"/>
        <v>1271</v>
      </c>
      <c r="CF133" s="72">
        <f t="shared" si="796"/>
        <v>1304</v>
      </c>
      <c r="CG133" s="71">
        <f t="shared" si="797"/>
        <v>1329</v>
      </c>
      <c r="CH133" s="70">
        <f t="shared" si="798"/>
        <v>1061</v>
      </c>
      <c r="CI133" s="71">
        <f t="shared" si="799"/>
        <v>1065</v>
      </c>
      <c r="CJ133" s="72">
        <f t="shared" si="800"/>
        <v>1096</v>
      </c>
      <c r="CK133" s="72">
        <f t="shared" si="801"/>
        <v>1101</v>
      </c>
      <c r="CL133" s="72">
        <f t="shared" si="802"/>
        <v>1137</v>
      </c>
      <c r="CM133" s="72" t="str">
        <f t="shared" si="803"/>
        <v>-</v>
      </c>
      <c r="CN133" s="72">
        <f t="shared" si="804"/>
        <v>1172</v>
      </c>
      <c r="CO133" s="72">
        <f t="shared" si="805"/>
        <v>1193</v>
      </c>
      <c r="CP133" s="72">
        <f t="shared" si="806"/>
        <v>1230</v>
      </c>
      <c r="CQ133" s="72">
        <f t="shared" si="807"/>
        <v>1299</v>
      </c>
      <c r="CR133" s="72">
        <f t="shared" si="808"/>
        <v>1328</v>
      </c>
      <c r="CS133" s="72">
        <f t="shared" si="809"/>
        <v>1341</v>
      </c>
      <c r="CT133" s="23">
        <f t="shared" si="810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 t="shared" ref="A134:A145" si="1009">CONCATENATE(B134,"_",C134)</f>
        <v>adrb2_human_5X7D</v>
      </c>
      <c r="B134" s="3" t="s">
        <v>126</v>
      </c>
      <c r="C134" s="3" t="s">
        <v>1437</v>
      </c>
      <c r="D134" s="3" t="str">
        <f>IFERROR(MID(VLOOKUP($B134,Seqs!$A:$B,2,0),E134,1),"")</f>
        <v>V</v>
      </c>
      <c r="E134" s="3">
        <v>33</v>
      </c>
      <c r="F134" s="3" t="str">
        <f>IFERROR(MID(VLOOKUP($B134,Seqs!$A:$B,2,0),G134,1),"")</f>
        <v>F</v>
      </c>
      <c r="G134" s="3">
        <v>61</v>
      </c>
      <c r="H134" s="3" t="str">
        <f>IFERROR(MID(VLOOKUP($B134,Seqs!$A:$B,2,0),I134,1),"")</f>
        <v>E</v>
      </c>
      <c r="I134" s="23">
        <v>62</v>
      </c>
      <c r="J134" s="3" t="str">
        <f>IFERROR(MID(VLOOKUP($B134,Seqs!$A:$B,2,0),K134,1),"")</f>
        <v>Q</v>
      </c>
      <c r="K134" s="23">
        <v>65</v>
      </c>
      <c r="L134" s="3" t="str">
        <f>IFERROR(MID(VLOOKUP($B134,Seqs!$A:$B,2,0),M134,1),"")</f>
        <v>T</v>
      </c>
      <c r="M134" s="3">
        <v>66</v>
      </c>
      <c r="N134" s="3" t="str">
        <f>IFERROR(MID(VLOOKUP($B134,Seqs!$A:$B,2,0),O134,1),"")</f>
        <v>M</v>
      </c>
      <c r="O134" s="3">
        <v>96</v>
      </c>
      <c r="P134" s="3" t="str">
        <f>IFERROR(MID(VLOOKUP($B134,Seqs!$A:$B,2,0),Q134,1),"")</f>
        <v>M</v>
      </c>
      <c r="Q134" s="3">
        <v>98</v>
      </c>
      <c r="R134" s="3" t="str">
        <f>IFERROR(MID(VLOOKUP($B134,Seqs!$A:$B,2,0),S134,1),"")</f>
        <v>F</v>
      </c>
      <c r="S134" s="3">
        <v>101</v>
      </c>
      <c r="T134" s="3" t="str">
        <f>IFERROR(MID(VLOOKUP($B134,Seqs!$A:$B,2,0),U134,1),"")</f>
        <v>G</v>
      </c>
      <c r="U134" s="3">
        <v>102</v>
      </c>
      <c r="V134" s="3" t="str">
        <f>IFERROR(MID(VLOOKUP($B134,Seqs!$A:$B,2,0),W134,1),"")</f>
        <v>T</v>
      </c>
      <c r="W134" s="3">
        <v>136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T</v>
      </c>
      <c r="AC134" s="3">
        <v>146</v>
      </c>
      <c r="AD134" s="3" t="str">
        <f>IFERROR(MID(VLOOKUP($B134,Seqs!$A:$B,2,0),AE134,1),"")</f>
        <v>H</v>
      </c>
      <c r="AE134" s="3">
        <v>172</v>
      </c>
      <c r="AF134" s="3" t="str">
        <f>IFERROR(MID(VLOOKUP($B134,Seqs!$A:$B,2,0),AG134,1),"")</f>
        <v>C</v>
      </c>
      <c r="AG134" s="3">
        <v>191</v>
      </c>
      <c r="AH134" s="3" t="str">
        <f>IFERROR(MID(VLOOKUP($B134,Seqs!$A:$B,2,0),AI134,1),"")</f>
        <v>F</v>
      </c>
      <c r="AI134" s="3">
        <v>193</v>
      </c>
      <c r="AJ134" s="3" t="str">
        <f>IFERROR(MID(VLOOKUP($B134,Seqs!$A:$B,2,0),AK134,1),"")</f>
        <v>N</v>
      </c>
      <c r="AK134" s="3">
        <v>196</v>
      </c>
      <c r="AL134" s="3" t="str">
        <f>IFERROR(MID(VLOOKUP($B134,Seqs!$A:$B,2,0),AM134,1),"")</f>
        <v>L</v>
      </c>
      <c r="AM134" s="3">
        <v>230</v>
      </c>
      <c r="AN134" s="3" t="str">
        <f>IFERROR(MID(VLOOKUP($B134,Seqs!$A:$B,2,0),AO134,1),"")</f>
        <v>A</v>
      </c>
      <c r="AO134" s="3">
        <v>271</v>
      </c>
      <c r="AP134" s="3" t="str">
        <f>IFERROR(MID(VLOOKUP($B134,Seqs!$A:$B,2,0),AQ134,1),"")</f>
        <v>Q</v>
      </c>
      <c r="AQ134" s="3">
        <v>299</v>
      </c>
      <c r="AR134" s="3" t="str">
        <f>IFERROR(MID(VLOOKUP($B134,Seqs!$A:$B,2,0),AS134,1),"")</f>
        <v>R</v>
      </c>
      <c r="AS134" s="3">
        <v>304</v>
      </c>
      <c r="AT134" s="3" t="str">
        <f>IFERROR(MID(VLOOKUP($B134,Seqs!$A:$B,2,0),AU134,1),"")</f>
        <v>R</v>
      </c>
      <c r="AU134" s="3">
        <v>328</v>
      </c>
      <c r="AV134" s="3" t="str">
        <f>IFERROR(MID(VLOOKUP($B134,Seqs!$A:$B,2,0),AW134,1),"")</f>
        <v>S</v>
      </c>
      <c r="AW134" s="3">
        <v>329</v>
      </c>
      <c r="AX134" s="3" t="str">
        <f>IFERROR(MID(VLOOKUP($B134,Seqs!$A:$B,2,0),AY134,1),"")</f>
        <v>C</v>
      </c>
      <c r="AY134" s="3">
        <v>341</v>
      </c>
      <c r="AZ134" s="77" t="str">
        <f>VLOOKUP(B134,Classification!A:D,2,0)</f>
        <v>A</v>
      </c>
      <c r="BA134" s="94" t="str">
        <f>VLOOKUP(B134,Classification!A:D,4,0)</f>
        <v>Adrenoceptors</v>
      </c>
      <c r="BB134" s="27" t="b">
        <f t="shared" ref="BB134:BB146" si="1010"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23">
        <f t="shared" ref="BC134:BC146" si="1011">_xlfn.AGGREGATE(9,6,CH134:CS134)-_xlfn.AGGREGATE(9,6,BV134:CG134)+12</f>
        <v>236</v>
      </c>
      <c r="BD134" s="74" t="s">
        <v>23</v>
      </c>
      <c r="BE134" s="3" t="s">
        <v>1374</v>
      </c>
      <c r="BF134" s="118">
        <v>4.2</v>
      </c>
      <c r="BG134" s="49" t="s">
        <v>1281</v>
      </c>
      <c r="BH134" s="49" t="s">
        <v>1377</v>
      </c>
      <c r="BI134" s="1"/>
      <c r="BJ134" s="70" t="s">
        <v>1287</v>
      </c>
      <c r="BK134" s="57" t="s">
        <v>1287</v>
      </c>
      <c r="BL134" s="57" t="s">
        <v>1287</v>
      </c>
      <c r="BM134" s="57" t="s">
        <v>1287</v>
      </c>
      <c r="BN134" s="57" t="s">
        <v>1287</v>
      </c>
      <c r="BO134" s="57" t="s">
        <v>1287</v>
      </c>
      <c r="BP134" s="57" t="s">
        <v>1287</v>
      </c>
      <c r="BQ134" s="57" t="s">
        <v>1287</v>
      </c>
      <c r="BR134" s="57" t="s">
        <v>1287</v>
      </c>
      <c r="BS134" s="57" t="s">
        <v>1287</v>
      </c>
      <c r="BT134" s="57" t="s">
        <v>1287</v>
      </c>
      <c r="BU134" s="57" t="s">
        <v>1287</v>
      </c>
      <c r="BV134" s="70">
        <f t="shared" ref="BV134:BV146" si="1012">E134</f>
        <v>33</v>
      </c>
      <c r="BW134" s="71">
        <f t="shared" ref="BW134:BW146" si="1013">I134</f>
        <v>62</v>
      </c>
      <c r="BX134" s="72">
        <f t="shared" ref="BX134:BX146" si="1014">M134</f>
        <v>66</v>
      </c>
      <c r="BY134" s="71">
        <f t="shared" ref="BY134:BY146" si="1015">Q134</f>
        <v>98</v>
      </c>
      <c r="BZ134" s="72">
        <f t="shared" ref="BZ134:BZ146" si="1016">U134</f>
        <v>102</v>
      </c>
      <c r="CA134" s="71" t="str">
        <f t="shared" ref="CA134:CA146" si="1017">Y134</f>
        <v>-</v>
      </c>
      <c r="CB134" s="72">
        <f t="shared" ref="CB134:CB146" si="1018">AC134</f>
        <v>146</v>
      </c>
      <c r="CC134" s="71">
        <f t="shared" ref="CC134:CC146" si="1019">AG134</f>
        <v>191</v>
      </c>
      <c r="CD134" s="72">
        <f t="shared" ref="CD134:CD146" si="1020">AK134</f>
        <v>196</v>
      </c>
      <c r="CE134" s="71">
        <f t="shared" ref="CE134:CE146" si="1021">AO134</f>
        <v>271</v>
      </c>
      <c r="CF134" s="72">
        <f t="shared" ref="CF134:CF146" si="1022">AS134</f>
        <v>304</v>
      </c>
      <c r="CG134" s="71">
        <f t="shared" ref="CG134:CG146" si="1023">AW134</f>
        <v>329</v>
      </c>
      <c r="CH134" s="70">
        <f t="shared" ref="CH134:CH146" si="1024">G134</f>
        <v>61</v>
      </c>
      <c r="CI134" s="71">
        <f t="shared" ref="CI134:CI146" si="1025">K134</f>
        <v>65</v>
      </c>
      <c r="CJ134" s="72">
        <f t="shared" ref="CJ134:CJ146" si="1026">O134</f>
        <v>96</v>
      </c>
      <c r="CK134" s="72">
        <f t="shared" ref="CK134:CK146" si="1027">S134</f>
        <v>101</v>
      </c>
      <c r="CL134" s="72">
        <f t="shared" ref="CL134:CL146" si="1028">W134</f>
        <v>136</v>
      </c>
      <c r="CM134" s="72" t="str">
        <f t="shared" ref="CM134:CM146" si="1029">AA134</f>
        <v>-</v>
      </c>
      <c r="CN134" s="72">
        <f t="shared" ref="CN134:CN146" si="1030">AE134</f>
        <v>172</v>
      </c>
      <c r="CO134" s="72">
        <f t="shared" ref="CO134:CO146" si="1031">AI134</f>
        <v>193</v>
      </c>
      <c r="CP134" s="72">
        <f t="shared" ref="CP134:CP146" si="1032">AM134</f>
        <v>230</v>
      </c>
      <c r="CQ134" s="72">
        <f t="shared" ref="CQ134:CQ146" si="1033">AQ134</f>
        <v>299</v>
      </c>
      <c r="CR134" s="72">
        <f t="shared" ref="CR134:CR146" si="1034">AU134</f>
        <v>328</v>
      </c>
      <c r="CS134" s="72">
        <f t="shared" ref="CS134:CS146" si="1035">AY134</f>
        <v>341</v>
      </c>
      <c r="CT134" s="23">
        <f t="shared" ref="CT134:CT146" si="1036">M134-K134</f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9" t="str">
        <f t="shared" si="1009"/>
        <v>adrb2_human_6E67</v>
      </c>
      <c r="B135" s="9" t="s">
        <v>126</v>
      </c>
      <c r="C135" s="130" t="s">
        <v>1579</v>
      </c>
      <c r="D135" s="9" t="str">
        <f>IFERROR(MID(VLOOKUP($B135,Seqs!$A:$B,2,0),E135,1),"")</f>
        <v>D</v>
      </c>
      <c r="E135" s="9">
        <v>29</v>
      </c>
      <c r="F135" s="9" t="str">
        <f>IFERROR(MID(VLOOKUP($B135,Seqs!$A:$B,2,0),G135,1),"")</f>
        <v>K</v>
      </c>
      <c r="G135" s="9">
        <v>60</v>
      </c>
      <c r="H135" s="9" t="str">
        <f>IFERROR(MID(VLOOKUP($B135,Seqs!$A:$B,2,0),I135,1),"")</f>
        <v>E</v>
      </c>
      <c r="I135" s="109">
        <v>62</v>
      </c>
      <c r="J135" s="9" t="str">
        <f>IFERROR(MID(VLOOKUP($B135,Seqs!$A:$B,2,0),K135,1),"")</f>
        <v>Q</v>
      </c>
      <c r="K135" s="109">
        <v>65</v>
      </c>
      <c r="L135" s="9" t="str">
        <f>IFERROR(MID(VLOOKUP($B135,Seqs!$A:$B,2,0),M135,1),"")</f>
        <v>T</v>
      </c>
      <c r="M135" s="9">
        <v>66</v>
      </c>
      <c r="N135" s="9" t="str">
        <f>IFERROR(MID(VLOOKUP($B135,Seqs!$A:$B,2,0),O135,1),"")</f>
        <v>K</v>
      </c>
      <c r="O135" s="9">
        <v>97</v>
      </c>
      <c r="P135" s="9" t="str">
        <f>IFERROR(MID(VLOOKUP($B135,Seqs!$A:$B,2,0),Q135,1),"")</f>
        <v>M</v>
      </c>
      <c r="Q135" s="9">
        <v>98</v>
      </c>
      <c r="R135" s="9" t="str">
        <f>IFERROR(MID(VLOOKUP($B135,Seqs!$A:$B,2,0),S135,1),"")</f>
        <v>F</v>
      </c>
      <c r="S135" s="9">
        <v>101</v>
      </c>
      <c r="T135" s="9" t="str">
        <f>IFERROR(MID(VLOOKUP($B135,Seqs!$A:$B,2,0),U135,1),"")</f>
        <v>G</v>
      </c>
      <c r="U135" s="9">
        <v>102</v>
      </c>
      <c r="V135" s="9" t="str">
        <f>IFERROR(MID(VLOOKUP($B135,Seqs!$A:$B,2,0),W135,1),"")</f>
        <v>S</v>
      </c>
      <c r="W135" s="9">
        <v>137</v>
      </c>
      <c r="X135" s="9" t="str">
        <f>IFERROR(MID(VLOOKUP($B135,Seqs!$A:$B,2,0),Y135,1),"")</f>
        <v>P</v>
      </c>
      <c r="Y135" s="9">
        <v>138</v>
      </c>
      <c r="Z135" s="9" t="str">
        <f>IFERROR(MID(VLOOKUP($B135,Seqs!$A:$B,2,0),AA135,1),"")</f>
        <v>L</v>
      </c>
      <c r="AA135" s="9">
        <v>145</v>
      </c>
      <c r="AB135" s="9" t="str">
        <f>IFERROR(MID(VLOOKUP($B135,Seqs!$A:$B,2,0),AC135,1),"")</f>
        <v>T</v>
      </c>
      <c r="AC135" s="9">
        <v>146</v>
      </c>
      <c r="AD135" s="9" t="str">
        <f>IFERROR(MID(VLOOKUP($B135,Seqs!$A:$B,2,0),AE135,1),"")</f>
        <v>H</v>
      </c>
      <c r="AE135" s="9">
        <v>172</v>
      </c>
      <c r="AF135" s="9" t="str">
        <f>IFERROR(MID(VLOOKUP($B135,Seqs!$A:$B,2,0),AG135,1),"")</f>
        <v>C</v>
      </c>
      <c r="AG135" s="9">
        <v>191</v>
      </c>
      <c r="AH135" s="9" t="str">
        <f>IFERROR(MID(VLOOKUP($B135,Seqs!$A:$B,2,0),AI135,1),"")</f>
        <v>F</v>
      </c>
      <c r="AI135" s="9">
        <v>193</v>
      </c>
      <c r="AJ135" s="9" t="str">
        <f>IFERROR(MID(VLOOKUP($B135,Seqs!$A:$B,2,0),AK135,1),"")</f>
        <v>N</v>
      </c>
      <c r="AK135" s="9">
        <v>196</v>
      </c>
      <c r="AL135" s="9" t="str">
        <f>IFERROR(MID(VLOOKUP($B135,Seqs!$A:$B,2,0),AM135,1),"")</f>
        <v>A</v>
      </c>
      <c r="AM135" s="9">
        <v>226</v>
      </c>
      <c r="AN135" s="9" t="str">
        <f>IFERROR(MID(VLOOKUP($B135,Seqs!$A:$B,2,0),AO135,1),"")</f>
        <v>E</v>
      </c>
      <c r="AO135" s="9">
        <v>268</v>
      </c>
      <c r="AP135" s="9" t="str">
        <f>IFERROR(MID(VLOOKUP($B135,Seqs!$A:$B,2,0),AQ135,1),"")</f>
        <v>Q</v>
      </c>
      <c r="AQ135" s="9">
        <v>299</v>
      </c>
      <c r="AR135" s="9" t="str">
        <f>IFERROR(MID(VLOOKUP($B135,Seqs!$A:$B,2,0),AS135,1),"")</f>
        <v>R</v>
      </c>
      <c r="AS135" s="9">
        <v>304</v>
      </c>
      <c r="AT135" s="9" t="str">
        <f>IFERROR(MID(VLOOKUP($B135,Seqs!$A:$B,2,0),AU135,1),"")</f>
        <v>P</v>
      </c>
      <c r="AU135" s="9">
        <v>323</v>
      </c>
      <c r="AV135" s="9" t="str">
        <f>IFERROR(MID(VLOOKUP($B135,Seqs!$A:$B,2,0),AW135,1),"")</f>
        <v>S</v>
      </c>
      <c r="AW135" s="9">
        <v>329</v>
      </c>
      <c r="AX135" s="9" t="str">
        <f>IFERROR(MID(VLOOKUP($B135,Seqs!$A:$B,2,0),AY135,1),"")</f>
        <v>L</v>
      </c>
      <c r="AY135" s="9">
        <v>340</v>
      </c>
      <c r="AZ135" s="110" t="str">
        <f>VLOOKUP(B135,Classification!A:D,2,0)</f>
        <v>A</v>
      </c>
      <c r="BA135" s="98" t="str">
        <f>VLOOKUP(B135,Classification!A:D,4,0)</f>
        <v>Adrenoceptors</v>
      </c>
      <c r="BB135" s="36" t="b">
        <f t="shared" si="1010"/>
        <v>1</v>
      </c>
      <c r="BC135" s="109">
        <f t="shared" si="1011"/>
        <v>241</v>
      </c>
      <c r="BD135" s="123" t="s">
        <v>23</v>
      </c>
      <c r="BE135" s="9" t="s">
        <v>1291</v>
      </c>
      <c r="BF135" s="119">
        <v>3.7</v>
      </c>
      <c r="BG135" s="51" t="s">
        <v>1281</v>
      </c>
      <c r="BH135" s="51" t="s">
        <v>1281</v>
      </c>
      <c r="BI135" s="12"/>
      <c r="BJ135" s="111" t="s">
        <v>1287</v>
      </c>
      <c r="BK135" s="112" t="s">
        <v>1287</v>
      </c>
      <c r="BL135" s="112" t="s">
        <v>1287</v>
      </c>
      <c r="BM135" s="112" t="s">
        <v>1287</v>
      </c>
      <c r="BN135" s="112" t="s">
        <v>1287</v>
      </c>
      <c r="BO135" s="112" t="s">
        <v>1287</v>
      </c>
      <c r="BP135" s="112" t="s">
        <v>1287</v>
      </c>
      <c r="BQ135" s="112" t="s">
        <v>1287</v>
      </c>
      <c r="BR135" s="112" t="s">
        <v>1287</v>
      </c>
      <c r="BS135" s="112" t="s">
        <v>1287</v>
      </c>
      <c r="BT135" s="112" t="s">
        <v>1287</v>
      </c>
      <c r="BU135" s="112" t="s">
        <v>1287</v>
      </c>
      <c r="BV135" s="111">
        <f t="shared" si="1012"/>
        <v>29</v>
      </c>
      <c r="BW135" s="113">
        <f t="shared" si="1013"/>
        <v>62</v>
      </c>
      <c r="BX135" s="114">
        <f t="shared" si="1014"/>
        <v>66</v>
      </c>
      <c r="BY135" s="113">
        <f t="shared" si="1015"/>
        <v>98</v>
      </c>
      <c r="BZ135" s="114">
        <f t="shared" si="1016"/>
        <v>102</v>
      </c>
      <c r="CA135" s="113">
        <f t="shared" si="1017"/>
        <v>138</v>
      </c>
      <c r="CB135" s="114">
        <f t="shared" si="1018"/>
        <v>146</v>
      </c>
      <c r="CC135" s="113">
        <f t="shared" si="1019"/>
        <v>191</v>
      </c>
      <c r="CD135" s="114">
        <f t="shared" si="1020"/>
        <v>196</v>
      </c>
      <c r="CE135" s="113">
        <f t="shared" si="1021"/>
        <v>268</v>
      </c>
      <c r="CF135" s="114">
        <f t="shared" si="1022"/>
        <v>304</v>
      </c>
      <c r="CG135" s="113">
        <f t="shared" si="1023"/>
        <v>329</v>
      </c>
      <c r="CH135" s="111">
        <f t="shared" si="1024"/>
        <v>60</v>
      </c>
      <c r="CI135" s="113">
        <f t="shared" si="1025"/>
        <v>65</v>
      </c>
      <c r="CJ135" s="114">
        <f t="shared" si="1026"/>
        <v>97</v>
      </c>
      <c r="CK135" s="114">
        <f t="shared" si="1027"/>
        <v>101</v>
      </c>
      <c r="CL135" s="114">
        <f t="shared" si="1028"/>
        <v>137</v>
      </c>
      <c r="CM135" s="114">
        <f t="shared" si="1029"/>
        <v>145</v>
      </c>
      <c r="CN135" s="114">
        <f t="shared" si="1030"/>
        <v>172</v>
      </c>
      <c r="CO135" s="114">
        <f t="shared" si="1031"/>
        <v>193</v>
      </c>
      <c r="CP135" s="114">
        <f t="shared" si="1032"/>
        <v>226</v>
      </c>
      <c r="CQ135" s="114">
        <f t="shared" si="1033"/>
        <v>299</v>
      </c>
      <c r="CR135" s="114">
        <f t="shared" si="1034"/>
        <v>323</v>
      </c>
      <c r="CS135" s="114">
        <f t="shared" si="1035"/>
        <v>340</v>
      </c>
      <c r="CT135" s="109">
        <f t="shared" si="103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s="12" customFormat="1" x14ac:dyDescent="0.2">
      <c r="A136" s="9" t="str">
        <f t="shared" si="1009"/>
        <v>adrb2_human_6MXT</v>
      </c>
      <c r="B136" s="9" t="s">
        <v>126</v>
      </c>
      <c r="C136" s="9" t="s">
        <v>1526</v>
      </c>
      <c r="D136" s="9" t="str">
        <f>IFERROR(MID(VLOOKUP($B136,Seqs!$A:$B,2,0),E136,1),"")</f>
        <v/>
      </c>
      <c r="E136" s="9">
        <v>1029</v>
      </c>
      <c r="F136" s="9" t="str">
        <f>IFERROR(MID(VLOOKUP($B136,Seqs!$A:$B,2,0),G136,1),"")</f>
        <v/>
      </c>
      <c r="G136" s="9">
        <v>1061</v>
      </c>
      <c r="H136" s="9" t="str">
        <f>IFERROR(MID(VLOOKUP($B136,Seqs!$A:$B,2,0),I136,1),"")</f>
        <v/>
      </c>
      <c r="I136" s="109">
        <v>1062</v>
      </c>
      <c r="J136" s="9" t="str">
        <f>IFERROR(MID(VLOOKUP($B136,Seqs!$A:$B,2,0),K136,1),"")</f>
        <v/>
      </c>
      <c r="K136" s="109">
        <v>1065</v>
      </c>
      <c r="L136" s="9" t="str">
        <f>IFERROR(MID(VLOOKUP($B136,Seqs!$A:$B,2,0),M136,1),"")</f>
        <v/>
      </c>
      <c r="M136" s="9">
        <v>1066</v>
      </c>
      <c r="N136" s="9" t="str">
        <f>IFERROR(MID(VLOOKUP($B136,Seqs!$A:$B,2,0),O136,1),"")</f>
        <v/>
      </c>
      <c r="O136" s="9">
        <v>1096</v>
      </c>
      <c r="P136" s="9" t="str">
        <f>IFERROR(MID(VLOOKUP($B136,Seqs!$A:$B,2,0),Q136,1),"")</f>
        <v/>
      </c>
      <c r="Q136" s="9">
        <v>1098</v>
      </c>
      <c r="R136" s="9" t="str">
        <f>IFERROR(MID(VLOOKUP($B136,Seqs!$A:$B,2,0),S136,1),"")</f>
        <v/>
      </c>
      <c r="S136" s="9">
        <v>1101</v>
      </c>
      <c r="T136" s="9" t="str">
        <f>IFERROR(MID(VLOOKUP($B136,Seqs!$A:$B,2,0),U136,1),"")</f>
        <v/>
      </c>
      <c r="U136" s="9">
        <v>1102</v>
      </c>
      <c r="V136" s="9" t="str">
        <f>IFERROR(MID(VLOOKUP($B136,Seqs!$A:$B,2,0),W136,1),"")</f>
        <v/>
      </c>
      <c r="W136" s="9">
        <v>1137</v>
      </c>
      <c r="X136" s="9" t="str">
        <f>IFERROR(MID(VLOOKUP($B136,Seqs!$A:$B,2,0),Y136,1),"")</f>
        <v/>
      </c>
      <c r="Y136" s="9">
        <v>1138</v>
      </c>
      <c r="Z136" s="9" t="str">
        <f>IFERROR(MID(VLOOKUP($B136,Seqs!$A:$B,2,0),AA136,1),"")</f>
        <v/>
      </c>
      <c r="AA136" s="9">
        <v>1145</v>
      </c>
      <c r="AB136" s="9" t="str">
        <f>IFERROR(MID(VLOOKUP($B136,Seqs!$A:$B,2,0),AC136,1),"")</f>
        <v/>
      </c>
      <c r="AC136" s="9">
        <v>1146</v>
      </c>
      <c r="AD136" s="9" t="str">
        <f>IFERROR(MID(VLOOKUP($B136,Seqs!$A:$B,2,0),AE136,1),"")</f>
        <v/>
      </c>
      <c r="AE136" s="9">
        <v>1172</v>
      </c>
      <c r="AF136" s="9" t="str">
        <f>IFERROR(MID(VLOOKUP($B136,Seqs!$A:$B,2,0),AG136,1),"")</f>
        <v/>
      </c>
      <c r="AG136" s="9">
        <v>1191</v>
      </c>
      <c r="AH136" s="9" t="str">
        <f>IFERROR(MID(VLOOKUP($B136,Seqs!$A:$B,2,0),AI136,1),"")</f>
        <v/>
      </c>
      <c r="AI136" s="9">
        <v>1193</v>
      </c>
      <c r="AJ136" s="9" t="str">
        <f>IFERROR(MID(VLOOKUP($B136,Seqs!$A:$B,2,0),AK136,1),"")</f>
        <v/>
      </c>
      <c r="AK136" s="9">
        <v>1196</v>
      </c>
      <c r="AL136" s="9" t="str">
        <f>IFERROR(MID(VLOOKUP($B136,Seqs!$A:$B,2,0),AM136,1),"")</f>
        <v/>
      </c>
      <c r="AM136" s="9">
        <v>1232</v>
      </c>
      <c r="AN136" s="9" t="str">
        <f>IFERROR(MID(VLOOKUP($B136,Seqs!$A:$B,2,0),AO136,1),"")</f>
        <v/>
      </c>
      <c r="AO136" s="9">
        <v>1265</v>
      </c>
      <c r="AP136" s="9" t="str">
        <f>IFERROR(MID(VLOOKUP($B136,Seqs!$A:$B,2,0),AQ136,1),"")</f>
        <v/>
      </c>
      <c r="AQ136" s="9">
        <v>1299</v>
      </c>
      <c r="AR136" s="9" t="str">
        <f>IFERROR(MID(VLOOKUP($B136,Seqs!$A:$B,2,0),AS136,1),"")</f>
        <v/>
      </c>
      <c r="AS136" s="9">
        <v>1304</v>
      </c>
      <c r="AT136" s="9" t="str">
        <f>IFERROR(MID(VLOOKUP($B136,Seqs!$A:$B,2,0),AU136,1),"")</f>
        <v/>
      </c>
      <c r="AU136" s="9">
        <v>1323</v>
      </c>
      <c r="AV136" s="9" t="str">
        <f>IFERROR(MID(VLOOKUP($B136,Seqs!$A:$B,2,0),AW136,1),"")</f>
        <v/>
      </c>
      <c r="AW136" s="9">
        <v>1329</v>
      </c>
      <c r="AX136" s="9" t="str">
        <f>IFERROR(MID(VLOOKUP($B136,Seqs!$A:$B,2,0),AY136,1),"")</f>
        <v/>
      </c>
      <c r="AY136" s="9">
        <v>1342</v>
      </c>
      <c r="AZ136" s="110" t="str">
        <f>VLOOKUP(B136,Classification!A:D,2,0)</f>
        <v>A</v>
      </c>
      <c r="BA136" s="98" t="str">
        <f>VLOOKUP(B136,Classification!A:D,4,0)</f>
        <v>Adrenoceptors</v>
      </c>
      <c r="BB136" s="36" t="b">
        <f t="shared" si="1010"/>
        <v>1</v>
      </c>
      <c r="BC136" s="109">
        <f t="shared" si="1011"/>
        <v>252</v>
      </c>
      <c r="BD136" s="123" t="s">
        <v>23</v>
      </c>
      <c r="BE136" s="9" t="s">
        <v>1291</v>
      </c>
      <c r="BF136" s="119">
        <v>2.96</v>
      </c>
      <c r="BG136" s="51" t="s">
        <v>1</v>
      </c>
      <c r="BH136" s="51" t="s">
        <v>1</v>
      </c>
      <c r="BJ136" s="111" t="s">
        <v>1287</v>
      </c>
      <c r="BK136" s="112" t="s">
        <v>1287</v>
      </c>
      <c r="BL136" s="112" t="s">
        <v>1287</v>
      </c>
      <c r="BM136" s="112" t="s">
        <v>1287</v>
      </c>
      <c r="BN136" s="112" t="s">
        <v>1287</v>
      </c>
      <c r="BO136" s="112" t="s">
        <v>1287</v>
      </c>
      <c r="BP136" s="112" t="s">
        <v>1287</v>
      </c>
      <c r="BQ136" s="112" t="s">
        <v>1287</v>
      </c>
      <c r="BR136" s="112" t="s">
        <v>1287</v>
      </c>
      <c r="BS136" s="112" t="s">
        <v>1287</v>
      </c>
      <c r="BT136" s="112" t="s">
        <v>1287</v>
      </c>
      <c r="BU136" s="112" t="s">
        <v>1287</v>
      </c>
      <c r="BV136" s="111">
        <f t="shared" si="1012"/>
        <v>1029</v>
      </c>
      <c r="BW136" s="113">
        <f t="shared" si="1013"/>
        <v>1062</v>
      </c>
      <c r="BX136" s="114">
        <f t="shared" si="1014"/>
        <v>1066</v>
      </c>
      <c r="BY136" s="113">
        <f t="shared" si="1015"/>
        <v>1098</v>
      </c>
      <c r="BZ136" s="114">
        <f t="shared" si="1016"/>
        <v>1102</v>
      </c>
      <c r="CA136" s="113">
        <f t="shared" si="1017"/>
        <v>1138</v>
      </c>
      <c r="CB136" s="114">
        <f t="shared" si="1018"/>
        <v>1146</v>
      </c>
      <c r="CC136" s="113">
        <f t="shared" si="1019"/>
        <v>1191</v>
      </c>
      <c r="CD136" s="114">
        <f t="shared" si="1020"/>
        <v>1196</v>
      </c>
      <c r="CE136" s="113">
        <f t="shared" si="1021"/>
        <v>1265</v>
      </c>
      <c r="CF136" s="114">
        <f t="shared" si="1022"/>
        <v>1304</v>
      </c>
      <c r="CG136" s="113">
        <f t="shared" si="1023"/>
        <v>1329</v>
      </c>
      <c r="CH136" s="111">
        <f t="shared" si="1024"/>
        <v>1061</v>
      </c>
      <c r="CI136" s="113">
        <f t="shared" si="1025"/>
        <v>1065</v>
      </c>
      <c r="CJ136" s="114">
        <f t="shared" si="1026"/>
        <v>1096</v>
      </c>
      <c r="CK136" s="114">
        <f t="shared" si="1027"/>
        <v>1101</v>
      </c>
      <c r="CL136" s="114">
        <f t="shared" si="1028"/>
        <v>1137</v>
      </c>
      <c r="CM136" s="114">
        <f t="shared" si="1029"/>
        <v>1145</v>
      </c>
      <c r="CN136" s="114">
        <f t="shared" si="1030"/>
        <v>1172</v>
      </c>
      <c r="CO136" s="114">
        <f t="shared" si="1031"/>
        <v>1193</v>
      </c>
      <c r="CP136" s="114">
        <f t="shared" si="1032"/>
        <v>1232</v>
      </c>
      <c r="CQ136" s="114">
        <f t="shared" si="1033"/>
        <v>1299</v>
      </c>
      <c r="CR136" s="114">
        <f t="shared" si="1034"/>
        <v>1323</v>
      </c>
      <c r="CS136" s="114">
        <f t="shared" si="1035"/>
        <v>1342</v>
      </c>
      <c r="CT136" s="109">
        <f t="shared" si="1036"/>
        <v>1</v>
      </c>
    </row>
    <row r="137" spans="1:1029" s="12" customFormat="1" x14ac:dyDescent="0.2">
      <c r="A137" s="9" t="str">
        <f t="shared" si="1009"/>
        <v>adrb2_human_6N48</v>
      </c>
      <c r="B137" s="9" t="s">
        <v>126</v>
      </c>
      <c r="C137" s="9" t="s">
        <v>1581</v>
      </c>
      <c r="D137" s="9" t="str">
        <f>IFERROR(MID(VLOOKUP($B137,Seqs!$A:$B,2,0),E137,1),"")</f>
        <v/>
      </c>
      <c r="E137" s="9">
        <v>1026</v>
      </c>
      <c r="F137" s="9" t="str">
        <f>IFERROR(MID(VLOOKUP($B137,Seqs!$A:$B,2,0),G137,1),"")</f>
        <v/>
      </c>
      <c r="G137" s="9">
        <v>1061</v>
      </c>
      <c r="H137" s="9" t="str">
        <f>IFERROR(MID(VLOOKUP($B137,Seqs!$A:$B,2,0),I137,1),"")</f>
        <v/>
      </c>
      <c r="I137" s="109">
        <v>1062</v>
      </c>
      <c r="J137" s="9" t="str">
        <f>IFERROR(MID(VLOOKUP($B137,Seqs!$A:$B,2,0),K137,1),"")</f>
        <v/>
      </c>
      <c r="K137" s="109">
        <v>1065</v>
      </c>
      <c r="L137" s="9" t="str">
        <f>IFERROR(MID(VLOOKUP($B137,Seqs!$A:$B,2,0),M137,1),"")</f>
        <v/>
      </c>
      <c r="M137" s="9">
        <v>1066</v>
      </c>
      <c r="N137" s="9" t="str">
        <f>IFERROR(MID(VLOOKUP($B137,Seqs!$A:$B,2,0),O137,1),"")</f>
        <v/>
      </c>
      <c r="O137" s="9">
        <v>1097</v>
      </c>
      <c r="P137" s="9" t="str">
        <f>IFERROR(MID(VLOOKUP($B137,Seqs!$A:$B,2,0),Q137,1),"")</f>
        <v/>
      </c>
      <c r="Q137" s="9">
        <v>1098</v>
      </c>
      <c r="R137" s="9" t="str">
        <f>IFERROR(MID(VLOOKUP($B137,Seqs!$A:$B,2,0),S137,1),"")</f>
        <v/>
      </c>
      <c r="S137" s="9">
        <v>1101</v>
      </c>
      <c r="T137" s="9" t="str">
        <f>IFERROR(MID(VLOOKUP($B137,Seqs!$A:$B,2,0),U137,1),"")</f>
        <v/>
      </c>
      <c r="U137" s="9">
        <v>1102</v>
      </c>
      <c r="V137" s="9" t="str">
        <f>IFERROR(MID(VLOOKUP($B137,Seqs!$A:$B,2,0),W137,1),"")</f>
        <v/>
      </c>
      <c r="W137" s="9">
        <v>1137</v>
      </c>
      <c r="X137" s="9" t="str">
        <f>IFERROR(MID(VLOOKUP($B137,Seqs!$A:$B,2,0),Y137,1),"")</f>
        <v/>
      </c>
      <c r="Y137" s="9">
        <v>1138</v>
      </c>
      <c r="Z137" s="9" t="str">
        <f>IFERROR(MID(VLOOKUP($B137,Seqs!$A:$B,2,0),AA137,1),"")</f>
        <v/>
      </c>
      <c r="AA137" s="9">
        <v>1145</v>
      </c>
      <c r="AB137" s="9" t="str">
        <f>IFERROR(MID(VLOOKUP($B137,Seqs!$A:$B,2,0),AC137,1),"")</f>
        <v/>
      </c>
      <c r="AC137" s="9">
        <v>1146</v>
      </c>
      <c r="AD137" s="9" t="str">
        <f>IFERROR(MID(VLOOKUP($B137,Seqs!$A:$B,2,0),AE137,1),"")</f>
        <v/>
      </c>
      <c r="AE137" s="9">
        <v>1172</v>
      </c>
      <c r="AF137" s="9" t="str">
        <f>IFERROR(MID(VLOOKUP($B137,Seqs!$A:$B,2,0),AG137,1),"")</f>
        <v/>
      </c>
      <c r="AG137" s="9">
        <v>1191</v>
      </c>
      <c r="AH137" s="9" t="str">
        <f>IFERROR(MID(VLOOKUP($B137,Seqs!$A:$B,2,0),AI137,1),"")</f>
        <v/>
      </c>
      <c r="AI137" s="9">
        <v>1193</v>
      </c>
      <c r="AJ137" s="9" t="str">
        <f>IFERROR(MID(VLOOKUP($B137,Seqs!$A:$B,2,0),AK137,1),"")</f>
        <v/>
      </c>
      <c r="AK137" s="9">
        <v>1196</v>
      </c>
      <c r="AL137" s="9" t="str">
        <f>IFERROR(MID(VLOOKUP($B137,Seqs!$A:$B,2,0),AM137,1),"")</f>
        <v/>
      </c>
      <c r="AM137" s="9">
        <v>1226</v>
      </c>
      <c r="AN137" s="9" t="str">
        <f>IFERROR(MID(VLOOKUP($B137,Seqs!$A:$B,2,0),AO137,1),"")</f>
        <v/>
      </c>
      <c r="AO137" s="9">
        <v>1265</v>
      </c>
      <c r="AP137" s="9" t="str">
        <f>IFERROR(MID(VLOOKUP($B137,Seqs!$A:$B,2,0),AQ137,1),"")</f>
        <v/>
      </c>
      <c r="AQ137" s="9">
        <v>1299</v>
      </c>
      <c r="AR137" s="9" t="str">
        <f>IFERROR(MID(VLOOKUP($B137,Seqs!$A:$B,2,0),AS137,1),"")</f>
        <v/>
      </c>
      <c r="AS137" s="9">
        <v>1304</v>
      </c>
      <c r="AT137" s="9" t="str">
        <f>IFERROR(MID(VLOOKUP($B137,Seqs!$A:$B,2,0),AU137,1),"")</f>
        <v/>
      </c>
      <c r="AU137" s="9">
        <v>1322</v>
      </c>
      <c r="AV137" s="9" t="str">
        <f>IFERROR(MID(VLOOKUP($B137,Seqs!$A:$B,2,0),AW137,1),"")</f>
        <v/>
      </c>
      <c r="AW137" s="9">
        <v>1329</v>
      </c>
      <c r="AX137" s="9" t="str">
        <f>IFERROR(MID(VLOOKUP($B137,Seqs!$A:$B,2,0),AY137,1),"")</f>
        <v/>
      </c>
      <c r="AY137" s="9">
        <v>1340</v>
      </c>
      <c r="AZ137" s="110" t="str">
        <f>VLOOKUP(B137,Classification!A:D,2,0)</f>
        <v>A</v>
      </c>
      <c r="BA137" s="98" t="str">
        <f>VLOOKUP(B137,Classification!A:D,4,0)</f>
        <v>Adrenoceptors</v>
      </c>
      <c r="BB137" s="36" t="b">
        <f t="shared" si="1010"/>
        <v>1</v>
      </c>
      <c r="BC137" s="109">
        <f t="shared" si="1011"/>
        <v>247</v>
      </c>
      <c r="BD137" s="123" t="s">
        <v>23</v>
      </c>
      <c r="BE137" s="9" t="s">
        <v>1291</v>
      </c>
      <c r="BF137" s="119">
        <v>3.2</v>
      </c>
      <c r="BG137" s="51" t="s">
        <v>1</v>
      </c>
      <c r="BH137" s="51" t="s">
        <v>1</v>
      </c>
      <c r="BJ137" s="111" t="s">
        <v>1287</v>
      </c>
      <c r="BK137" s="112" t="s">
        <v>1287</v>
      </c>
      <c r="BL137" s="112" t="s">
        <v>1287</v>
      </c>
      <c r="BM137" s="112" t="s">
        <v>1287</v>
      </c>
      <c r="BN137" s="112" t="s">
        <v>1287</v>
      </c>
      <c r="BO137" s="112" t="s">
        <v>1287</v>
      </c>
      <c r="BP137" s="112" t="s">
        <v>1287</v>
      </c>
      <c r="BQ137" s="112" t="s">
        <v>1287</v>
      </c>
      <c r="BR137" s="112" t="s">
        <v>1287</v>
      </c>
      <c r="BS137" s="112" t="s">
        <v>1287</v>
      </c>
      <c r="BT137" s="112" t="s">
        <v>1287</v>
      </c>
      <c r="BU137" s="112" t="s">
        <v>1287</v>
      </c>
      <c r="BV137" s="111">
        <f t="shared" si="1012"/>
        <v>1026</v>
      </c>
      <c r="BW137" s="113">
        <f t="shared" si="1013"/>
        <v>1062</v>
      </c>
      <c r="BX137" s="114">
        <f t="shared" si="1014"/>
        <v>1066</v>
      </c>
      <c r="BY137" s="113">
        <f t="shared" si="1015"/>
        <v>1098</v>
      </c>
      <c r="BZ137" s="114">
        <f t="shared" si="1016"/>
        <v>1102</v>
      </c>
      <c r="CA137" s="113">
        <f t="shared" si="1017"/>
        <v>1138</v>
      </c>
      <c r="CB137" s="114">
        <f t="shared" si="1018"/>
        <v>1146</v>
      </c>
      <c r="CC137" s="113">
        <f t="shared" si="1019"/>
        <v>1191</v>
      </c>
      <c r="CD137" s="114">
        <f t="shared" si="1020"/>
        <v>1196</v>
      </c>
      <c r="CE137" s="113">
        <f t="shared" si="1021"/>
        <v>1265</v>
      </c>
      <c r="CF137" s="114">
        <f t="shared" si="1022"/>
        <v>1304</v>
      </c>
      <c r="CG137" s="113">
        <f t="shared" si="1023"/>
        <v>1329</v>
      </c>
      <c r="CH137" s="111">
        <f t="shared" si="1024"/>
        <v>1061</v>
      </c>
      <c r="CI137" s="113">
        <f t="shared" si="1025"/>
        <v>1065</v>
      </c>
      <c r="CJ137" s="114">
        <f t="shared" si="1026"/>
        <v>1097</v>
      </c>
      <c r="CK137" s="114">
        <f t="shared" si="1027"/>
        <v>1101</v>
      </c>
      <c r="CL137" s="114">
        <f t="shared" si="1028"/>
        <v>1137</v>
      </c>
      <c r="CM137" s="114">
        <f t="shared" si="1029"/>
        <v>1145</v>
      </c>
      <c r="CN137" s="114">
        <f t="shared" si="1030"/>
        <v>1172</v>
      </c>
      <c r="CO137" s="114">
        <f t="shared" si="1031"/>
        <v>1193</v>
      </c>
      <c r="CP137" s="114">
        <f t="shared" si="1032"/>
        <v>1226</v>
      </c>
      <c r="CQ137" s="114">
        <f t="shared" si="1033"/>
        <v>1299</v>
      </c>
      <c r="CR137" s="114">
        <f t="shared" si="1034"/>
        <v>1322</v>
      </c>
      <c r="CS137" s="114">
        <f t="shared" si="1035"/>
        <v>1340</v>
      </c>
      <c r="CT137" s="109">
        <f t="shared" si="1036"/>
        <v>1</v>
      </c>
    </row>
    <row r="138" spans="1:1029" s="12" customFormat="1" x14ac:dyDescent="0.2">
      <c r="A138" s="9" t="str">
        <f t="shared" si="1009"/>
        <v>adrb2_human_6PRZ</v>
      </c>
      <c r="B138" s="9" t="s">
        <v>126</v>
      </c>
      <c r="C138" s="9" t="s">
        <v>1607</v>
      </c>
      <c r="D138" s="9" t="str">
        <f>IFERROR(MID(VLOOKUP($B138,Seqs!$A:$B,2,0),E138,1),"")</f>
        <v>V</v>
      </c>
      <c r="E138" s="9">
        <v>31</v>
      </c>
      <c r="F138" s="9" t="str">
        <f>IFERROR(MID(VLOOKUP($B138,Seqs!$A:$B,2,0),G138,1),"")</f>
        <v>F</v>
      </c>
      <c r="G138" s="9">
        <v>61</v>
      </c>
      <c r="H138" s="9" t="str">
        <f>IFERROR(MID(VLOOKUP($B138,Seqs!$A:$B,2,0),I138,1),"")</f>
        <v>E</v>
      </c>
      <c r="I138" s="109">
        <v>62</v>
      </c>
      <c r="J138" s="9" t="str">
        <f>IFERROR(MID(VLOOKUP($B138,Seqs!$A:$B,2,0),K138,1),"")</f>
        <v>Q</v>
      </c>
      <c r="K138" s="109">
        <v>65</v>
      </c>
      <c r="L138" s="9" t="str">
        <f>IFERROR(MID(VLOOKUP($B138,Seqs!$A:$B,2,0),M138,1),"")</f>
        <v>T</v>
      </c>
      <c r="M138" s="9">
        <v>66</v>
      </c>
      <c r="N138" s="9" t="str">
        <f>IFERROR(MID(VLOOKUP($B138,Seqs!$A:$B,2,0),O138,1),"")</f>
        <v>M</v>
      </c>
      <c r="O138" s="9">
        <v>96</v>
      </c>
      <c r="P138" s="9" t="str">
        <f>IFERROR(MID(VLOOKUP($B138,Seqs!$A:$B,2,0),Q138,1),"")</f>
        <v>M</v>
      </c>
      <c r="Q138" s="9">
        <v>98</v>
      </c>
      <c r="R138" s="9" t="str">
        <f>IFERROR(MID(VLOOKUP($B138,Seqs!$A:$B,2,0),S138,1),"")</f>
        <v>F</v>
      </c>
      <c r="S138" s="9">
        <v>101</v>
      </c>
      <c r="T138" s="9" t="str">
        <f>IFERROR(MID(VLOOKUP($B138,Seqs!$A:$B,2,0),U138,1),"")</f>
        <v>G</v>
      </c>
      <c r="U138" s="9">
        <v>102</v>
      </c>
      <c r="V138" s="9" t="str">
        <f>IFERROR(MID(VLOOKUP($B138,Seqs!$A:$B,2,0),W138,1),"")</f>
        <v>S</v>
      </c>
      <c r="W138" s="9">
        <v>137</v>
      </c>
      <c r="X138" s="9" t="str">
        <f>IFERROR(MID(VLOOKUP($B138,Seqs!$A:$B,2,0),Y138,1),"")</f>
        <v/>
      </c>
      <c r="Y138" s="9" t="s">
        <v>23</v>
      </c>
      <c r="Z138" s="9" t="str">
        <f>IFERROR(MID(VLOOKUP($B138,Seqs!$A:$B,2,0),AA138,1),"")</f>
        <v/>
      </c>
      <c r="AA138" s="9" t="s">
        <v>23</v>
      </c>
      <c r="AB138" s="9" t="str">
        <f>IFERROR(MID(VLOOKUP($B138,Seqs!$A:$B,2,0),AC138,1),"")</f>
        <v>T</v>
      </c>
      <c r="AC138" s="9">
        <v>146</v>
      </c>
      <c r="AD138" s="9" t="str">
        <f>IFERROR(MID(VLOOKUP($B138,Seqs!$A:$B,2,0),AE138,1),"")</f>
        <v>H</v>
      </c>
      <c r="AE138" s="9">
        <v>172</v>
      </c>
      <c r="AF138" s="9" t="str">
        <f>IFERROR(MID(VLOOKUP($B138,Seqs!$A:$B,2,0),AG138,1),"")</f>
        <v>C</v>
      </c>
      <c r="AG138" s="9">
        <v>191</v>
      </c>
      <c r="AH138" s="9" t="str">
        <f>IFERROR(MID(VLOOKUP($B138,Seqs!$A:$B,2,0),AI138,1),"")</f>
        <v>F</v>
      </c>
      <c r="AI138" s="9">
        <v>193</v>
      </c>
      <c r="AJ138" s="9" t="str">
        <f>IFERROR(MID(VLOOKUP($B138,Seqs!$A:$B,2,0),AK138,1),"")</f>
        <v>N</v>
      </c>
      <c r="AK138" s="9">
        <v>196</v>
      </c>
      <c r="AL138" s="9" t="str">
        <f>IFERROR(MID(VLOOKUP($B138,Seqs!$A:$B,2,0),AM138,1),"")</f>
        <v>L</v>
      </c>
      <c r="AM138" s="9">
        <v>230</v>
      </c>
      <c r="AN138" s="9" t="str">
        <f>IFERROR(MID(VLOOKUP($B138,Seqs!$A:$B,2,0),AO138,1),"")</f>
        <v>L</v>
      </c>
      <c r="AO138" s="9">
        <v>266</v>
      </c>
      <c r="AP138" s="9" t="str">
        <f>IFERROR(MID(VLOOKUP($B138,Seqs!$A:$B,2,0),AQ138,1),"")</f>
        <v>Q</v>
      </c>
      <c r="AQ138" s="9">
        <v>299</v>
      </c>
      <c r="AR138" s="9" t="str">
        <f>IFERROR(MID(VLOOKUP($B138,Seqs!$A:$B,2,0),AS138,1),"")</f>
        <v>K</v>
      </c>
      <c r="AS138" s="9">
        <v>305</v>
      </c>
      <c r="AT138" s="9" t="str">
        <f>IFERROR(MID(VLOOKUP($B138,Seqs!$A:$B,2,0),AU138,1),"")</f>
        <v>R</v>
      </c>
      <c r="AU138" s="9">
        <v>328</v>
      </c>
      <c r="AV138" s="9" t="str">
        <f>IFERROR(MID(VLOOKUP($B138,Seqs!$A:$B,2,0),AW138,1),"")</f>
        <v>S</v>
      </c>
      <c r="AW138" s="9">
        <v>329</v>
      </c>
      <c r="AX138" s="9" t="str">
        <f>IFERROR(MID(VLOOKUP($B138,Seqs!$A:$B,2,0),AY138,1),"")</f>
        <v>C</v>
      </c>
      <c r="AY138" s="9">
        <v>341</v>
      </c>
      <c r="AZ138" s="110" t="str">
        <f>VLOOKUP(B138,Classification!A:D,2,0)</f>
        <v>A</v>
      </c>
      <c r="BA138" s="98" t="str">
        <f>VLOOKUP(B138,Classification!A:D,4,0)</f>
        <v>Adrenoceptors</v>
      </c>
      <c r="BB138" s="36" t="b">
        <f t="shared" si="1010"/>
        <v>1</v>
      </c>
      <c r="BC138" s="109">
        <f t="shared" si="1011"/>
        <v>243</v>
      </c>
      <c r="BD138" s="123" t="s">
        <v>23</v>
      </c>
      <c r="BE138" s="9" t="s">
        <v>1374</v>
      </c>
      <c r="BF138" s="119">
        <v>2.8</v>
      </c>
      <c r="BG138" s="51" t="s">
        <v>1</v>
      </c>
      <c r="BH138" s="51" t="s">
        <v>1</v>
      </c>
      <c r="BJ138" s="111" t="s">
        <v>1287</v>
      </c>
      <c r="BK138" s="112" t="s">
        <v>1287</v>
      </c>
      <c r="BL138" s="112" t="s">
        <v>1287</v>
      </c>
      <c r="BM138" s="112" t="s">
        <v>1287</v>
      </c>
      <c r="BN138" s="112" t="s">
        <v>1287</v>
      </c>
      <c r="BO138" s="112" t="s">
        <v>1287</v>
      </c>
      <c r="BP138" s="112" t="s">
        <v>1287</v>
      </c>
      <c r="BQ138" s="112" t="s">
        <v>1287</v>
      </c>
      <c r="BR138" s="112" t="s">
        <v>1287</v>
      </c>
      <c r="BS138" s="112" t="s">
        <v>1287</v>
      </c>
      <c r="BT138" s="112" t="s">
        <v>1287</v>
      </c>
      <c r="BU138" s="112" t="s">
        <v>1287</v>
      </c>
      <c r="BV138" s="111">
        <f t="shared" si="1012"/>
        <v>31</v>
      </c>
      <c r="BW138" s="113">
        <f t="shared" si="1013"/>
        <v>62</v>
      </c>
      <c r="BX138" s="114">
        <f t="shared" si="1014"/>
        <v>66</v>
      </c>
      <c r="BY138" s="113">
        <f t="shared" si="1015"/>
        <v>98</v>
      </c>
      <c r="BZ138" s="114">
        <f t="shared" si="1016"/>
        <v>102</v>
      </c>
      <c r="CA138" s="113" t="str">
        <f t="shared" si="1017"/>
        <v>-</v>
      </c>
      <c r="CB138" s="114">
        <f t="shared" si="1018"/>
        <v>146</v>
      </c>
      <c r="CC138" s="113">
        <f t="shared" si="1019"/>
        <v>191</v>
      </c>
      <c r="CD138" s="114">
        <f t="shared" si="1020"/>
        <v>196</v>
      </c>
      <c r="CE138" s="113">
        <f t="shared" si="1021"/>
        <v>266</v>
      </c>
      <c r="CF138" s="114">
        <f t="shared" si="1022"/>
        <v>305</v>
      </c>
      <c r="CG138" s="113">
        <f t="shared" si="1023"/>
        <v>329</v>
      </c>
      <c r="CH138" s="111">
        <f t="shared" si="1024"/>
        <v>61</v>
      </c>
      <c r="CI138" s="113">
        <f t="shared" si="1025"/>
        <v>65</v>
      </c>
      <c r="CJ138" s="114">
        <f t="shared" si="1026"/>
        <v>96</v>
      </c>
      <c r="CK138" s="114">
        <f t="shared" si="1027"/>
        <v>101</v>
      </c>
      <c r="CL138" s="114">
        <f t="shared" si="1028"/>
        <v>137</v>
      </c>
      <c r="CM138" s="114" t="str">
        <f t="shared" si="1029"/>
        <v>-</v>
      </c>
      <c r="CN138" s="114">
        <f t="shared" si="1030"/>
        <v>172</v>
      </c>
      <c r="CO138" s="114">
        <f t="shared" si="1031"/>
        <v>193</v>
      </c>
      <c r="CP138" s="114">
        <f t="shared" si="1032"/>
        <v>230</v>
      </c>
      <c r="CQ138" s="114">
        <f t="shared" si="1033"/>
        <v>299</v>
      </c>
      <c r="CR138" s="114">
        <f t="shared" si="1034"/>
        <v>328</v>
      </c>
      <c r="CS138" s="114">
        <f t="shared" si="1035"/>
        <v>341</v>
      </c>
      <c r="CT138" s="109">
        <f t="shared" si="1036"/>
        <v>1</v>
      </c>
    </row>
    <row r="139" spans="1:1029" s="12" customFormat="1" x14ac:dyDescent="0.2">
      <c r="A139" s="9" t="str">
        <f t="shared" si="1009"/>
        <v>adrb2_human_6PS0</v>
      </c>
      <c r="B139" s="9" t="s">
        <v>126</v>
      </c>
      <c r="C139" s="9" t="s">
        <v>1608</v>
      </c>
      <c r="D139" s="9" t="str">
        <f>IFERROR(MID(VLOOKUP($B139,Seqs!$A:$B,2,0),E139,1),"")</f>
        <v>V</v>
      </c>
      <c r="E139" s="9">
        <v>31</v>
      </c>
      <c r="F139" s="9" t="str">
        <f>IFERROR(MID(VLOOKUP($B139,Seqs!$A:$B,2,0),G139,1),"")</f>
        <v>F</v>
      </c>
      <c r="G139" s="9">
        <v>61</v>
      </c>
      <c r="H139" s="9" t="str">
        <f>IFERROR(MID(VLOOKUP($B139,Seqs!$A:$B,2,0),I139,1),"")</f>
        <v>E</v>
      </c>
      <c r="I139" s="109">
        <v>62</v>
      </c>
      <c r="J139" s="9" t="str">
        <f>IFERROR(MID(VLOOKUP($B139,Seqs!$A:$B,2,0),K139,1),"")</f>
        <v>Q</v>
      </c>
      <c r="K139" s="109">
        <v>65</v>
      </c>
      <c r="L139" s="9" t="str">
        <f>IFERROR(MID(VLOOKUP($B139,Seqs!$A:$B,2,0),M139,1),"")</f>
        <v>T</v>
      </c>
      <c r="M139" s="9">
        <v>66</v>
      </c>
      <c r="N139" s="9" t="str">
        <f>IFERROR(MID(VLOOKUP($B139,Seqs!$A:$B,2,0),O139,1),"")</f>
        <v>M</v>
      </c>
      <c r="O139" s="9">
        <v>96</v>
      </c>
      <c r="P139" s="9" t="str">
        <f>IFERROR(MID(VLOOKUP($B139,Seqs!$A:$B,2,0),Q139,1),"")</f>
        <v>M</v>
      </c>
      <c r="Q139" s="9">
        <v>98</v>
      </c>
      <c r="R139" s="9" t="str">
        <f>IFERROR(MID(VLOOKUP($B139,Seqs!$A:$B,2,0),S139,1),"")</f>
        <v>F</v>
      </c>
      <c r="S139" s="9">
        <v>101</v>
      </c>
      <c r="T139" s="9" t="str">
        <f>IFERROR(MID(VLOOKUP($B139,Seqs!$A:$B,2,0),U139,1),"")</f>
        <v>G</v>
      </c>
      <c r="U139" s="9">
        <v>102</v>
      </c>
      <c r="V139" s="9" t="str">
        <f>IFERROR(MID(VLOOKUP($B139,Seqs!$A:$B,2,0),W139,1),"")</f>
        <v>S</v>
      </c>
      <c r="W139" s="9">
        <v>137</v>
      </c>
      <c r="X139" s="9" t="str">
        <f>IFERROR(MID(VLOOKUP($B139,Seqs!$A:$B,2,0),Y139,1),"")</f>
        <v/>
      </c>
      <c r="Y139" s="9" t="s">
        <v>23</v>
      </c>
      <c r="Z139" s="9" t="str">
        <f>IFERROR(MID(VLOOKUP($B139,Seqs!$A:$B,2,0),AA139,1),"")</f>
        <v/>
      </c>
      <c r="AA139" s="9" t="s">
        <v>23</v>
      </c>
      <c r="AB139" s="9" t="str">
        <f>IFERROR(MID(VLOOKUP($B139,Seqs!$A:$B,2,0),AC139,1),"")</f>
        <v>T</v>
      </c>
      <c r="AC139" s="9">
        <v>146</v>
      </c>
      <c r="AD139" s="9" t="str">
        <f>IFERROR(MID(VLOOKUP($B139,Seqs!$A:$B,2,0),AE139,1),"")</f>
        <v>H</v>
      </c>
      <c r="AE139" s="9">
        <v>172</v>
      </c>
      <c r="AF139" s="9" t="str">
        <f>IFERROR(MID(VLOOKUP($B139,Seqs!$A:$B,2,0),AG139,1),"")</f>
        <v>C</v>
      </c>
      <c r="AG139" s="9">
        <v>191</v>
      </c>
      <c r="AH139" s="9" t="str">
        <f>IFERROR(MID(VLOOKUP($B139,Seqs!$A:$B,2,0),AI139,1),"")</f>
        <v>F</v>
      </c>
      <c r="AI139" s="9">
        <v>193</v>
      </c>
      <c r="AJ139" s="9" t="str">
        <f>IFERROR(MID(VLOOKUP($B139,Seqs!$A:$B,2,0),AK139,1),"")</f>
        <v>N</v>
      </c>
      <c r="AK139" s="9">
        <v>196</v>
      </c>
      <c r="AL139" s="9" t="str">
        <f>IFERROR(MID(VLOOKUP($B139,Seqs!$A:$B,2,0),AM139,1),"")</f>
        <v>L</v>
      </c>
      <c r="AM139" s="9">
        <v>230</v>
      </c>
      <c r="AN139" s="9" t="str">
        <f>IFERROR(MID(VLOOKUP($B139,Seqs!$A:$B,2,0),AO139,1),"")</f>
        <v>L</v>
      </c>
      <c r="AO139" s="9">
        <v>266</v>
      </c>
      <c r="AP139" s="9" t="str">
        <f>IFERROR(MID(VLOOKUP($B139,Seqs!$A:$B,2,0),AQ139,1),"")</f>
        <v>Q</v>
      </c>
      <c r="AQ139" s="9">
        <v>299</v>
      </c>
      <c r="AR139" s="9" t="str">
        <f>IFERROR(MID(VLOOKUP($B139,Seqs!$A:$B,2,0),AS139,1),"")</f>
        <v>K</v>
      </c>
      <c r="AS139" s="9">
        <v>305</v>
      </c>
      <c r="AT139" s="9" t="str">
        <f>IFERROR(MID(VLOOKUP($B139,Seqs!$A:$B,2,0),AU139,1),"")</f>
        <v>R</v>
      </c>
      <c r="AU139" s="9">
        <v>328</v>
      </c>
      <c r="AV139" s="9" t="str">
        <f>IFERROR(MID(VLOOKUP($B139,Seqs!$A:$B,2,0),AW139,1),"")</f>
        <v>S</v>
      </c>
      <c r="AW139" s="9">
        <v>329</v>
      </c>
      <c r="AX139" s="9" t="str">
        <f>IFERROR(MID(VLOOKUP($B139,Seqs!$A:$B,2,0),AY139,1),"")</f>
        <v>C</v>
      </c>
      <c r="AY139" s="9">
        <v>341</v>
      </c>
      <c r="AZ139" s="110" t="str">
        <f>VLOOKUP(B139,Classification!A:D,2,0)</f>
        <v>A</v>
      </c>
      <c r="BA139" s="98" t="str">
        <f>VLOOKUP(B139,Classification!A:D,4,0)</f>
        <v>Adrenoceptors</v>
      </c>
      <c r="BB139" s="36" t="b">
        <f t="shared" si="1010"/>
        <v>1</v>
      </c>
      <c r="BC139" s="109">
        <f t="shared" si="1011"/>
        <v>243</v>
      </c>
      <c r="BD139" s="123" t="s">
        <v>23</v>
      </c>
      <c r="BE139" s="9" t="s">
        <v>1374</v>
      </c>
      <c r="BF139" s="119">
        <v>3.4</v>
      </c>
      <c r="BG139" s="51" t="s">
        <v>1</v>
      </c>
      <c r="BH139" s="51" t="s">
        <v>1</v>
      </c>
      <c r="BJ139" s="111" t="s">
        <v>1287</v>
      </c>
      <c r="BK139" s="112" t="s">
        <v>1287</v>
      </c>
      <c r="BL139" s="112" t="s">
        <v>1287</v>
      </c>
      <c r="BM139" s="112" t="s">
        <v>1287</v>
      </c>
      <c r="BN139" s="112" t="s">
        <v>1287</v>
      </c>
      <c r="BO139" s="112" t="s">
        <v>1287</v>
      </c>
      <c r="BP139" s="112" t="s">
        <v>1287</v>
      </c>
      <c r="BQ139" s="112" t="s">
        <v>1287</v>
      </c>
      <c r="BR139" s="112" t="s">
        <v>1287</v>
      </c>
      <c r="BS139" s="112" t="s">
        <v>1287</v>
      </c>
      <c r="BT139" s="112" t="s">
        <v>1287</v>
      </c>
      <c r="BU139" s="112" t="s">
        <v>1287</v>
      </c>
      <c r="BV139" s="111">
        <f t="shared" si="1012"/>
        <v>31</v>
      </c>
      <c r="BW139" s="113">
        <f t="shared" si="1013"/>
        <v>62</v>
      </c>
      <c r="BX139" s="114">
        <f t="shared" si="1014"/>
        <v>66</v>
      </c>
      <c r="BY139" s="113">
        <f t="shared" si="1015"/>
        <v>98</v>
      </c>
      <c r="BZ139" s="114">
        <f t="shared" si="1016"/>
        <v>102</v>
      </c>
      <c r="CA139" s="113" t="str">
        <f t="shared" si="1017"/>
        <v>-</v>
      </c>
      <c r="CB139" s="114">
        <f t="shared" si="1018"/>
        <v>146</v>
      </c>
      <c r="CC139" s="113">
        <f t="shared" si="1019"/>
        <v>191</v>
      </c>
      <c r="CD139" s="114">
        <f t="shared" si="1020"/>
        <v>196</v>
      </c>
      <c r="CE139" s="113">
        <f t="shared" si="1021"/>
        <v>266</v>
      </c>
      <c r="CF139" s="114">
        <f t="shared" si="1022"/>
        <v>305</v>
      </c>
      <c r="CG139" s="113">
        <f t="shared" si="1023"/>
        <v>329</v>
      </c>
      <c r="CH139" s="111">
        <f t="shared" si="1024"/>
        <v>61</v>
      </c>
      <c r="CI139" s="113">
        <f t="shared" si="1025"/>
        <v>65</v>
      </c>
      <c r="CJ139" s="114">
        <f t="shared" si="1026"/>
        <v>96</v>
      </c>
      <c r="CK139" s="114">
        <f t="shared" si="1027"/>
        <v>101</v>
      </c>
      <c r="CL139" s="114">
        <f t="shared" si="1028"/>
        <v>137</v>
      </c>
      <c r="CM139" s="114" t="str">
        <f t="shared" si="1029"/>
        <v>-</v>
      </c>
      <c r="CN139" s="114">
        <f t="shared" si="1030"/>
        <v>172</v>
      </c>
      <c r="CO139" s="114">
        <f t="shared" si="1031"/>
        <v>193</v>
      </c>
      <c r="CP139" s="114">
        <f t="shared" si="1032"/>
        <v>230</v>
      </c>
      <c r="CQ139" s="114">
        <f t="shared" si="1033"/>
        <v>299</v>
      </c>
      <c r="CR139" s="114">
        <f t="shared" si="1034"/>
        <v>328</v>
      </c>
      <c r="CS139" s="114">
        <f t="shared" si="1035"/>
        <v>341</v>
      </c>
      <c r="CT139" s="109">
        <f t="shared" si="1036"/>
        <v>1</v>
      </c>
    </row>
    <row r="140" spans="1:1029" s="12" customFormat="1" x14ac:dyDescent="0.2">
      <c r="A140" s="9" t="str">
        <f t="shared" si="1009"/>
        <v>adrb2_human_6PS1</v>
      </c>
      <c r="B140" s="9" t="s">
        <v>126</v>
      </c>
      <c r="C140" s="9" t="s">
        <v>1609</v>
      </c>
      <c r="D140" s="9" t="str">
        <f>IFERROR(MID(VLOOKUP($B140,Seqs!$A:$B,2,0),E140,1),"")</f>
        <v>D</v>
      </c>
      <c r="E140" s="9">
        <v>29</v>
      </c>
      <c r="F140" s="9" t="str">
        <f>IFERROR(MID(VLOOKUP($B140,Seqs!$A:$B,2,0),G140,1),"")</f>
        <v>F</v>
      </c>
      <c r="G140" s="9">
        <v>61</v>
      </c>
      <c r="H140" s="9" t="str">
        <f>IFERROR(MID(VLOOKUP($B140,Seqs!$A:$B,2,0),I140,1),"")</f>
        <v>E</v>
      </c>
      <c r="I140" s="109">
        <v>62</v>
      </c>
      <c r="J140" s="9" t="str">
        <f>IFERROR(MID(VLOOKUP($B140,Seqs!$A:$B,2,0),K140,1),"")</f>
        <v>Q</v>
      </c>
      <c r="K140" s="109">
        <v>65</v>
      </c>
      <c r="L140" s="9" t="str">
        <f>IFERROR(MID(VLOOKUP($B140,Seqs!$A:$B,2,0),M140,1),"")</f>
        <v>T</v>
      </c>
      <c r="M140" s="9">
        <v>66</v>
      </c>
      <c r="N140" s="9" t="str">
        <f>IFERROR(MID(VLOOKUP($B140,Seqs!$A:$B,2,0),O140,1),"")</f>
        <v>M</v>
      </c>
      <c r="O140" s="9">
        <v>96</v>
      </c>
      <c r="P140" s="9" t="str">
        <f>IFERROR(MID(VLOOKUP($B140,Seqs!$A:$B,2,0),Q140,1),"")</f>
        <v>M</v>
      </c>
      <c r="Q140" s="9">
        <v>98</v>
      </c>
      <c r="R140" s="9" t="str">
        <f>IFERROR(MID(VLOOKUP($B140,Seqs!$A:$B,2,0),S140,1),"")</f>
        <v>F</v>
      </c>
      <c r="S140" s="9">
        <v>101</v>
      </c>
      <c r="T140" s="9" t="str">
        <f>IFERROR(MID(VLOOKUP($B140,Seqs!$A:$B,2,0),U140,1),"")</f>
        <v>G</v>
      </c>
      <c r="U140" s="9">
        <v>102</v>
      </c>
      <c r="V140" s="9" t="str">
        <f>IFERROR(MID(VLOOKUP($B140,Seqs!$A:$B,2,0),W140,1),"")</f>
        <v>S</v>
      </c>
      <c r="W140" s="9">
        <v>137</v>
      </c>
      <c r="X140" s="9" t="str">
        <f>IFERROR(MID(VLOOKUP($B140,Seqs!$A:$B,2,0),Y140,1),"")</f>
        <v/>
      </c>
      <c r="Y140" s="9" t="s">
        <v>23</v>
      </c>
      <c r="Z140" s="9" t="str">
        <f>IFERROR(MID(VLOOKUP($B140,Seqs!$A:$B,2,0),AA140,1),"")</f>
        <v/>
      </c>
      <c r="AA140" s="9" t="s">
        <v>23</v>
      </c>
      <c r="AB140" s="9" t="str">
        <f>IFERROR(MID(VLOOKUP($B140,Seqs!$A:$B,2,0),AC140,1),"")</f>
        <v>T</v>
      </c>
      <c r="AC140" s="9">
        <v>146</v>
      </c>
      <c r="AD140" s="9" t="str">
        <f>IFERROR(MID(VLOOKUP($B140,Seqs!$A:$B,2,0),AE140,1),"")</f>
        <v>H</v>
      </c>
      <c r="AE140" s="9">
        <v>172</v>
      </c>
      <c r="AF140" s="9" t="str">
        <f>IFERROR(MID(VLOOKUP($B140,Seqs!$A:$B,2,0),AG140,1),"")</f>
        <v>C</v>
      </c>
      <c r="AG140" s="9">
        <v>191</v>
      </c>
      <c r="AH140" s="9" t="str">
        <f>IFERROR(MID(VLOOKUP($B140,Seqs!$A:$B,2,0),AI140,1),"")</f>
        <v>F</v>
      </c>
      <c r="AI140" s="9">
        <v>193</v>
      </c>
      <c r="AJ140" s="9" t="str">
        <f>IFERROR(MID(VLOOKUP($B140,Seqs!$A:$B,2,0),AK140,1),"")</f>
        <v>N</v>
      </c>
      <c r="AK140" s="9">
        <v>196</v>
      </c>
      <c r="AL140" s="9" t="str">
        <f>IFERROR(MID(VLOOKUP($B140,Seqs!$A:$B,2,0),AM140,1),"")</f>
        <v>L</v>
      </c>
      <c r="AM140" s="9">
        <v>230</v>
      </c>
      <c r="AN140" s="9" t="str">
        <f>IFERROR(MID(VLOOKUP($B140,Seqs!$A:$B,2,0),AO140,1),"")</f>
        <v>L</v>
      </c>
      <c r="AO140" s="9">
        <v>266</v>
      </c>
      <c r="AP140" s="9" t="str">
        <f>IFERROR(MID(VLOOKUP($B140,Seqs!$A:$B,2,0),AQ140,1),"")</f>
        <v>Q</v>
      </c>
      <c r="AQ140" s="9">
        <v>299</v>
      </c>
      <c r="AR140" s="9" t="str">
        <f>IFERROR(MID(VLOOKUP($B140,Seqs!$A:$B,2,0),AS140,1),"")</f>
        <v>K</v>
      </c>
      <c r="AS140" s="9">
        <v>305</v>
      </c>
      <c r="AT140" s="9" t="str">
        <f>IFERROR(MID(VLOOKUP($B140,Seqs!$A:$B,2,0),AU140,1),"")</f>
        <v>R</v>
      </c>
      <c r="AU140" s="9">
        <v>328</v>
      </c>
      <c r="AV140" s="9" t="str">
        <f>IFERROR(MID(VLOOKUP($B140,Seqs!$A:$B,2,0),AW140,1),"")</f>
        <v>S</v>
      </c>
      <c r="AW140" s="9">
        <v>329</v>
      </c>
      <c r="AX140" s="9" t="str">
        <f>IFERROR(MID(VLOOKUP($B140,Seqs!$A:$B,2,0),AY140,1),"")</f>
        <v>C</v>
      </c>
      <c r="AY140" s="9">
        <v>341</v>
      </c>
      <c r="AZ140" s="110" t="str">
        <f>VLOOKUP(B140,Classification!A:D,2,0)</f>
        <v>A</v>
      </c>
      <c r="BA140" s="98" t="str">
        <f>VLOOKUP(B140,Classification!A:D,4,0)</f>
        <v>Adrenoceptors</v>
      </c>
      <c r="BB140" s="36" t="b">
        <f t="shared" si="1010"/>
        <v>1</v>
      </c>
      <c r="BC140" s="109">
        <f t="shared" si="1011"/>
        <v>245</v>
      </c>
      <c r="BD140" s="123" t="s">
        <v>23</v>
      </c>
      <c r="BE140" s="9" t="s">
        <v>1374</v>
      </c>
      <c r="BF140" s="119">
        <v>3.2</v>
      </c>
      <c r="BG140" s="51" t="s">
        <v>1</v>
      </c>
      <c r="BH140" s="51" t="s">
        <v>1</v>
      </c>
      <c r="BJ140" s="111" t="s">
        <v>1287</v>
      </c>
      <c r="BK140" s="112" t="s">
        <v>1287</v>
      </c>
      <c r="BL140" s="112" t="s">
        <v>1287</v>
      </c>
      <c r="BM140" s="112" t="s">
        <v>1287</v>
      </c>
      <c r="BN140" s="112" t="s">
        <v>1287</v>
      </c>
      <c r="BO140" s="112" t="s">
        <v>1287</v>
      </c>
      <c r="BP140" s="112" t="s">
        <v>1287</v>
      </c>
      <c r="BQ140" s="112" t="s">
        <v>1287</v>
      </c>
      <c r="BR140" s="112" t="s">
        <v>1287</v>
      </c>
      <c r="BS140" s="112" t="s">
        <v>1287</v>
      </c>
      <c r="BT140" s="112" t="s">
        <v>1287</v>
      </c>
      <c r="BU140" s="112" t="s">
        <v>1287</v>
      </c>
      <c r="BV140" s="111">
        <f t="shared" si="1012"/>
        <v>29</v>
      </c>
      <c r="BW140" s="113">
        <f t="shared" si="1013"/>
        <v>62</v>
      </c>
      <c r="BX140" s="114">
        <f t="shared" si="1014"/>
        <v>66</v>
      </c>
      <c r="BY140" s="113">
        <f t="shared" si="1015"/>
        <v>98</v>
      </c>
      <c r="BZ140" s="114">
        <f t="shared" si="1016"/>
        <v>102</v>
      </c>
      <c r="CA140" s="113" t="str">
        <f t="shared" si="1017"/>
        <v>-</v>
      </c>
      <c r="CB140" s="114">
        <f t="shared" si="1018"/>
        <v>146</v>
      </c>
      <c r="CC140" s="113">
        <f t="shared" si="1019"/>
        <v>191</v>
      </c>
      <c r="CD140" s="114">
        <f t="shared" si="1020"/>
        <v>196</v>
      </c>
      <c r="CE140" s="113">
        <f t="shared" si="1021"/>
        <v>266</v>
      </c>
      <c r="CF140" s="114">
        <f t="shared" si="1022"/>
        <v>305</v>
      </c>
      <c r="CG140" s="113">
        <f t="shared" si="1023"/>
        <v>329</v>
      </c>
      <c r="CH140" s="111">
        <f t="shared" si="1024"/>
        <v>61</v>
      </c>
      <c r="CI140" s="113">
        <f t="shared" si="1025"/>
        <v>65</v>
      </c>
      <c r="CJ140" s="114">
        <f t="shared" si="1026"/>
        <v>96</v>
      </c>
      <c r="CK140" s="114">
        <f t="shared" si="1027"/>
        <v>101</v>
      </c>
      <c r="CL140" s="114">
        <f t="shared" si="1028"/>
        <v>137</v>
      </c>
      <c r="CM140" s="114" t="str">
        <f t="shared" si="1029"/>
        <v>-</v>
      </c>
      <c r="CN140" s="114">
        <f t="shared" si="1030"/>
        <v>172</v>
      </c>
      <c r="CO140" s="114">
        <f t="shared" si="1031"/>
        <v>193</v>
      </c>
      <c r="CP140" s="114">
        <f t="shared" si="1032"/>
        <v>230</v>
      </c>
      <c r="CQ140" s="114">
        <f t="shared" si="1033"/>
        <v>299</v>
      </c>
      <c r="CR140" s="114">
        <f t="shared" si="1034"/>
        <v>328</v>
      </c>
      <c r="CS140" s="114">
        <f t="shared" si="1035"/>
        <v>341</v>
      </c>
      <c r="CT140" s="109">
        <f t="shared" si="1036"/>
        <v>1</v>
      </c>
    </row>
    <row r="141" spans="1:1029" s="12" customFormat="1" x14ac:dyDescent="0.2">
      <c r="A141" s="9" t="str">
        <f t="shared" si="1009"/>
        <v>adrb2_human_6PS2</v>
      </c>
      <c r="B141" s="9" t="s">
        <v>126</v>
      </c>
      <c r="C141" s="9" t="s">
        <v>1610</v>
      </c>
      <c r="D141" s="9" t="str">
        <f>IFERROR(MID(VLOOKUP($B141,Seqs!$A:$B,2,0),E141,1),"")</f>
        <v>D</v>
      </c>
      <c r="E141" s="9">
        <v>29</v>
      </c>
      <c r="F141" s="9" t="str">
        <f>IFERROR(MID(VLOOKUP($B141,Seqs!$A:$B,2,0),G141,1),"")</f>
        <v>F</v>
      </c>
      <c r="G141" s="9">
        <v>61</v>
      </c>
      <c r="H141" s="9" t="str">
        <f>IFERROR(MID(VLOOKUP($B141,Seqs!$A:$B,2,0),I141,1),"")</f>
        <v>E</v>
      </c>
      <c r="I141" s="109">
        <v>62</v>
      </c>
      <c r="J141" s="9" t="str">
        <f>IFERROR(MID(VLOOKUP($B141,Seqs!$A:$B,2,0),K141,1),"")</f>
        <v>Q</v>
      </c>
      <c r="K141" s="109">
        <v>65</v>
      </c>
      <c r="L141" s="9" t="str">
        <f>IFERROR(MID(VLOOKUP($B141,Seqs!$A:$B,2,0),M141,1),"")</f>
        <v>T</v>
      </c>
      <c r="M141" s="9">
        <v>66</v>
      </c>
      <c r="N141" s="9" t="str">
        <f>IFERROR(MID(VLOOKUP($B141,Seqs!$A:$B,2,0),O141,1),"")</f>
        <v>M</v>
      </c>
      <c r="O141" s="9">
        <v>96</v>
      </c>
      <c r="P141" s="9" t="str">
        <f>IFERROR(MID(VLOOKUP($B141,Seqs!$A:$B,2,0),Q141,1),"")</f>
        <v>M</v>
      </c>
      <c r="Q141" s="9">
        <v>98</v>
      </c>
      <c r="R141" s="9" t="str">
        <f>IFERROR(MID(VLOOKUP($B141,Seqs!$A:$B,2,0),S141,1),"")</f>
        <v>F</v>
      </c>
      <c r="S141" s="9">
        <v>101</v>
      </c>
      <c r="T141" s="9" t="str">
        <f>IFERROR(MID(VLOOKUP($B141,Seqs!$A:$B,2,0),U141,1),"")</f>
        <v>G</v>
      </c>
      <c r="U141" s="9">
        <v>102</v>
      </c>
      <c r="V141" s="9" t="str">
        <f>IFERROR(MID(VLOOKUP($B141,Seqs!$A:$B,2,0),W141,1),"")</f>
        <v>S</v>
      </c>
      <c r="W141" s="9">
        <v>137</v>
      </c>
      <c r="X141" s="9" t="str">
        <f>IFERROR(MID(VLOOKUP($B141,Seqs!$A:$B,2,0),Y141,1),"")</f>
        <v/>
      </c>
      <c r="Y141" s="9" t="s">
        <v>23</v>
      </c>
      <c r="Z141" s="9" t="str">
        <f>IFERROR(MID(VLOOKUP($B141,Seqs!$A:$B,2,0),AA141,1),"")</f>
        <v/>
      </c>
      <c r="AA141" s="9" t="s">
        <v>23</v>
      </c>
      <c r="AB141" s="9" t="str">
        <f>IFERROR(MID(VLOOKUP($B141,Seqs!$A:$B,2,0),AC141,1),"")</f>
        <v>T</v>
      </c>
      <c r="AC141" s="9">
        <v>146</v>
      </c>
      <c r="AD141" s="9" t="str">
        <f>IFERROR(MID(VLOOKUP($B141,Seqs!$A:$B,2,0),AE141,1),"")</f>
        <v>H</v>
      </c>
      <c r="AE141" s="9">
        <v>172</v>
      </c>
      <c r="AF141" s="9" t="str">
        <f>IFERROR(MID(VLOOKUP($B141,Seqs!$A:$B,2,0),AG141,1),"")</f>
        <v>C</v>
      </c>
      <c r="AG141" s="9">
        <v>191</v>
      </c>
      <c r="AH141" s="9" t="str">
        <f>IFERROR(MID(VLOOKUP($B141,Seqs!$A:$B,2,0),AI141,1),"")</f>
        <v>F</v>
      </c>
      <c r="AI141" s="9">
        <v>193</v>
      </c>
      <c r="AJ141" s="9" t="str">
        <f>IFERROR(MID(VLOOKUP($B141,Seqs!$A:$B,2,0),AK141,1),"")</f>
        <v>N</v>
      </c>
      <c r="AK141" s="9">
        <v>196</v>
      </c>
      <c r="AL141" s="9" t="str">
        <f>IFERROR(MID(VLOOKUP($B141,Seqs!$A:$B,2,0),AM141,1),"")</f>
        <v>L</v>
      </c>
      <c r="AM141" s="9">
        <v>230</v>
      </c>
      <c r="AN141" s="9" t="str">
        <f>IFERROR(MID(VLOOKUP($B141,Seqs!$A:$B,2,0),AO141,1),"")</f>
        <v>L</v>
      </c>
      <c r="AO141" s="9">
        <v>266</v>
      </c>
      <c r="AP141" s="9" t="str">
        <f>IFERROR(MID(VLOOKUP($B141,Seqs!$A:$B,2,0),AQ141,1),"")</f>
        <v>D</v>
      </c>
      <c r="AQ141" s="9">
        <v>300</v>
      </c>
      <c r="AR141" s="9" t="str">
        <f>IFERROR(MID(VLOOKUP($B141,Seqs!$A:$B,2,0),AS141,1),"")</f>
        <v>K</v>
      </c>
      <c r="AS141" s="9">
        <v>305</v>
      </c>
      <c r="AT141" s="9" t="str">
        <f>IFERROR(MID(VLOOKUP($B141,Seqs!$A:$B,2,0),AU141,1),"")</f>
        <v>R</v>
      </c>
      <c r="AU141" s="9">
        <v>328</v>
      </c>
      <c r="AV141" s="9" t="str">
        <f>IFERROR(MID(VLOOKUP($B141,Seqs!$A:$B,2,0),AW141,1),"")</f>
        <v>S</v>
      </c>
      <c r="AW141" s="9">
        <v>329</v>
      </c>
      <c r="AX141" s="9" t="str">
        <f>IFERROR(MID(VLOOKUP($B141,Seqs!$A:$B,2,0),AY141,1),"")</f>
        <v>C</v>
      </c>
      <c r="AY141" s="9">
        <v>341</v>
      </c>
      <c r="AZ141" s="110" t="str">
        <f>VLOOKUP(B141,Classification!A:D,2,0)</f>
        <v>A</v>
      </c>
      <c r="BA141" s="98" t="str">
        <f>VLOOKUP(B141,Classification!A:D,4,0)</f>
        <v>Adrenoceptors</v>
      </c>
      <c r="BB141" s="36" t="b">
        <f t="shared" si="1010"/>
        <v>1</v>
      </c>
      <c r="BC141" s="109">
        <f t="shared" si="1011"/>
        <v>246</v>
      </c>
      <c r="BD141" s="123" t="s">
        <v>23</v>
      </c>
      <c r="BE141" s="9" t="s">
        <v>1374</v>
      </c>
      <c r="BF141" s="119">
        <v>2.4</v>
      </c>
      <c r="BG141" s="51" t="s">
        <v>1</v>
      </c>
      <c r="BH141" s="51" t="s">
        <v>1</v>
      </c>
      <c r="BJ141" s="111" t="s">
        <v>1287</v>
      </c>
      <c r="BK141" s="112" t="s">
        <v>1287</v>
      </c>
      <c r="BL141" s="112" t="s">
        <v>1287</v>
      </c>
      <c r="BM141" s="112" t="s">
        <v>1287</v>
      </c>
      <c r="BN141" s="112" t="s">
        <v>1287</v>
      </c>
      <c r="BO141" s="112" t="s">
        <v>1287</v>
      </c>
      <c r="BP141" s="112" t="s">
        <v>1287</v>
      </c>
      <c r="BQ141" s="112" t="s">
        <v>1287</v>
      </c>
      <c r="BR141" s="112" t="s">
        <v>1287</v>
      </c>
      <c r="BS141" s="112" t="s">
        <v>1287</v>
      </c>
      <c r="BT141" s="112" t="s">
        <v>1287</v>
      </c>
      <c r="BU141" s="112" t="s">
        <v>1287</v>
      </c>
      <c r="BV141" s="111">
        <f t="shared" si="1012"/>
        <v>29</v>
      </c>
      <c r="BW141" s="113">
        <f t="shared" si="1013"/>
        <v>62</v>
      </c>
      <c r="BX141" s="114">
        <f t="shared" si="1014"/>
        <v>66</v>
      </c>
      <c r="BY141" s="113">
        <f t="shared" si="1015"/>
        <v>98</v>
      </c>
      <c r="BZ141" s="114">
        <f t="shared" si="1016"/>
        <v>102</v>
      </c>
      <c r="CA141" s="113" t="str">
        <f t="shared" si="1017"/>
        <v>-</v>
      </c>
      <c r="CB141" s="114">
        <f t="shared" si="1018"/>
        <v>146</v>
      </c>
      <c r="CC141" s="113">
        <f t="shared" si="1019"/>
        <v>191</v>
      </c>
      <c r="CD141" s="114">
        <f t="shared" si="1020"/>
        <v>196</v>
      </c>
      <c r="CE141" s="113">
        <f t="shared" si="1021"/>
        <v>266</v>
      </c>
      <c r="CF141" s="114">
        <f t="shared" si="1022"/>
        <v>305</v>
      </c>
      <c r="CG141" s="113">
        <f t="shared" si="1023"/>
        <v>329</v>
      </c>
      <c r="CH141" s="111">
        <f t="shared" si="1024"/>
        <v>61</v>
      </c>
      <c r="CI141" s="113">
        <f t="shared" si="1025"/>
        <v>65</v>
      </c>
      <c r="CJ141" s="114">
        <f t="shared" si="1026"/>
        <v>96</v>
      </c>
      <c r="CK141" s="114">
        <f t="shared" si="1027"/>
        <v>101</v>
      </c>
      <c r="CL141" s="114">
        <f t="shared" si="1028"/>
        <v>137</v>
      </c>
      <c r="CM141" s="114" t="str">
        <f t="shared" si="1029"/>
        <v>-</v>
      </c>
      <c r="CN141" s="114">
        <f t="shared" si="1030"/>
        <v>172</v>
      </c>
      <c r="CO141" s="114">
        <f t="shared" si="1031"/>
        <v>193</v>
      </c>
      <c r="CP141" s="114">
        <f t="shared" si="1032"/>
        <v>230</v>
      </c>
      <c r="CQ141" s="114">
        <f t="shared" si="1033"/>
        <v>300</v>
      </c>
      <c r="CR141" s="114">
        <f t="shared" si="1034"/>
        <v>328</v>
      </c>
      <c r="CS141" s="114">
        <f t="shared" si="1035"/>
        <v>341</v>
      </c>
      <c r="CT141" s="109">
        <f t="shared" si="1036"/>
        <v>1</v>
      </c>
    </row>
    <row r="142" spans="1:1029" s="12" customFormat="1" x14ac:dyDescent="0.2">
      <c r="A142" s="9" t="str">
        <f t="shared" si="1009"/>
        <v>adrb2_human_6PS3</v>
      </c>
      <c r="B142" s="9" t="s">
        <v>126</v>
      </c>
      <c r="C142" s="9" t="s">
        <v>1611</v>
      </c>
      <c r="D142" s="9" t="str">
        <f>IFERROR(MID(VLOOKUP($B142,Seqs!$A:$B,2,0),E142,1),"")</f>
        <v>D</v>
      </c>
      <c r="E142" s="9">
        <v>29</v>
      </c>
      <c r="F142" s="9" t="str">
        <f>IFERROR(MID(VLOOKUP($B142,Seqs!$A:$B,2,0),G142,1),"")</f>
        <v>F</v>
      </c>
      <c r="G142" s="9">
        <v>61</v>
      </c>
      <c r="H142" s="9" t="str">
        <f>IFERROR(MID(VLOOKUP($B142,Seqs!$A:$B,2,0),I142,1),"")</f>
        <v>E</v>
      </c>
      <c r="I142" s="109">
        <v>62</v>
      </c>
      <c r="J142" s="9" t="str">
        <f>IFERROR(MID(VLOOKUP($B142,Seqs!$A:$B,2,0),K142,1),"")</f>
        <v>Q</v>
      </c>
      <c r="K142" s="109">
        <v>65</v>
      </c>
      <c r="L142" s="9" t="str">
        <f>IFERROR(MID(VLOOKUP($B142,Seqs!$A:$B,2,0),M142,1),"")</f>
        <v>T</v>
      </c>
      <c r="M142" s="9">
        <v>66</v>
      </c>
      <c r="N142" s="9" t="str">
        <f>IFERROR(MID(VLOOKUP($B142,Seqs!$A:$B,2,0),O142,1),"")</f>
        <v>M</v>
      </c>
      <c r="O142" s="9">
        <v>96</v>
      </c>
      <c r="P142" s="9" t="str">
        <f>IFERROR(MID(VLOOKUP($B142,Seqs!$A:$B,2,0),Q142,1),"")</f>
        <v>M</v>
      </c>
      <c r="Q142" s="9">
        <v>98</v>
      </c>
      <c r="R142" s="9" t="str">
        <f>IFERROR(MID(VLOOKUP($B142,Seqs!$A:$B,2,0),S142,1),"")</f>
        <v>F</v>
      </c>
      <c r="S142" s="9">
        <v>101</v>
      </c>
      <c r="T142" s="9" t="str">
        <f>IFERROR(MID(VLOOKUP($B142,Seqs!$A:$B,2,0),U142,1),"")</f>
        <v>G</v>
      </c>
      <c r="U142" s="9">
        <v>102</v>
      </c>
      <c r="V142" s="9" t="str">
        <f>IFERROR(MID(VLOOKUP($B142,Seqs!$A:$B,2,0),W142,1),"")</f>
        <v>S</v>
      </c>
      <c r="W142" s="9">
        <v>137</v>
      </c>
      <c r="X142" s="9" t="str">
        <f>IFERROR(MID(VLOOKUP($B142,Seqs!$A:$B,2,0),Y142,1),"")</f>
        <v/>
      </c>
      <c r="Y142" s="9" t="s">
        <v>23</v>
      </c>
      <c r="Z142" s="9" t="str">
        <f>IFERROR(MID(VLOOKUP($B142,Seqs!$A:$B,2,0),AA142,1),"")</f>
        <v/>
      </c>
      <c r="AA142" s="9" t="s">
        <v>23</v>
      </c>
      <c r="AB142" s="9" t="str">
        <f>IFERROR(MID(VLOOKUP($B142,Seqs!$A:$B,2,0),AC142,1),"")</f>
        <v>T</v>
      </c>
      <c r="AC142" s="9">
        <v>146</v>
      </c>
      <c r="AD142" s="9" t="str">
        <f>IFERROR(MID(VLOOKUP($B142,Seqs!$A:$B,2,0),AE142,1),"")</f>
        <v>H</v>
      </c>
      <c r="AE142" s="9">
        <v>172</v>
      </c>
      <c r="AF142" s="9" t="str">
        <f>IFERROR(MID(VLOOKUP($B142,Seqs!$A:$B,2,0),AG142,1),"")</f>
        <v>C</v>
      </c>
      <c r="AG142" s="9">
        <v>191</v>
      </c>
      <c r="AH142" s="9" t="str">
        <f>IFERROR(MID(VLOOKUP($B142,Seqs!$A:$B,2,0),AI142,1),"")</f>
        <v>F</v>
      </c>
      <c r="AI142" s="9">
        <v>193</v>
      </c>
      <c r="AJ142" s="9" t="str">
        <f>IFERROR(MID(VLOOKUP($B142,Seqs!$A:$B,2,0),AK142,1),"")</f>
        <v>N</v>
      </c>
      <c r="AK142" s="9">
        <v>196</v>
      </c>
      <c r="AL142" s="9" t="str">
        <f>IFERROR(MID(VLOOKUP($B142,Seqs!$A:$B,2,0),AM142,1),"")</f>
        <v>L</v>
      </c>
      <c r="AM142" s="9">
        <v>230</v>
      </c>
      <c r="AN142" s="9" t="str">
        <f>IFERROR(MID(VLOOKUP($B142,Seqs!$A:$B,2,0),AO142,1),"")</f>
        <v>L</v>
      </c>
      <c r="AO142" s="9">
        <v>266</v>
      </c>
      <c r="AP142" s="9" t="str">
        <f>IFERROR(MID(VLOOKUP($B142,Seqs!$A:$B,2,0),AQ142,1),"")</f>
        <v>D</v>
      </c>
      <c r="AQ142" s="9">
        <v>300</v>
      </c>
      <c r="AR142" s="9" t="str">
        <f>IFERROR(MID(VLOOKUP($B142,Seqs!$A:$B,2,0),AS142,1),"")</f>
        <v>K</v>
      </c>
      <c r="AS142" s="9">
        <v>305</v>
      </c>
      <c r="AT142" s="9" t="str">
        <f>IFERROR(MID(VLOOKUP($B142,Seqs!$A:$B,2,0),AU142,1),"")</f>
        <v>R</v>
      </c>
      <c r="AU142" s="9">
        <v>328</v>
      </c>
      <c r="AV142" s="9" t="str">
        <f>IFERROR(MID(VLOOKUP($B142,Seqs!$A:$B,2,0),AW142,1),"")</f>
        <v>S</v>
      </c>
      <c r="AW142" s="9">
        <v>329</v>
      </c>
      <c r="AX142" s="9" t="str">
        <f>IFERROR(MID(VLOOKUP($B142,Seqs!$A:$B,2,0),AY142,1),"")</f>
        <v>C</v>
      </c>
      <c r="AY142" s="9">
        <v>341</v>
      </c>
      <c r="AZ142" s="110" t="str">
        <f>VLOOKUP(B142,Classification!A:D,2,0)</f>
        <v>A</v>
      </c>
      <c r="BA142" s="98" t="str">
        <f>VLOOKUP(B142,Classification!A:D,4,0)</f>
        <v>Adrenoceptors</v>
      </c>
      <c r="BB142" s="36" t="b">
        <f t="shared" si="1010"/>
        <v>1</v>
      </c>
      <c r="BC142" s="109">
        <f t="shared" si="1011"/>
        <v>246</v>
      </c>
      <c r="BD142" s="123" t="s">
        <v>23</v>
      </c>
      <c r="BE142" s="9" t="s">
        <v>1374</v>
      </c>
      <c r="BF142" s="119">
        <v>2.5</v>
      </c>
      <c r="BG142" s="51" t="s">
        <v>1</v>
      </c>
      <c r="BH142" s="51" t="s">
        <v>1</v>
      </c>
      <c r="BJ142" s="111" t="s">
        <v>1287</v>
      </c>
      <c r="BK142" s="112" t="s">
        <v>1287</v>
      </c>
      <c r="BL142" s="112" t="s">
        <v>1287</v>
      </c>
      <c r="BM142" s="112" t="s">
        <v>1287</v>
      </c>
      <c r="BN142" s="112" t="s">
        <v>1287</v>
      </c>
      <c r="BO142" s="112" t="s">
        <v>1287</v>
      </c>
      <c r="BP142" s="112" t="s">
        <v>1287</v>
      </c>
      <c r="BQ142" s="112" t="s">
        <v>1287</v>
      </c>
      <c r="BR142" s="112" t="s">
        <v>1287</v>
      </c>
      <c r="BS142" s="112" t="s">
        <v>1287</v>
      </c>
      <c r="BT142" s="112" t="s">
        <v>1287</v>
      </c>
      <c r="BU142" s="112" t="s">
        <v>1287</v>
      </c>
      <c r="BV142" s="111">
        <f t="shared" si="1012"/>
        <v>29</v>
      </c>
      <c r="BW142" s="113">
        <f t="shared" si="1013"/>
        <v>62</v>
      </c>
      <c r="BX142" s="114">
        <f t="shared" si="1014"/>
        <v>66</v>
      </c>
      <c r="BY142" s="113">
        <f t="shared" si="1015"/>
        <v>98</v>
      </c>
      <c r="BZ142" s="114">
        <f t="shared" si="1016"/>
        <v>102</v>
      </c>
      <c r="CA142" s="113" t="str">
        <f t="shared" si="1017"/>
        <v>-</v>
      </c>
      <c r="CB142" s="114">
        <f t="shared" si="1018"/>
        <v>146</v>
      </c>
      <c r="CC142" s="113">
        <f t="shared" si="1019"/>
        <v>191</v>
      </c>
      <c r="CD142" s="114">
        <f t="shared" si="1020"/>
        <v>196</v>
      </c>
      <c r="CE142" s="113">
        <f t="shared" si="1021"/>
        <v>266</v>
      </c>
      <c r="CF142" s="114">
        <f t="shared" si="1022"/>
        <v>305</v>
      </c>
      <c r="CG142" s="113">
        <f t="shared" si="1023"/>
        <v>329</v>
      </c>
      <c r="CH142" s="111">
        <f t="shared" si="1024"/>
        <v>61</v>
      </c>
      <c r="CI142" s="113">
        <f t="shared" si="1025"/>
        <v>65</v>
      </c>
      <c r="CJ142" s="114">
        <f t="shared" si="1026"/>
        <v>96</v>
      </c>
      <c r="CK142" s="114">
        <f t="shared" si="1027"/>
        <v>101</v>
      </c>
      <c r="CL142" s="114">
        <f t="shared" si="1028"/>
        <v>137</v>
      </c>
      <c r="CM142" s="114" t="str">
        <f t="shared" si="1029"/>
        <v>-</v>
      </c>
      <c r="CN142" s="114">
        <f t="shared" si="1030"/>
        <v>172</v>
      </c>
      <c r="CO142" s="114">
        <f t="shared" si="1031"/>
        <v>193</v>
      </c>
      <c r="CP142" s="114">
        <f t="shared" si="1032"/>
        <v>230</v>
      </c>
      <c r="CQ142" s="114">
        <f t="shared" si="1033"/>
        <v>300</v>
      </c>
      <c r="CR142" s="114">
        <f t="shared" si="1034"/>
        <v>328</v>
      </c>
      <c r="CS142" s="114">
        <f t="shared" si="1035"/>
        <v>341</v>
      </c>
      <c r="CT142" s="109">
        <f t="shared" si="1036"/>
        <v>1</v>
      </c>
    </row>
    <row r="143" spans="1:1029" s="12" customFormat="1" x14ac:dyDescent="0.2">
      <c r="A143" s="9" t="str">
        <f t="shared" si="1009"/>
        <v>adrb2_human_6PS4</v>
      </c>
      <c r="B143" s="9" t="s">
        <v>126</v>
      </c>
      <c r="C143" s="9" t="s">
        <v>1612</v>
      </c>
      <c r="D143" s="9" t="str">
        <f>IFERROR(MID(VLOOKUP($B143,Seqs!$A:$B,2,0),E143,1),"")</f>
        <v>D</v>
      </c>
      <c r="E143" s="9">
        <v>29</v>
      </c>
      <c r="F143" s="9" t="str">
        <f>IFERROR(MID(VLOOKUP($B143,Seqs!$A:$B,2,0),G143,1),"")</f>
        <v>F</v>
      </c>
      <c r="G143" s="9">
        <v>61</v>
      </c>
      <c r="H143" s="9" t="str">
        <f>IFERROR(MID(VLOOKUP($B143,Seqs!$A:$B,2,0),I143,1),"")</f>
        <v>E</v>
      </c>
      <c r="I143" s="109">
        <v>62</v>
      </c>
      <c r="J143" s="9" t="str">
        <f>IFERROR(MID(VLOOKUP($B143,Seqs!$A:$B,2,0),K143,1),"")</f>
        <v>Q</v>
      </c>
      <c r="K143" s="109">
        <v>65</v>
      </c>
      <c r="L143" s="9" t="str">
        <f>IFERROR(MID(VLOOKUP($B143,Seqs!$A:$B,2,0),M143,1),"")</f>
        <v>T</v>
      </c>
      <c r="M143" s="9">
        <v>66</v>
      </c>
      <c r="N143" s="9" t="str">
        <f>IFERROR(MID(VLOOKUP($B143,Seqs!$A:$B,2,0),O143,1),"")</f>
        <v>M</v>
      </c>
      <c r="O143" s="9">
        <v>96</v>
      </c>
      <c r="P143" s="9" t="str">
        <f>IFERROR(MID(VLOOKUP($B143,Seqs!$A:$B,2,0),Q143,1),"")</f>
        <v>M</v>
      </c>
      <c r="Q143" s="9">
        <v>98</v>
      </c>
      <c r="R143" s="9" t="str">
        <f>IFERROR(MID(VLOOKUP($B143,Seqs!$A:$B,2,0),S143,1),"")</f>
        <v>F</v>
      </c>
      <c r="S143" s="9">
        <v>101</v>
      </c>
      <c r="T143" s="9" t="str">
        <f>IFERROR(MID(VLOOKUP($B143,Seqs!$A:$B,2,0),U143,1),"")</f>
        <v>G</v>
      </c>
      <c r="U143" s="9">
        <v>102</v>
      </c>
      <c r="V143" s="9" t="str">
        <f>IFERROR(MID(VLOOKUP($B143,Seqs!$A:$B,2,0),W143,1),"")</f>
        <v>S</v>
      </c>
      <c r="W143" s="9">
        <v>137</v>
      </c>
      <c r="X143" s="9" t="str">
        <f>IFERROR(MID(VLOOKUP($B143,Seqs!$A:$B,2,0),Y143,1),"")</f>
        <v/>
      </c>
      <c r="Y143" s="9" t="s">
        <v>23</v>
      </c>
      <c r="Z143" s="9" t="str">
        <f>IFERROR(MID(VLOOKUP($B143,Seqs!$A:$B,2,0),AA143,1),"")</f>
        <v/>
      </c>
      <c r="AA143" s="9" t="s">
        <v>23</v>
      </c>
      <c r="AB143" s="9" t="str">
        <f>IFERROR(MID(VLOOKUP($B143,Seqs!$A:$B,2,0),AC143,1),"")</f>
        <v>T</v>
      </c>
      <c r="AC143" s="9">
        <v>146</v>
      </c>
      <c r="AD143" s="9" t="str">
        <f>IFERROR(MID(VLOOKUP($B143,Seqs!$A:$B,2,0),AE143,1),"")</f>
        <v>H</v>
      </c>
      <c r="AE143" s="9">
        <v>172</v>
      </c>
      <c r="AF143" s="9" t="str">
        <f>IFERROR(MID(VLOOKUP($B143,Seqs!$A:$B,2,0),AG143,1),"")</f>
        <v>C</v>
      </c>
      <c r="AG143" s="9">
        <v>191</v>
      </c>
      <c r="AH143" s="9" t="str">
        <f>IFERROR(MID(VLOOKUP($B143,Seqs!$A:$B,2,0),AI143,1),"")</f>
        <v>F</v>
      </c>
      <c r="AI143" s="9">
        <v>193</v>
      </c>
      <c r="AJ143" s="9" t="str">
        <f>IFERROR(MID(VLOOKUP($B143,Seqs!$A:$B,2,0),AK143,1),"")</f>
        <v>N</v>
      </c>
      <c r="AK143" s="9">
        <v>196</v>
      </c>
      <c r="AL143" s="9" t="str">
        <f>IFERROR(MID(VLOOKUP($B143,Seqs!$A:$B,2,0),AM143,1),"")</f>
        <v>L</v>
      </c>
      <c r="AM143" s="9">
        <v>230</v>
      </c>
      <c r="AN143" s="9" t="str">
        <f>IFERROR(MID(VLOOKUP($B143,Seqs!$A:$B,2,0),AO143,1),"")</f>
        <v>L</v>
      </c>
      <c r="AO143" s="9">
        <v>266</v>
      </c>
      <c r="AP143" s="9" t="str">
        <f>IFERROR(MID(VLOOKUP($B143,Seqs!$A:$B,2,0),AQ143,1),"")</f>
        <v>D</v>
      </c>
      <c r="AQ143" s="9">
        <v>300</v>
      </c>
      <c r="AR143" s="9" t="str">
        <f>IFERROR(MID(VLOOKUP($B143,Seqs!$A:$B,2,0),AS143,1),"")</f>
        <v>K</v>
      </c>
      <c r="AS143" s="9">
        <v>305</v>
      </c>
      <c r="AT143" s="9" t="str">
        <f>IFERROR(MID(VLOOKUP($B143,Seqs!$A:$B,2,0),AU143,1),"")</f>
        <v>R</v>
      </c>
      <c r="AU143" s="9">
        <v>328</v>
      </c>
      <c r="AV143" s="9" t="str">
        <f>IFERROR(MID(VLOOKUP($B143,Seqs!$A:$B,2,0),AW143,1),"")</f>
        <v>S</v>
      </c>
      <c r="AW143" s="9">
        <v>329</v>
      </c>
      <c r="AX143" s="9" t="str">
        <f>IFERROR(MID(VLOOKUP($B143,Seqs!$A:$B,2,0),AY143,1),"")</f>
        <v>C</v>
      </c>
      <c r="AY143" s="9">
        <v>341</v>
      </c>
      <c r="AZ143" s="110" t="str">
        <f>VLOOKUP(B143,Classification!A:D,2,0)</f>
        <v>A</v>
      </c>
      <c r="BA143" s="98" t="str">
        <f>VLOOKUP(B143,Classification!A:D,4,0)</f>
        <v>Adrenoceptors</v>
      </c>
      <c r="BB143" s="36" t="b">
        <f t="shared" si="1010"/>
        <v>1</v>
      </c>
      <c r="BC143" s="109">
        <f t="shared" si="1011"/>
        <v>246</v>
      </c>
      <c r="BD143" s="123" t="s">
        <v>23</v>
      </c>
      <c r="BE143" s="9" t="s">
        <v>1374</v>
      </c>
      <c r="BF143" s="119">
        <v>2.6</v>
      </c>
      <c r="BG143" s="51" t="s">
        <v>1</v>
      </c>
      <c r="BH143" s="51" t="s">
        <v>1</v>
      </c>
      <c r="BJ143" s="111" t="s">
        <v>1287</v>
      </c>
      <c r="BK143" s="112" t="s">
        <v>1287</v>
      </c>
      <c r="BL143" s="112" t="s">
        <v>1287</v>
      </c>
      <c r="BM143" s="112" t="s">
        <v>1287</v>
      </c>
      <c r="BN143" s="112" t="s">
        <v>1287</v>
      </c>
      <c r="BO143" s="112" t="s">
        <v>1287</v>
      </c>
      <c r="BP143" s="112" t="s">
        <v>1287</v>
      </c>
      <c r="BQ143" s="112" t="s">
        <v>1287</v>
      </c>
      <c r="BR143" s="112" t="s">
        <v>1287</v>
      </c>
      <c r="BS143" s="112" t="s">
        <v>1287</v>
      </c>
      <c r="BT143" s="112" t="s">
        <v>1287</v>
      </c>
      <c r="BU143" s="112" t="s">
        <v>1287</v>
      </c>
      <c r="BV143" s="111">
        <f t="shared" si="1012"/>
        <v>29</v>
      </c>
      <c r="BW143" s="113">
        <f t="shared" si="1013"/>
        <v>62</v>
      </c>
      <c r="BX143" s="114">
        <f t="shared" si="1014"/>
        <v>66</v>
      </c>
      <c r="BY143" s="113">
        <f t="shared" si="1015"/>
        <v>98</v>
      </c>
      <c r="BZ143" s="114">
        <f t="shared" si="1016"/>
        <v>102</v>
      </c>
      <c r="CA143" s="113" t="str">
        <f t="shared" si="1017"/>
        <v>-</v>
      </c>
      <c r="CB143" s="114">
        <f t="shared" si="1018"/>
        <v>146</v>
      </c>
      <c r="CC143" s="113">
        <f t="shared" si="1019"/>
        <v>191</v>
      </c>
      <c r="CD143" s="114">
        <f t="shared" si="1020"/>
        <v>196</v>
      </c>
      <c r="CE143" s="113">
        <f t="shared" si="1021"/>
        <v>266</v>
      </c>
      <c r="CF143" s="114">
        <f t="shared" si="1022"/>
        <v>305</v>
      </c>
      <c r="CG143" s="113">
        <f t="shared" si="1023"/>
        <v>329</v>
      </c>
      <c r="CH143" s="111">
        <f t="shared" si="1024"/>
        <v>61</v>
      </c>
      <c r="CI143" s="113">
        <f t="shared" si="1025"/>
        <v>65</v>
      </c>
      <c r="CJ143" s="114">
        <f t="shared" si="1026"/>
        <v>96</v>
      </c>
      <c r="CK143" s="114">
        <f t="shared" si="1027"/>
        <v>101</v>
      </c>
      <c r="CL143" s="114">
        <f t="shared" si="1028"/>
        <v>137</v>
      </c>
      <c r="CM143" s="114" t="str">
        <f t="shared" si="1029"/>
        <v>-</v>
      </c>
      <c r="CN143" s="114">
        <f t="shared" si="1030"/>
        <v>172</v>
      </c>
      <c r="CO143" s="114">
        <f t="shared" si="1031"/>
        <v>193</v>
      </c>
      <c r="CP143" s="114">
        <f t="shared" si="1032"/>
        <v>230</v>
      </c>
      <c r="CQ143" s="114">
        <f t="shared" si="1033"/>
        <v>300</v>
      </c>
      <c r="CR143" s="114">
        <f t="shared" si="1034"/>
        <v>328</v>
      </c>
      <c r="CS143" s="114">
        <f t="shared" si="1035"/>
        <v>341</v>
      </c>
      <c r="CT143" s="109">
        <f t="shared" si="1036"/>
        <v>1</v>
      </c>
    </row>
    <row r="144" spans="1:1029" s="12" customFormat="1" x14ac:dyDescent="0.2">
      <c r="A144" s="9" t="str">
        <f t="shared" si="1009"/>
        <v>adrb2_human_6PS5</v>
      </c>
      <c r="B144" s="9" t="s">
        <v>126</v>
      </c>
      <c r="C144" s="9" t="s">
        <v>1613</v>
      </c>
      <c r="D144" s="9" t="str">
        <f>IFERROR(MID(VLOOKUP($B144,Seqs!$A:$B,2,0),E144,1),"")</f>
        <v>D</v>
      </c>
      <c r="E144" s="9">
        <v>29</v>
      </c>
      <c r="F144" s="9" t="str">
        <f>IFERROR(MID(VLOOKUP($B144,Seqs!$A:$B,2,0),G144,1),"")</f>
        <v>F</v>
      </c>
      <c r="G144" s="9">
        <v>61</v>
      </c>
      <c r="H144" s="9" t="str">
        <f>IFERROR(MID(VLOOKUP($B144,Seqs!$A:$B,2,0),I144,1),"")</f>
        <v>E</v>
      </c>
      <c r="I144" s="109">
        <v>62</v>
      </c>
      <c r="J144" s="9" t="str">
        <f>IFERROR(MID(VLOOKUP($B144,Seqs!$A:$B,2,0),K144,1),"")</f>
        <v>Q</v>
      </c>
      <c r="K144" s="109">
        <v>65</v>
      </c>
      <c r="L144" s="9" t="str">
        <f>IFERROR(MID(VLOOKUP($B144,Seqs!$A:$B,2,0),M144,1),"")</f>
        <v>T</v>
      </c>
      <c r="M144" s="9">
        <v>66</v>
      </c>
      <c r="N144" s="9" t="str">
        <f>IFERROR(MID(VLOOKUP($B144,Seqs!$A:$B,2,0),O144,1),"")</f>
        <v>M</v>
      </c>
      <c r="O144" s="9">
        <v>96</v>
      </c>
      <c r="P144" s="9" t="str">
        <f>IFERROR(MID(VLOOKUP($B144,Seqs!$A:$B,2,0),Q144,1),"")</f>
        <v>M</v>
      </c>
      <c r="Q144" s="9">
        <v>98</v>
      </c>
      <c r="R144" s="9" t="str">
        <f>IFERROR(MID(VLOOKUP($B144,Seqs!$A:$B,2,0),S144,1),"")</f>
        <v>F</v>
      </c>
      <c r="S144" s="9">
        <v>101</v>
      </c>
      <c r="T144" s="9" t="str">
        <f>IFERROR(MID(VLOOKUP($B144,Seqs!$A:$B,2,0),U144,1),"")</f>
        <v>G</v>
      </c>
      <c r="U144" s="9">
        <v>102</v>
      </c>
      <c r="V144" s="9" t="str">
        <f>IFERROR(MID(VLOOKUP($B144,Seqs!$A:$B,2,0),W144,1),"")</f>
        <v>S</v>
      </c>
      <c r="W144" s="9">
        <v>137</v>
      </c>
      <c r="X144" s="9" t="str">
        <f>IFERROR(MID(VLOOKUP($B144,Seqs!$A:$B,2,0),Y144,1),"")</f>
        <v/>
      </c>
      <c r="Y144" s="9" t="s">
        <v>23</v>
      </c>
      <c r="Z144" s="9" t="str">
        <f>IFERROR(MID(VLOOKUP($B144,Seqs!$A:$B,2,0),AA144,1),"")</f>
        <v/>
      </c>
      <c r="AA144" s="9" t="s">
        <v>23</v>
      </c>
      <c r="AB144" s="9" t="str">
        <f>IFERROR(MID(VLOOKUP($B144,Seqs!$A:$B,2,0),AC144,1),"")</f>
        <v>T</v>
      </c>
      <c r="AC144" s="9">
        <v>146</v>
      </c>
      <c r="AD144" s="9" t="str">
        <f>IFERROR(MID(VLOOKUP($B144,Seqs!$A:$B,2,0),AE144,1),"")</f>
        <v>H</v>
      </c>
      <c r="AE144" s="9">
        <v>172</v>
      </c>
      <c r="AF144" s="9" t="str">
        <f>IFERROR(MID(VLOOKUP($B144,Seqs!$A:$B,2,0),AG144,1),"")</f>
        <v>C</v>
      </c>
      <c r="AG144" s="9">
        <v>191</v>
      </c>
      <c r="AH144" s="9" t="str">
        <f>IFERROR(MID(VLOOKUP($B144,Seqs!$A:$B,2,0),AI144,1),"")</f>
        <v>F</v>
      </c>
      <c r="AI144" s="9">
        <v>193</v>
      </c>
      <c r="AJ144" s="9" t="str">
        <f>IFERROR(MID(VLOOKUP($B144,Seqs!$A:$B,2,0),AK144,1),"")</f>
        <v>N</v>
      </c>
      <c r="AK144" s="9">
        <v>196</v>
      </c>
      <c r="AL144" s="9" t="str">
        <f>IFERROR(MID(VLOOKUP($B144,Seqs!$A:$B,2,0),AM144,1),"")</f>
        <v>L</v>
      </c>
      <c r="AM144" s="9">
        <v>230</v>
      </c>
      <c r="AN144" s="9" t="str">
        <f>IFERROR(MID(VLOOKUP($B144,Seqs!$A:$B,2,0),AO144,1),"")</f>
        <v>L</v>
      </c>
      <c r="AO144" s="9">
        <v>266</v>
      </c>
      <c r="AP144" s="9" t="str">
        <f>IFERROR(MID(VLOOKUP($B144,Seqs!$A:$B,2,0),AQ144,1),"")</f>
        <v>D</v>
      </c>
      <c r="AQ144" s="9">
        <v>300</v>
      </c>
      <c r="AR144" s="9" t="str">
        <f>IFERROR(MID(VLOOKUP($B144,Seqs!$A:$B,2,0),AS144,1),"")</f>
        <v>K</v>
      </c>
      <c r="AS144" s="9">
        <v>305</v>
      </c>
      <c r="AT144" s="9" t="str">
        <f>IFERROR(MID(VLOOKUP($B144,Seqs!$A:$B,2,0),AU144,1),"")</f>
        <v>R</v>
      </c>
      <c r="AU144" s="9">
        <v>328</v>
      </c>
      <c r="AV144" s="9" t="str">
        <f>IFERROR(MID(VLOOKUP($B144,Seqs!$A:$B,2,0),AW144,1),"")</f>
        <v>S</v>
      </c>
      <c r="AW144" s="9">
        <v>329</v>
      </c>
      <c r="AX144" s="9" t="str">
        <f>IFERROR(MID(VLOOKUP($B144,Seqs!$A:$B,2,0),AY144,1),"")</f>
        <v>C</v>
      </c>
      <c r="AY144" s="9">
        <v>341</v>
      </c>
      <c r="AZ144" s="110" t="str">
        <f>VLOOKUP(B144,Classification!A:D,2,0)</f>
        <v>A</v>
      </c>
      <c r="BA144" s="98" t="str">
        <f>VLOOKUP(B144,Classification!A:D,4,0)</f>
        <v>Adrenoceptors</v>
      </c>
      <c r="BB144" s="36" t="b">
        <f t="shared" si="1010"/>
        <v>1</v>
      </c>
      <c r="BC144" s="109">
        <f t="shared" si="1011"/>
        <v>246</v>
      </c>
      <c r="BD144" s="123" t="s">
        <v>23</v>
      </c>
      <c r="BE144" s="9" t="s">
        <v>1374</v>
      </c>
      <c r="BF144" s="119">
        <v>2.9</v>
      </c>
      <c r="BG144" s="51" t="s">
        <v>1</v>
      </c>
      <c r="BH144" s="51" t="s">
        <v>1</v>
      </c>
      <c r="BJ144" s="111" t="s">
        <v>1287</v>
      </c>
      <c r="BK144" s="112" t="s">
        <v>1287</v>
      </c>
      <c r="BL144" s="112" t="s">
        <v>1287</v>
      </c>
      <c r="BM144" s="112" t="s">
        <v>1287</v>
      </c>
      <c r="BN144" s="112" t="s">
        <v>1287</v>
      </c>
      <c r="BO144" s="112" t="s">
        <v>1287</v>
      </c>
      <c r="BP144" s="112" t="s">
        <v>1287</v>
      </c>
      <c r="BQ144" s="112" t="s">
        <v>1287</v>
      </c>
      <c r="BR144" s="112" t="s">
        <v>1287</v>
      </c>
      <c r="BS144" s="112" t="s">
        <v>1287</v>
      </c>
      <c r="BT144" s="112" t="s">
        <v>1287</v>
      </c>
      <c r="BU144" s="112" t="s">
        <v>1287</v>
      </c>
      <c r="BV144" s="111">
        <f t="shared" si="1012"/>
        <v>29</v>
      </c>
      <c r="BW144" s="113">
        <f t="shared" si="1013"/>
        <v>62</v>
      </c>
      <c r="BX144" s="114">
        <f t="shared" si="1014"/>
        <v>66</v>
      </c>
      <c r="BY144" s="113">
        <f t="shared" si="1015"/>
        <v>98</v>
      </c>
      <c r="BZ144" s="114">
        <f t="shared" si="1016"/>
        <v>102</v>
      </c>
      <c r="CA144" s="113" t="str">
        <f t="shared" si="1017"/>
        <v>-</v>
      </c>
      <c r="CB144" s="114">
        <f t="shared" si="1018"/>
        <v>146</v>
      </c>
      <c r="CC144" s="113">
        <f t="shared" si="1019"/>
        <v>191</v>
      </c>
      <c r="CD144" s="114">
        <f t="shared" si="1020"/>
        <v>196</v>
      </c>
      <c r="CE144" s="113">
        <f t="shared" si="1021"/>
        <v>266</v>
      </c>
      <c r="CF144" s="114">
        <f t="shared" si="1022"/>
        <v>305</v>
      </c>
      <c r="CG144" s="113">
        <f t="shared" si="1023"/>
        <v>329</v>
      </c>
      <c r="CH144" s="111">
        <f t="shared" si="1024"/>
        <v>61</v>
      </c>
      <c r="CI144" s="113">
        <f t="shared" si="1025"/>
        <v>65</v>
      </c>
      <c r="CJ144" s="114">
        <f t="shared" si="1026"/>
        <v>96</v>
      </c>
      <c r="CK144" s="114">
        <f t="shared" si="1027"/>
        <v>101</v>
      </c>
      <c r="CL144" s="114">
        <f t="shared" si="1028"/>
        <v>137</v>
      </c>
      <c r="CM144" s="114" t="str">
        <f t="shared" si="1029"/>
        <v>-</v>
      </c>
      <c r="CN144" s="114">
        <f t="shared" si="1030"/>
        <v>172</v>
      </c>
      <c r="CO144" s="114">
        <f t="shared" si="1031"/>
        <v>193</v>
      </c>
      <c r="CP144" s="114">
        <f t="shared" si="1032"/>
        <v>230</v>
      </c>
      <c r="CQ144" s="114">
        <f t="shared" si="1033"/>
        <v>300</v>
      </c>
      <c r="CR144" s="114">
        <f t="shared" si="1034"/>
        <v>328</v>
      </c>
      <c r="CS144" s="114">
        <f t="shared" si="1035"/>
        <v>341</v>
      </c>
      <c r="CT144" s="109">
        <f t="shared" si="1036"/>
        <v>1</v>
      </c>
    </row>
    <row r="145" spans="1:1029" s="12" customFormat="1" x14ac:dyDescent="0.2">
      <c r="A145" s="9" t="str">
        <f t="shared" si="1009"/>
        <v>adrb2_human_6PS6</v>
      </c>
      <c r="B145" s="9" t="s">
        <v>126</v>
      </c>
      <c r="C145" s="9" t="s">
        <v>1614</v>
      </c>
      <c r="D145" s="9" t="str">
        <f>IFERROR(MID(VLOOKUP($B145,Seqs!$A:$B,2,0),E145,1),"")</f>
        <v>D</v>
      </c>
      <c r="E145" s="9">
        <v>29</v>
      </c>
      <c r="F145" s="9" t="str">
        <f>IFERROR(MID(VLOOKUP($B145,Seqs!$A:$B,2,0),G145,1),"")</f>
        <v>F</v>
      </c>
      <c r="G145" s="9">
        <v>61</v>
      </c>
      <c r="H145" s="9" t="str">
        <f>IFERROR(MID(VLOOKUP($B145,Seqs!$A:$B,2,0),I145,1),"")</f>
        <v>E</v>
      </c>
      <c r="I145" s="109">
        <v>62</v>
      </c>
      <c r="J145" s="9" t="str">
        <f>IFERROR(MID(VLOOKUP($B145,Seqs!$A:$B,2,0),K145,1),"")</f>
        <v>Q</v>
      </c>
      <c r="K145" s="109">
        <v>65</v>
      </c>
      <c r="L145" s="9" t="str">
        <f>IFERROR(MID(VLOOKUP($B145,Seqs!$A:$B,2,0),M145,1),"")</f>
        <v>T</v>
      </c>
      <c r="M145" s="9">
        <v>66</v>
      </c>
      <c r="N145" s="9" t="str">
        <f>IFERROR(MID(VLOOKUP($B145,Seqs!$A:$B,2,0),O145,1),"")</f>
        <v>M</v>
      </c>
      <c r="O145" s="9">
        <v>96</v>
      </c>
      <c r="P145" s="9" t="str">
        <f>IFERROR(MID(VLOOKUP($B145,Seqs!$A:$B,2,0),Q145,1),"")</f>
        <v>M</v>
      </c>
      <c r="Q145" s="9">
        <v>98</v>
      </c>
      <c r="R145" s="9" t="str">
        <f>IFERROR(MID(VLOOKUP($B145,Seqs!$A:$B,2,0),S145,1),"")</f>
        <v>F</v>
      </c>
      <c r="S145" s="9">
        <v>101</v>
      </c>
      <c r="T145" s="9" t="str">
        <f>IFERROR(MID(VLOOKUP($B145,Seqs!$A:$B,2,0),U145,1),"")</f>
        <v>G</v>
      </c>
      <c r="U145" s="9">
        <v>102</v>
      </c>
      <c r="V145" s="9" t="str">
        <f>IFERROR(MID(VLOOKUP($B145,Seqs!$A:$B,2,0),W145,1),"")</f>
        <v>S</v>
      </c>
      <c r="W145" s="9">
        <v>137</v>
      </c>
      <c r="X145" s="9" t="str">
        <f>IFERROR(MID(VLOOKUP($B145,Seqs!$A:$B,2,0),Y145,1),"")</f>
        <v/>
      </c>
      <c r="Y145" s="9" t="s">
        <v>23</v>
      </c>
      <c r="Z145" s="9" t="str">
        <f>IFERROR(MID(VLOOKUP($B145,Seqs!$A:$B,2,0),AA145,1),"")</f>
        <v/>
      </c>
      <c r="AA145" s="9" t="s">
        <v>23</v>
      </c>
      <c r="AB145" s="9" t="str">
        <f>IFERROR(MID(VLOOKUP($B145,Seqs!$A:$B,2,0),AC145,1),"")</f>
        <v>T</v>
      </c>
      <c r="AC145" s="9">
        <v>146</v>
      </c>
      <c r="AD145" s="9" t="str">
        <f>IFERROR(MID(VLOOKUP($B145,Seqs!$A:$B,2,0),AE145,1),"")</f>
        <v>H</v>
      </c>
      <c r="AE145" s="9">
        <v>172</v>
      </c>
      <c r="AF145" s="9" t="str">
        <f>IFERROR(MID(VLOOKUP($B145,Seqs!$A:$B,2,0),AG145,1),"")</f>
        <v>C</v>
      </c>
      <c r="AG145" s="9">
        <v>191</v>
      </c>
      <c r="AH145" s="9" t="str">
        <f>IFERROR(MID(VLOOKUP($B145,Seqs!$A:$B,2,0),AI145,1),"")</f>
        <v>F</v>
      </c>
      <c r="AI145" s="9">
        <v>193</v>
      </c>
      <c r="AJ145" s="9" t="str">
        <f>IFERROR(MID(VLOOKUP($B145,Seqs!$A:$B,2,0),AK145,1),"")</f>
        <v>N</v>
      </c>
      <c r="AK145" s="9">
        <v>196</v>
      </c>
      <c r="AL145" s="9" t="str">
        <f>IFERROR(MID(VLOOKUP($B145,Seqs!$A:$B,2,0),AM145,1),"")</f>
        <v>L</v>
      </c>
      <c r="AM145" s="9">
        <v>230</v>
      </c>
      <c r="AN145" s="9" t="str">
        <f>IFERROR(MID(VLOOKUP($B145,Seqs!$A:$B,2,0),AO145,1),"")</f>
        <v>L</v>
      </c>
      <c r="AO145" s="9">
        <v>266</v>
      </c>
      <c r="AP145" s="9" t="str">
        <f>IFERROR(MID(VLOOKUP($B145,Seqs!$A:$B,2,0),AQ145,1),"")</f>
        <v>D</v>
      </c>
      <c r="AQ145" s="9">
        <v>300</v>
      </c>
      <c r="AR145" s="9" t="str">
        <f>IFERROR(MID(VLOOKUP($B145,Seqs!$A:$B,2,0),AS145,1),"")</f>
        <v>K</v>
      </c>
      <c r="AS145" s="9">
        <v>305</v>
      </c>
      <c r="AT145" s="9" t="str">
        <f>IFERROR(MID(VLOOKUP($B145,Seqs!$A:$B,2,0),AU145,1),"")</f>
        <v>R</v>
      </c>
      <c r="AU145" s="9">
        <v>328</v>
      </c>
      <c r="AV145" s="9" t="str">
        <f>IFERROR(MID(VLOOKUP($B145,Seqs!$A:$B,2,0),AW145,1),"")</f>
        <v>S</v>
      </c>
      <c r="AW145" s="9">
        <v>329</v>
      </c>
      <c r="AX145" s="9" t="str">
        <f>IFERROR(MID(VLOOKUP($B145,Seqs!$A:$B,2,0),AY145,1),"")</f>
        <v>C</v>
      </c>
      <c r="AY145" s="9">
        <v>341</v>
      </c>
      <c r="AZ145" s="110" t="str">
        <f>VLOOKUP(B145,Classification!A:D,2,0)</f>
        <v>A</v>
      </c>
      <c r="BA145" s="98" t="str">
        <f>VLOOKUP(B145,Classification!A:D,4,0)</f>
        <v>Adrenoceptors</v>
      </c>
      <c r="BB145" s="36" t="b">
        <f t="shared" si="1010"/>
        <v>1</v>
      </c>
      <c r="BC145" s="109">
        <f t="shared" si="1011"/>
        <v>246</v>
      </c>
      <c r="BD145" s="123" t="s">
        <v>23</v>
      </c>
      <c r="BE145" s="9" t="s">
        <v>1374</v>
      </c>
      <c r="BF145" s="119">
        <v>2.7</v>
      </c>
      <c r="BG145" s="51" t="s">
        <v>1</v>
      </c>
      <c r="BH145" s="51" t="s">
        <v>1</v>
      </c>
      <c r="BJ145" s="111" t="s">
        <v>1287</v>
      </c>
      <c r="BK145" s="112" t="s">
        <v>1287</v>
      </c>
      <c r="BL145" s="112" t="s">
        <v>1287</v>
      </c>
      <c r="BM145" s="112" t="s">
        <v>1287</v>
      </c>
      <c r="BN145" s="112" t="s">
        <v>1287</v>
      </c>
      <c r="BO145" s="112" t="s">
        <v>1287</v>
      </c>
      <c r="BP145" s="112" t="s">
        <v>1287</v>
      </c>
      <c r="BQ145" s="112" t="s">
        <v>1287</v>
      </c>
      <c r="BR145" s="112" t="s">
        <v>1287</v>
      </c>
      <c r="BS145" s="112" t="s">
        <v>1287</v>
      </c>
      <c r="BT145" s="112" t="s">
        <v>1287</v>
      </c>
      <c r="BU145" s="112" t="s">
        <v>1287</v>
      </c>
      <c r="BV145" s="111">
        <f t="shared" si="1012"/>
        <v>29</v>
      </c>
      <c r="BW145" s="113">
        <f t="shared" si="1013"/>
        <v>62</v>
      </c>
      <c r="BX145" s="114">
        <f t="shared" si="1014"/>
        <v>66</v>
      </c>
      <c r="BY145" s="113">
        <f t="shared" si="1015"/>
        <v>98</v>
      </c>
      <c r="BZ145" s="114">
        <f t="shared" si="1016"/>
        <v>102</v>
      </c>
      <c r="CA145" s="113" t="str">
        <f t="shared" si="1017"/>
        <v>-</v>
      </c>
      <c r="CB145" s="114">
        <f t="shared" si="1018"/>
        <v>146</v>
      </c>
      <c r="CC145" s="113">
        <f t="shared" si="1019"/>
        <v>191</v>
      </c>
      <c r="CD145" s="114">
        <f t="shared" si="1020"/>
        <v>196</v>
      </c>
      <c r="CE145" s="113">
        <f t="shared" si="1021"/>
        <v>266</v>
      </c>
      <c r="CF145" s="114">
        <f t="shared" si="1022"/>
        <v>305</v>
      </c>
      <c r="CG145" s="113">
        <f t="shared" si="1023"/>
        <v>329</v>
      </c>
      <c r="CH145" s="111">
        <f t="shared" si="1024"/>
        <v>61</v>
      </c>
      <c r="CI145" s="113">
        <f t="shared" si="1025"/>
        <v>65</v>
      </c>
      <c r="CJ145" s="114">
        <f t="shared" si="1026"/>
        <v>96</v>
      </c>
      <c r="CK145" s="114">
        <f t="shared" si="1027"/>
        <v>101</v>
      </c>
      <c r="CL145" s="114">
        <f t="shared" si="1028"/>
        <v>137</v>
      </c>
      <c r="CM145" s="114" t="str">
        <f t="shared" si="1029"/>
        <v>-</v>
      </c>
      <c r="CN145" s="114">
        <f t="shared" si="1030"/>
        <v>172</v>
      </c>
      <c r="CO145" s="114">
        <f t="shared" si="1031"/>
        <v>193</v>
      </c>
      <c r="CP145" s="114">
        <f t="shared" si="1032"/>
        <v>230</v>
      </c>
      <c r="CQ145" s="114">
        <f t="shared" si="1033"/>
        <v>300</v>
      </c>
      <c r="CR145" s="114">
        <f t="shared" si="1034"/>
        <v>328</v>
      </c>
      <c r="CS145" s="114">
        <f t="shared" si="1035"/>
        <v>341</v>
      </c>
      <c r="CT145" s="109">
        <f t="shared" si="1036"/>
        <v>1</v>
      </c>
    </row>
    <row r="146" spans="1:1029" s="12" customFormat="1" x14ac:dyDescent="0.2">
      <c r="A146" s="9" t="str">
        <f>CONCATENATE(B146,"_",C146)</f>
        <v>adrb2_human_6NI3</v>
      </c>
      <c r="B146" s="9" t="s">
        <v>126</v>
      </c>
      <c r="C146" s="9" t="s">
        <v>1617</v>
      </c>
      <c r="D146" s="9" t="str">
        <f>IFERROR(MID(VLOOKUP($B146,Seqs!$A:$B,2,0),E146,1),"")</f>
        <v>V</v>
      </c>
      <c r="E146" s="9">
        <v>31</v>
      </c>
      <c r="F146" s="9" t="str">
        <f>IFERROR(MID(VLOOKUP($B146,Seqs!$A:$B,2,0),G146,1),"")</f>
        <v>K</v>
      </c>
      <c r="G146" s="9">
        <v>60</v>
      </c>
      <c r="H146" s="9" t="str">
        <f>IFERROR(MID(VLOOKUP($B146,Seqs!$A:$B,2,0),I146,1),"")</f>
        <v/>
      </c>
      <c r="I146" s="109" t="s">
        <v>23</v>
      </c>
      <c r="J146" s="9" t="str">
        <f>IFERROR(MID(VLOOKUP($B146,Seqs!$A:$B,2,0),K146,1),"")</f>
        <v/>
      </c>
      <c r="K146" s="109" t="s">
        <v>23</v>
      </c>
      <c r="L146" s="9" t="str">
        <f>IFERROR(MID(VLOOKUP($B146,Seqs!$A:$B,2,0),M146,1),"")</f>
        <v>T</v>
      </c>
      <c r="M146" s="9">
        <v>66</v>
      </c>
      <c r="N146" s="9" t="str">
        <f>IFERROR(MID(VLOOKUP($B146,Seqs!$A:$B,2,0),O146,1),"")</f>
        <v>K</v>
      </c>
      <c r="O146" s="9">
        <v>97</v>
      </c>
      <c r="P146" s="9" t="str">
        <f>IFERROR(MID(VLOOKUP($B146,Seqs!$A:$B,2,0),Q146,1),"")</f>
        <v>M</v>
      </c>
      <c r="Q146" s="9">
        <v>98</v>
      </c>
      <c r="R146" s="9" t="str">
        <f>IFERROR(MID(VLOOKUP($B146,Seqs!$A:$B,2,0),S146,1),"")</f>
        <v>F</v>
      </c>
      <c r="S146" s="9">
        <v>101</v>
      </c>
      <c r="T146" s="9" t="str">
        <f>IFERROR(MID(VLOOKUP($B146,Seqs!$A:$B,2,0),U146,1),"")</f>
        <v>G</v>
      </c>
      <c r="U146" s="9">
        <v>102</v>
      </c>
      <c r="V146" s="9" t="str">
        <f>IFERROR(MID(VLOOKUP($B146,Seqs!$A:$B,2,0),W146,1),"")</f>
        <v>S</v>
      </c>
      <c r="W146" s="9">
        <v>137</v>
      </c>
      <c r="X146" s="9" t="str">
        <f>IFERROR(MID(VLOOKUP($B146,Seqs!$A:$B,2,0),Y146,1),"")</f>
        <v>P</v>
      </c>
      <c r="Y146" s="9">
        <v>138</v>
      </c>
      <c r="Z146" s="9" t="str">
        <f>IFERROR(MID(VLOOKUP($B146,Seqs!$A:$B,2,0),AA146,1),"")</f>
        <v>L</v>
      </c>
      <c r="AA146" s="9">
        <v>145</v>
      </c>
      <c r="AB146" s="9" t="str">
        <f>IFERROR(MID(VLOOKUP($B146,Seqs!$A:$B,2,0),AC146,1),"")</f>
        <v>T</v>
      </c>
      <c r="AC146" s="9">
        <v>146</v>
      </c>
      <c r="AD146" s="9" t="str">
        <f>IFERROR(MID(VLOOKUP($B146,Seqs!$A:$B,2,0),AE146,1),"")</f>
        <v>H</v>
      </c>
      <c r="AE146" s="9">
        <v>172</v>
      </c>
      <c r="AF146" s="9" t="str">
        <f>IFERROR(MID(VLOOKUP($B146,Seqs!$A:$B,2,0),AG146,1),"")</f>
        <v/>
      </c>
      <c r="AG146" s="9" t="s">
        <v>23</v>
      </c>
      <c r="AH146" s="9" t="str">
        <f>IFERROR(MID(VLOOKUP($B146,Seqs!$A:$B,2,0),AI146,1),"")</f>
        <v/>
      </c>
      <c r="AI146" s="9" t="s">
        <v>23</v>
      </c>
      <c r="AJ146" s="9" t="str">
        <f>IFERROR(MID(VLOOKUP($B146,Seqs!$A:$B,2,0),AK146,1),"")</f>
        <v>N</v>
      </c>
      <c r="AK146" s="9">
        <v>196</v>
      </c>
      <c r="AL146" s="9" t="str">
        <f>IFERROR(MID(VLOOKUP($B146,Seqs!$A:$B,2,0),AM146,1),"")</f>
        <v>S</v>
      </c>
      <c r="AM146" s="9">
        <v>236</v>
      </c>
      <c r="AN146" s="9" t="str">
        <f>IFERROR(MID(VLOOKUP($B146,Seqs!$A:$B,2,0),AO146,1),"")</f>
        <v>C</v>
      </c>
      <c r="AO146" s="9">
        <v>265</v>
      </c>
      <c r="AP146" s="9" t="str">
        <f>IFERROR(MID(VLOOKUP($B146,Seqs!$A:$B,2,0),AQ146,1),"")</f>
        <v>Q</v>
      </c>
      <c r="AQ146" s="9">
        <v>299</v>
      </c>
      <c r="AR146" s="9" t="str">
        <f>IFERROR(MID(VLOOKUP($B146,Seqs!$A:$B,2,0),AS146,1),"")</f>
        <v>R</v>
      </c>
      <c r="AS146" s="9">
        <v>304</v>
      </c>
      <c r="AT146" s="9" t="str">
        <f>IFERROR(MID(VLOOKUP($B146,Seqs!$A:$B,2,0),AU146,1),"")</f>
        <v>C</v>
      </c>
      <c r="AU146" s="9">
        <v>327</v>
      </c>
      <c r="AV146" s="9" t="str">
        <f>IFERROR(MID(VLOOKUP($B146,Seqs!$A:$B,2,0),AW146,1),"")</f>
        <v>S</v>
      </c>
      <c r="AW146" s="9">
        <v>329</v>
      </c>
      <c r="AX146" s="9" t="str">
        <f>IFERROR(MID(VLOOKUP($B146,Seqs!$A:$B,2,0),AY146,1),"")</f>
        <v>L</v>
      </c>
      <c r="AY146" s="9">
        <v>340</v>
      </c>
      <c r="AZ146" s="110" t="str">
        <f>VLOOKUP(B146,Classification!A:D,2,0)</f>
        <v>A</v>
      </c>
      <c r="BA146" s="98" t="str">
        <f>VLOOKUP(B146,Classification!A:D,4,0)</f>
        <v>Adrenoceptors</v>
      </c>
      <c r="BB146" s="36" t="b">
        <f t="shared" si="1010"/>
        <v>1</v>
      </c>
      <c r="BC146" s="109">
        <f t="shared" si="1011"/>
        <v>251</v>
      </c>
      <c r="BD146" s="123" t="s">
        <v>23</v>
      </c>
      <c r="BE146" s="9" t="s">
        <v>1374</v>
      </c>
      <c r="BF146" s="119">
        <v>3.8</v>
      </c>
      <c r="BG146" s="51" t="s">
        <v>1422</v>
      </c>
      <c r="BH146" s="51" t="s">
        <v>1422</v>
      </c>
      <c r="BJ146" s="111" t="s">
        <v>1287</v>
      </c>
      <c r="BK146" s="112" t="s">
        <v>1287</v>
      </c>
      <c r="BL146" s="112" t="s">
        <v>1287</v>
      </c>
      <c r="BM146" s="112" t="s">
        <v>1287</v>
      </c>
      <c r="BN146" s="112" t="s">
        <v>1287</v>
      </c>
      <c r="BO146" s="112" t="s">
        <v>1287</v>
      </c>
      <c r="BP146" s="112" t="s">
        <v>1287</v>
      </c>
      <c r="BQ146" s="112" t="s">
        <v>1287</v>
      </c>
      <c r="BR146" s="112" t="s">
        <v>1287</v>
      </c>
      <c r="BS146" s="112" t="s">
        <v>1287</v>
      </c>
      <c r="BT146" s="112" t="s">
        <v>1287</v>
      </c>
      <c r="BU146" s="112" t="s">
        <v>1287</v>
      </c>
      <c r="BV146" s="111">
        <f t="shared" si="1012"/>
        <v>31</v>
      </c>
      <c r="BW146" s="113" t="str">
        <f t="shared" si="1013"/>
        <v>-</v>
      </c>
      <c r="BX146" s="114">
        <f t="shared" si="1014"/>
        <v>66</v>
      </c>
      <c r="BY146" s="113">
        <f t="shared" si="1015"/>
        <v>98</v>
      </c>
      <c r="BZ146" s="114">
        <f t="shared" si="1016"/>
        <v>102</v>
      </c>
      <c r="CA146" s="113">
        <f t="shared" si="1017"/>
        <v>138</v>
      </c>
      <c r="CB146" s="114">
        <f t="shared" si="1018"/>
        <v>146</v>
      </c>
      <c r="CC146" s="113" t="str">
        <f t="shared" si="1019"/>
        <v>-</v>
      </c>
      <c r="CD146" s="114">
        <f t="shared" si="1020"/>
        <v>196</v>
      </c>
      <c r="CE146" s="113">
        <f t="shared" si="1021"/>
        <v>265</v>
      </c>
      <c r="CF146" s="114">
        <f t="shared" si="1022"/>
        <v>304</v>
      </c>
      <c r="CG146" s="113">
        <f t="shared" si="1023"/>
        <v>329</v>
      </c>
      <c r="CH146" s="111">
        <f t="shared" si="1024"/>
        <v>60</v>
      </c>
      <c r="CI146" s="113" t="str">
        <f t="shared" si="1025"/>
        <v>-</v>
      </c>
      <c r="CJ146" s="114">
        <f t="shared" si="1026"/>
        <v>97</v>
      </c>
      <c r="CK146" s="114">
        <f t="shared" si="1027"/>
        <v>101</v>
      </c>
      <c r="CL146" s="114">
        <f t="shared" si="1028"/>
        <v>137</v>
      </c>
      <c r="CM146" s="114">
        <f t="shared" si="1029"/>
        <v>145</v>
      </c>
      <c r="CN146" s="114">
        <f t="shared" si="1030"/>
        <v>172</v>
      </c>
      <c r="CO146" s="114" t="str">
        <f t="shared" si="1031"/>
        <v>-</v>
      </c>
      <c r="CP146" s="114">
        <f t="shared" si="1032"/>
        <v>236</v>
      </c>
      <c r="CQ146" s="114">
        <f t="shared" si="1033"/>
        <v>299</v>
      </c>
      <c r="CR146" s="114">
        <f t="shared" si="1034"/>
        <v>327</v>
      </c>
      <c r="CS146" s="114">
        <f t="shared" si="1035"/>
        <v>340</v>
      </c>
      <c r="CT146" s="109" t="e">
        <f t="shared" si="1036"/>
        <v>#VALUE!</v>
      </c>
    </row>
    <row r="147" spans="1:1029" s="12" customFormat="1" x14ac:dyDescent="0.2">
      <c r="A147" s="9" t="str">
        <f>CONCATENATE(B147,"_",C147)</f>
        <v>adrb2_human_6OBA</v>
      </c>
      <c r="B147" s="9" t="s">
        <v>126</v>
      </c>
      <c r="C147" s="9" t="s">
        <v>1658</v>
      </c>
      <c r="D147" s="9" t="str">
        <f>IFERROR(MID(VLOOKUP($B147,Seqs!$A:$B,2,0),E147,1),"")</f>
        <v>W</v>
      </c>
      <c r="E147" s="9">
        <v>32</v>
      </c>
      <c r="F147" s="9" t="str">
        <f>IFERROR(MID(VLOOKUP($B147,Seqs!$A:$B,2,0),G147,1),"")</f>
        <v>F</v>
      </c>
      <c r="G147" s="9">
        <v>61</v>
      </c>
      <c r="H147" s="9" t="str">
        <f>IFERROR(MID(VLOOKUP($B147,Seqs!$A:$B,2,0),I147,1),"")</f>
        <v>E</v>
      </c>
      <c r="I147" s="109">
        <v>62</v>
      </c>
      <c r="J147" s="9" t="str">
        <f>IFERROR(MID(VLOOKUP($B147,Seqs!$A:$B,2,0),K147,1),"")</f>
        <v>Q</v>
      </c>
      <c r="K147" s="109">
        <v>65</v>
      </c>
      <c r="L147" s="9" t="str">
        <f>IFERROR(MID(VLOOKUP($B147,Seqs!$A:$B,2,0),M147,1),"")</f>
        <v>T</v>
      </c>
      <c r="M147" s="9">
        <v>66</v>
      </c>
      <c r="N147" s="9" t="str">
        <f>IFERROR(MID(VLOOKUP($B147,Seqs!$A:$B,2,0),O147,1),"")</f>
        <v>K</v>
      </c>
      <c r="O147" s="9">
        <v>97</v>
      </c>
      <c r="P147" s="9" t="str">
        <f>IFERROR(MID(VLOOKUP($B147,Seqs!$A:$B,2,0),Q147,1),"")</f>
        <v>M</v>
      </c>
      <c r="Q147" s="9">
        <v>98</v>
      </c>
      <c r="R147" s="9" t="str">
        <f>IFERROR(MID(VLOOKUP($B147,Seqs!$A:$B,2,0),S147,1),"")</f>
        <v>F</v>
      </c>
      <c r="S147" s="9">
        <v>101</v>
      </c>
      <c r="T147" s="9" t="str">
        <f>IFERROR(MID(VLOOKUP($B147,Seqs!$A:$B,2,0),U147,1),"")</f>
        <v>G</v>
      </c>
      <c r="U147" s="9">
        <v>102</v>
      </c>
      <c r="V147" s="9" t="str">
        <f>IFERROR(MID(VLOOKUP($B147,Seqs!$A:$B,2,0),W147,1),"")</f>
        <v>S</v>
      </c>
      <c r="W147" s="9">
        <v>137</v>
      </c>
      <c r="X147" s="9" t="str">
        <f>IFERROR(MID(VLOOKUP($B147,Seqs!$A:$B,2,0),Y147,1),"")</f>
        <v/>
      </c>
      <c r="Y147" s="9" t="s">
        <v>23</v>
      </c>
      <c r="Z147" s="9" t="str">
        <f>IFERROR(MID(VLOOKUP($B147,Seqs!$A:$B,2,0),AA147,1),"")</f>
        <v/>
      </c>
      <c r="AA147" s="9" t="s">
        <v>23</v>
      </c>
      <c r="AB147" s="9" t="str">
        <f>IFERROR(MID(VLOOKUP($B147,Seqs!$A:$B,2,0),AC147,1),"")</f>
        <v>T</v>
      </c>
      <c r="AC147" s="9">
        <v>146</v>
      </c>
      <c r="AD147" s="9" t="str">
        <f>IFERROR(MID(VLOOKUP($B147,Seqs!$A:$B,2,0),AE147,1),"")</f>
        <v>H</v>
      </c>
      <c r="AE147" s="9">
        <v>172</v>
      </c>
      <c r="AF147" s="9" t="str">
        <f>IFERROR(MID(VLOOKUP($B147,Seqs!$A:$B,2,0),AG147,1),"")</f>
        <v>C</v>
      </c>
      <c r="AG147" s="9">
        <v>191</v>
      </c>
      <c r="AH147" s="9" t="str">
        <f>IFERROR(MID(VLOOKUP($B147,Seqs!$A:$B,2,0),AI147,1),"")</f>
        <v>F</v>
      </c>
      <c r="AI147" s="9">
        <v>193</v>
      </c>
      <c r="AJ147" s="9" t="str">
        <f>IFERROR(MID(VLOOKUP($B147,Seqs!$A:$B,2,0),AK147,1),"")</f>
        <v>N</v>
      </c>
      <c r="AK147" s="9">
        <v>196</v>
      </c>
      <c r="AL147" s="9" t="str">
        <f>IFERROR(MID(VLOOKUP($B147,Seqs!$A:$B,2,0),AM147,1),"")</f>
        <v>Q</v>
      </c>
      <c r="AM147" s="9">
        <v>229</v>
      </c>
      <c r="AN147" s="9" t="str">
        <f>IFERROR(MID(VLOOKUP($B147,Seqs!$A:$B,2,0),AO147,1),"")</f>
        <v>L</v>
      </c>
      <c r="AO147" s="9">
        <v>266</v>
      </c>
      <c r="AP147" s="9" t="str">
        <f>IFERROR(MID(VLOOKUP($B147,Seqs!$A:$B,2,0),AQ147,1),"")</f>
        <v>D</v>
      </c>
      <c r="AQ147" s="9">
        <v>300</v>
      </c>
      <c r="AR147" s="9" t="str">
        <f>IFERROR(MID(VLOOKUP($B147,Seqs!$A:$B,2,0),AS147,1),"")</f>
        <v>R</v>
      </c>
      <c r="AS147" s="9">
        <v>304</v>
      </c>
      <c r="AT147" s="9" t="str">
        <f>IFERROR(MID(VLOOKUP($B147,Seqs!$A:$B,2,0),AU147,1),"")</f>
        <v>R</v>
      </c>
      <c r="AU147" s="9">
        <v>328</v>
      </c>
      <c r="AV147" s="9" t="str">
        <f>IFERROR(MID(VLOOKUP($B147,Seqs!$A:$B,2,0),AW147,1),"")</f>
        <v>S</v>
      </c>
      <c r="AW147" s="9">
        <v>329</v>
      </c>
      <c r="AX147" s="9" t="str">
        <f>IFERROR(MID(VLOOKUP($B147,Seqs!$A:$B,2,0),AY147,1),"")</f>
        <v>C</v>
      </c>
      <c r="AY147" s="9">
        <v>341</v>
      </c>
      <c r="AZ147" s="110" t="str">
        <f>VLOOKUP(B147,Classification!A:D,2,0)</f>
        <v>A</v>
      </c>
      <c r="BA147" s="98" t="str">
        <f>VLOOKUP(B147,Classification!A:D,4,0)</f>
        <v>Adrenoceptors</v>
      </c>
      <c r="BB147" s="36" t="b">
        <f t="shared" ref="BB147" si="1037">AND(E147&lt;G147,OR(G147&lt;I147,I147="-"),OR(I147&lt;K147,I147="-"),OR(K147&lt;M147,K147="-"),M147&lt;O147,OR(O147&lt;Q147,Q147="-"),OR(Q147&lt;S147,Q147="-"),OR(S147&lt;U147,S147="-"),U147&lt;W147,OR(W147&lt;Y147,Y147="-"),OR(Y147&lt;AA147,Y147="-"),OR(AA147&lt;AC147,AA147="-"),AC147&lt;AE147,OR(AE147&lt;AG147,AG147="-"),OR(AG147&lt;AI147,AG147="-"),OR(AI147&lt;AK147,AI147="-"),AK147&lt;AM147,AM147&lt;AO147,AO147&lt;AQ147,AQ147&lt;AS147,AS147&lt;AU147,OR(AU147&lt;AW147,AW147="-"),OR(AW147&lt;AY147,AW147="-"))</f>
        <v>1</v>
      </c>
      <c r="BC147" s="109">
        <f t="shared" ref="BC147" si="1038">_xlfn.AGGREGATE(9,6,CH147:CS147)-_xlfn.AGGREGATE(9,6,BV147:CG147)+12</f>
        <v>244</v>
      </c>
      <c r="BD147" s="123" t="s">
        <v>23</v>
      </c>
      <c r="BE147" s="9" t="s">
        <v>1374</v>
      </c>
      <c r="BF147" s="119">
        <v>3.1</v>
      </c>
      <c r="BG147" s="51" t="s">
        <v>1</v>
      </c>
      <c r="BH147" s="51" t="s">
        <v>1</v>
      </c>
      <c r="BJ147" s="111" t="s">
        <v>1287</v>
      </c>
      <c r="BK147" s="112" t="s">
        <v>1287</v>
      </c>
      <c r="BL147" s="112" t="s">
        <v>1287</v>
      </c>
      <c r="BM147" s="112" t="s">
        <v>1287</v>
      </c>
      <c r="BN147" s="112" t="s">
        <v>1287</v>
      </c>
      <c r="BO147" s="112" t="s">
        <v>1287</v>
      </c>
      <c r="BP147" s="112" t="s">
        <v>1287</v>
      </c>
      <c r="BQ147" s="112" t="s">
        <v>1287</v>
      </c>
      <c r="BR147" s="112" t="s">
        <v>1287</v>
      </c>
      <c r="BS147" s="112" t="s">
        <v>1287</v>
      </c>
      <c r="BT147" s="112" t="s">
        <v>1287</v>
      </c>
      <c r="BU147" s="112" t="s">
        <v>1287</v>
      </c>
      <c r="BV147" s="111">
        <f t="shared" ref="BV147" si="1039">E147</f>
        <v>32</v>
      </c>
      <c r="BW147" s="113">
        <f t="shared" ref="BW147" si="1040">I147</f>
        <v>62</v>
      </c>
      <c r="BX147" s="114">
        <f t="shared" ref="BX147" si="1041">M147</f>
        <v>66</v>
      </c>
      <c r="BY147" s="113">
        <f t="shared" ref="BY147" si="1042">Q147</f>
        <v>98</v>
      </c>
      <c r="BZ147" s="114">
        <f t="shared" ref="BZ147" si="1043">U147</f>
        <v>102</v>
      </c>
      <c r="CA147" s="113" t="str">
        <f t="shared" ref="CA147" si="1044">Y147</f>
        <v>-</v>
      </c>
      <c r="CB147" s="114">
        <f t="shared" ref="CB147" si="1045">AC147</f>
        <v>146</v>
      </c>
      <c r="CC147" s="113">
        <f t="shared" ref="CC147" si="1046">AG147</f>
        <v>191</v>
      </c>
      <c r="CD147" s="114">
        <f t="shared" ref="CD147" si="1047">AK147</f>
        <v>196</v>
      </c>
      <c r="CE147" s="113">
        <f t="shared" ref="CE147" si="1048">AO147</f>
        <v>266</v>
      </c>
      <c r="CF147" s="114">
        <f t="shared" ref="CF147" si="1049">AS147</f>
        <v>304</v>
      </c>
      <c r="CG147" s="113">
        <f t="shared" ref="CG147" si="1050">AW147</f>
        <v>329</v>
      </c>
      <c r="CH147" s="111">
        <f t="shared" ref="CH147" si="1051">G147</f>
        <v>61</v>
      </c>
      <c r="CI147" s="113">
        <f t="shared" ref="CI147" si="1052">K147</f>
        <v>65</v>
      </c>
      <c r="CJ147" s="114">
        <f t="shared" ref="CJ147" si="1053">O147</f>
        <v>97</v>
      </c>
      <c r="CK147" s="114">
        <f t="shared" ref="CK147" si="1054">S147</f>
        <v>101</v>
      </c>
      <c r="CL147" s="114">
        <f t="shared" ref="CL147" si="1055">W147</f>
        <v>137</v>
      </c>
      <c r="CM147" s="114" t="str">
        <f t="shared" ref="CM147" si="1056">AA147</f>
        <v>-</v>
      </c>
      <c r="CN147" s="114">
        <f t="shared" ref="CN147" si="1057">AE147</f>
        <v>172</v>
      </c>
      <c r="CO147" s="114">
        <f t="shared" ref="CO147" si="1058">AI147</f>
        <v>193</v>
      </c>
      <c r="CP147" s="114">
        <f t="shared" ref="CP147" si="1059">AM147</f>
        <v>229</v>
      </c>
      <c r="CQ147" s="114">
        <f t="shared" ref="CQ147" si="1060">AQ147</f>
        <v>300</v>
      </c>
      <c r="CR147" s="114">
        <f t="shared" ref="CR147" si="1061">AU147</f>
        <v>328</v>
      </c>
      <c r="CS147" s="114">
        <f t="shared" ref="CS147" si="1062">AY147</f>
        <v>341</v>
      </c>
      <c r="CT147" s="109">
        <f t="shared" ref="CT147" si="1063">M147-K147</f>
        <v>1</v>
      </c>
    </row>
    <row r="148" spans="1:1029" x14ac:dyDescent="0.2">
      <c r="A148" s="3" t="str">
        <f t="shared" si="1007"/>
        <v>agtr1_human__wt</v>
      </c>
      <c r="B148" s="3" t="s">
        <v>158</v>
      </c>
      <c r="C148" s="3" t="s">
        <v>100</v>
      </c>
      <c r="D148" s="3" t="str">
        <f>IFERROR(MID(VLOOKUP($B148,Seqs!$A:$B,2,0),E148,1),"")</f>
        <v>H</v>
      </c>
      <c r="E148" s="105">
        <v>24</v>
      </c>
      <c r="F148" s="3" t="str">
        <f>IFERROR(MID(VLOOKUP($B148,Seqs!$A:$B,2,0),G148,1),"")</f>
        <v>Y</v>
      </c>
      <c r="G148" s="3">
        <v>56</v>
      </c>
      <c r="H148" s="3" t="str">
        <f>IFERROR(MID(VLOOKUP($B148,Seqs!$A:$B,2,0),I148,1),"")</f>
        <v>M</v>
      </c>
      <c r="I148" s="23">
        <v>57</v>
      </c>
      <c r="J148" s="3" t="str">
        <f>IFERROR(MID(VLOOKUP($B148,Seqs!$A:$B,2,0),K148,1),"")</f>
        <v>K</v>
      </c>
      <c r="K148" s="23">
        <v>60</v>
      </c>
      <c r="L148" s="3" t="str">
        <f>IFERROR(MID(VLOOKUP($B148,Seqs!$A:$B,2,0),M148,1),"")</f>
        <v>T</v>
      </c>
      <c r="M148" s="3">
        <v>61</v>
      </c>
      <c r="N148" s="3" t="str">
        <f>IFERROR(MID(VLOOKUP($B148,Seqs!$A:$B,2,0),O148,1),"")</f>
        <v>E</v>
      </c>
      <c r="O148" s="105">
        <v>91</v>
      </c>
      <c r="P148" s="3" t="str">
        <f>IFERROR(MID(VLOOKUP($B148,Seqs!$A:$B,2,0),Q148,1),"")</f>
        <v>R</v>
      </c>
      <c r="Q148" s="3">
        <v>93</v>
      </c>
      <c r="R148" s="3" t="str">
        <f>IFERROR(MID(VLOOKUP($B148,Seqs!$A:$B,2,0),S148,1),"")</f>
        <v>F</v>
      </c>
      <c r="S148" s="3">
        <v>96</v>
      </c>
      <c r="T148" s="3" t="str">
        <f>IFERROR(MID(VLOOKUP($B148,Seqs!$A:$B,2,0),U148,1),"")</f>
        <v>G</v>
      </c>
      <c r="U148" s="3">
        <v>97</v>
      </c>
      <c r="V148" s="3" t="str">
        <f>IFERROR(MID(VLOOKUP($B148,Seqs!$A:$B,2,0),W148,1),"")</f>
        <v>H</v>
      </c>
      <c r="W148" s="3">
        <v>132</v>
      </c>
      <c r="X148" s="3" t="str">
        <f>IFERROR(MID(VLOOKUP($B148,Seqs!$A:$B,2,0),Y148,1),"")</f>
        <v>P</v>
      </c>
      <c r="Y148" s="3">
        <v>133</v>
      </c>
      <c r="Z148" s="3" t="str">
        <f>IFERROR(MID(VLOOKUP($B148,Seqs!$A:$B,2,0),AA148,1),"")</f>
        <v>R</v>
      </c>
      <c r="AA148" s="3">
        <v>140</v>
      </c>
      <c r="AB148" s="3" t="str">
        <f>IFERROR(MID(VLOOKUP($B148,Seqs!$A:$B,2,0),AC148,1),"")</f>
        <v>T</v>
      </c>
      <c r="AC148" s="9">
        <v>141</v>
      </c>
      <c r="AD148" s="3" t="str">
        <f>IFERROR(MID(VLOOKUP($B148,Seqs!$A:$B,2,0),AE148,1),"")</f>
        <v>R</v>
      </c>
      <c r="AE148" s="3">
        <v>167</v>
      </c>
      <c r="AF148" s="3" t="str">
        <f>IFERROR(MID(VLOOKUP($B148,Seqs!$A:$B,2,0),AG148,1),"")</f>
        <v>C</v>
      </c>
      <c r="AG148" s="3">
        <v>180</v>
      </c>
      <c r="AH148" s="3" t="str">
        <f>IFERROR(MID(VLOOKUP($B148,Seqs!$A:$B,2,0),AI148,1),"")</f>
        <v>F</v>
      </c>
      <c r="AI148" s="3">
        <v>182</v>
      </c>
      <c r="AJ148" s="3" t="str">
        <f>IFERROR(MID(VLOOKUP($B148,Seqs!$A:$B,2,0),AK148,1),"")</f>
        <v>L</v>
      </c>
      <c r="AK148" s="3">
        <v>191</v>
      </c>
      <c r="AL148" s="3" t="str">
        <f>IFERROR(MID(VLOOKUP($B148,Seqs!$A:$B,2,0),AM148,1),"")</f>
        <v>A</v>
      </c>
      <c r="AM148" s="3">
        <v>225</v>
      </c>
      <c r="AN148" s="3" t="str">
        <f>IFERROR(MID(VLOOKUP($B148,Seqs!$A:$B,2,0),AO148,1),"")</f>
        <v>P</v>
      </c>
      <c r="AO148" s="3">
        <v>233</v>
      </c>
      <c r="AP148" s="3" t="str">
        <f>IFERROR(MID(VLOOKUP($B148,Seqs!$A:$B,2,0),AQ148,1),"")</f>
        <v>G</v>
      </c>
      <c r="AQ148" s="3">
        <v>269</v>
      </c>
      <c r="AR148" s="3" t="str">
        <f>IFERROR(MID(VLOOKUP($B148,Seqs!$A:$B,2,0),AS148,1),"")</f>
        <v>D</v>
      </c>
      <c r="AS148" s="3">
        <v>273</v>
      </c>
      <c r="AT148" s="3" t="str">
        <f>IFERROR(MID(VLOOKUP($B148,Seqs!$A:$B,2,0),AU148,1),"")</f>
        <v>L</v>
      </c>
      <c r="AU148" s="3">
        <v>305</v>
      </c>
      <c r="AV148" s="3" t="str">
        <f>IFERROR(MID(VLOOKUP($B148,Seqs!$A:$B,2,0),AW148,1),"")</f>
        <v>G</v>
      </c>
      <c r="AW148" s="3">
        <v>306</v>
      </c>
      <c r="AX148" s="3" t="str">
        <f>IFERROR(MID(VLOOKUP($B148,Seqs!$A:$B,2,0),AY148,1),"")</f>
        <v>I</v>
      </c>
      <c r="AY148" s="3">
        <v>320</v>
      </c>
      <c r="AZ148" s="77" t="str">
        <f>VLOOKUP(B148,Classification!A:D,2,0)</f>
        <v>A</v>
      </c>
      <c r="BA148" s="94" t="str">
        <f>VLOOKUP(B148,Classification!A:D,4,0)</f>
        <v>Angiotensin</v>
      </c>
      <c r="BB148" s="27" t="b">
        <f t="shared" si="1008"/>
        <v>1</v>
      </c>
      <c r="BC148" s="23">
        <f t="shared" si="785"/>
        <v>266</v>
      </c>
      <c r="BD148" s="56" t="s">
        <v>23</v>
      </c>
      <c r="BE148" s="3" t="s">
        <v>23</v>
      </c>
      <c r="BF148" s="118" t="s">
        <v>23</v>
      </c>
      <c r="BG148" s="49" t="s">
        <v>1372</v>
      </c>
      <c r="BH148" s="49" t="s">
        <v>1377</v>
      </c>
      <c r="BI148" s="1"/>
      <c r="BJ148" s="70" t="s">
        <v>1287</v>
      </c>
      <c r="BK148" s="57" t="s">
        <v>1287</v>
      </c>
      <c r="BL148" s="57" t="s">
        <v>1287</v>
      </c>
      <c r="BM148" s="57" t="s">
        <v>1287</v>
      </c>
      <c r="BN148" s="57" t="s">
        <v>1287</v>
      </c>
      <c r="BO148" s="57" t="s">
        <v>1287</v>
      </c>
      <c r="BP148" s="57" t="s">
        <v>1287</v>
      </c>
      <c r="BQ148" s="57" t="s">
        <v>1287</v>
      </c>
      <c r="BR148" s="57" t="s">
        <v>1287</v>
      </c>
      <c r="BS148" s="57" t="s">
        <v>1287</v>
      </c>
      <c r="BT148" s="57" t="s">
        <v>1287</v>
      </c>
      <c r="BU148" s="57" t="s">
        <v>1287</v>
      </c>
      <c r="BV148" s="70">
        <f t="shared" si="786"/>
        <v>24</v>
      </c>
      <c r="BW148" s="71">
        <f t="shared" si="787"/>
        <v>57</v>
      </c>
      <c r="BX148" s="72">
        <f t="shared" si="788"/>
        <v>61</v>
      </c>
      <c r="BY148" s="71">
        <f t="shared" si="789"/>
        <v>93</v>
      </c>
      <c r="BZ148" s="72">
        <f t="shared" si="790"/>
        <v>97</v>
      </c>
      <c r="CA148" s="71">
        <f t="shared" si="791"/>
        <v>133</v>
      </c>
      <c r="CB148" s="72">
        <f t="shared" si="792"/>
        <v>141</v>
      </c>
      <c r="CC148" s="71">
        <f t="shared" si="793"/>
        <v>180</v>
      </c>
      <c r="CD148" s="72">
        <f t="shared" si="794"/>
        <v>191</v>
      </c>
      <c r="CE148" s="71">
        <f t="shared" si="795"/>
        <v>233</v>
      </c>
      <c r="CF148" s="72">
        <f t="shared" si="796"/>
        <v>273</v>
      </c>
      <c r="CG148" s="71">
        <f t="shared" si="797"/>
        <v>306</v>
      </c>
      <c r="CH148" s="70">
        <f t="shared" si="798"/>
        <v>56</v>
      </c>
      <c r="CI148" s="71">
        <f t="shared" si="799"/>
        <v>60</v>
      </c>
      <c r="CJ148" s="72">
        <f t="shared" si="800"/>
        <v>91</v>
      </c>
      <c r="CK148" s="72">
        <f t="shared" si="801"/>
        <v>96</v>
      </c>
      <c r="CL148" s="72">
        <f t="shared" si="802"/>
        <v>132</v>
      </c>
      <c r="CM148" s="72">
        <f t="shared" si="803"/>
        <v>140</v>
      </c>
      <c r="CN148" s="72">
        <f t="shared" si="804"/>
        <v>167</v>
      </c>
      <c r="CO148" s="72">
        <f t="shared" si="805"/>
        <v>182</v>
      </c>
      <c r="CP148" s="72">
        <f t="shared" si="806"/>
        <v>225</v>
      </c>
      <c r="CQ148" s="72">
        <f t="shared" si="807"/>
        <v>269</v>
      </c>
      <c r="CR148" s="72">
        <f t="shared" si="808"/>
        <v>305</v>
      </c>
      <c r="CS148" s="72">
        <f t="shared" si="809"/>
        <v>320</v>
      </c>
      <c r="CT148" s="23">
        <f t="shared" si="810"/>
        <v>1</v>
      </c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  <c r="AML148" s="2"/>
      <c r="AMM148" s="2"/>
      <c r="AMN148" s="2"/>
      <c r="AMO148" s="2"/>
    </row>
    <row r="149" spans="1:1029" x14ac:dyDescent="0.2">
      <c r="A149" s="3" t="str">
        <f t="shared" si="1007"/>
        <v>agtr1_human_4YAY</v>
      </c>
      <c r="B149" s="3" t="s">
        <v>158</v>
      </c>
      <c r="C149" s="3" t="s">
        <v>69</v>
      </c>
      <c r="D149" s="3" t="str">
        <f>IFERROR(MID(VLOOKUP($B149,Seqs!$A:$B,2,0),E149,1),"")</f>
        <v>Y</v>
      </c>
      <c r="E149" s="3">
        <v>26</v>
      </c>
      <c r="F149" s="3" t="str">
        <f>IFERROR(MID(VLOOKUP($B149,Seqs!$A:$B,2,0),G149,1),"")</f>
        <v>Y</v>
      </c>
      <c r="G149" s="3">
        <v>56</v>
      </c>
      <c r="H149" s="3" t="str">
        <f>IFERROR(MID(VLOOKUP($B149,Seqs!$A:$B,2,0),I149,1),"")</f>
        <v>M</v>
      </c>
      <c r="I149" s="23">
        <v>57</v>
      </c>
      <c r="J149" s="3" t="str">
        <f>IFERROR(MID(VLOOKUP($B149,Seqs!$A:$B,2,0),K149,1),"")</f>
        <v>K</v>
      </c>
      <c r="K149" s="23">
        <v>60</v>
      </c>
      <c r="L149" s="3" t="str">
        <f>IFERROR(MID(VLOOKUP($B149,Seqs!$A:$B,2,0),M149,1),"")</f>
        <v>T</v>
      </c>
      <c r="M149" s="3">
        <v>61</v>
      </c>
      <c r="N149" s="3" t="str">
        <f>IFERROR(MID(VLOOKUP($B149,Seqs!$A:$B,2,0),O149,1),"")</f>
        <v>E</v>
      </c>
      <c r="O149" s="3">
        <v>91</v>
      </c>
      <c r="P149" s="3" t="str">
        <f>IFERROR(MID(VLOOKUP($B149,Seqs!$A:$B,2,0),Q149,1),"")</f>
        <v>R</v>
      </c>
      <c r="Q149" s="3">
        <v>93</v>
      </c>
      <c r="R149" s="3" t="str">
        <f>IFERROR(MID(VLOOKUP($B149,Seqs!$A:$B,2,0),S149,1),"")</f>
        <v>F</v>
      </c>
      <c r="S149" s="3">
        <v>96</v>
      </c>
      <c r="T149" s="3" t="str">
        <f>IFERROR(MID(VLOOKUP($B149,Seqs!$A:$B,2,0),U149,1),"")</f>
        <v>G</v>
      </c>
      <c r="U149" s="3">
        <v>97</v>
      </c>
      <c r="V149" s="3" t="str">
        <f>IFERROR(MID(VLOOKUP($B149,Seqs!$A:$B,2,0),W149,1),"")</f>
        <v>H</v>
      </c>
      <c r="W149" s="3">
        <v>132</v>
      </c>
      <c r="X149" s="3" t="str">
        <f>IFERROR(MID(VLOOKUP($B149,Seqs!$A:$B,2,0),Y149,1),"")</f>
        <v/>
      </c>
      <c r="Y149" s="3" t="s">
        <v>23</v>
      </c>
      <c r="Z149" s="3" t="str">
        <f>IFERROR(MID(VLOOKUP($B149,Seqs!$A:$B,2,0),AA149,1),"")</f>
        <v/>
      </c>
      <c r="AA149" s="3" t="s">
        <v>23</v>
      </c>
      <c r="AB149" s="3" t="str">
        <f>IFERROR(MID(VLOOKUP($B149,Seqs!$A:$B,2,0),AC149,1),"")</f>
        <v>R</v>
      </c>
      <c r="AC149" s="9">
        <v>137</v>
      </c>
      <c r="AD149" s="3" t="str">
        <f>IFERROR(MID(VLOOKUP($B149,Seqs!$A:$B,2,0),AE149,1),"")</f>
        <v>R</v>
      </c>
      <c r="AE149" s="3">
        <v>167</v>
      </c>
      <c r="AF149" s="3" t="str">
        <f>IFERROR(MID(VLOOKUP($B149,Seqs!$A:$B,2,0),AG149,1),"")</f>
        <v>C</v>
      </c>
      <c r="AG149" s="3">
        <v>180</v>
      </c>
      <c r="AH149" s="3" t="str">
        <f>IFERROR(MID(VLOOKUP($B149,Seqs!$A:$B,2,0),AI149,1),"")</f>
        <v>F</v>
      </c>
      <c r="AI149" s="3">
        <v>182</v>
      </c>
      <c r="AJ149" s="3" t="str">
        <f>IFERROR(MID(VLOOKUP($B149,Seqs!$A:$B,2,0),AK149,1),"")</f>
        <v>L</v>
      </c>
      <c r="AK149" s="3">
        <v>191</v>
      </c>
      <c r="AL149" s="3" t="str">
        <f>IFERROR(MID(VLOOKUP($B149,Seqs!$A:$B,2,0),AM149,1),"")</f>
        <v>L</v>
      </c>
      <c r="AM149" s="3">
        <v>222</v>
      </c>
      <c r="AN149" s="3" t="str">
        <f>IFERROR(MID(VLOOKUP($B149,Seqs!$A:$B,2,0),AO149,1),"")</f>
        <v>N</v>
      </c>
      <c r="AO149" s="3">
        <v>235</v>
      </c>
      <c r="AP149" s="3" t="str">
        <f>IFERROR(MID(VLOOKUP($B149,Seqs!$A:$B,2,0),AQ149,1),"")</f>
        <v>G</v>
      </c>
      <c r="AQ149" s="3">
        <v>269</v>
      </c>
      <c r="AR149" s="3" t="str">
        <f>IFERROR(MID(VLOOKUP($B149,Seqs!$A:$B,2,0),AS149,1),"")</f>
        <v>D</v>
      </c>
      <c r="AS149" s="3">
        <v>273</v>
      </c>
      <c r="AT149" s="3" t="str">
        <f>IFERROR(MID(VLOOKUP($B149,Seqs!$A:$B,2,0),AU149,1),"")</f>
        <v>N</v>
      </c>
      <c r="AU149" s="3">
        <v>298</v>
      </c>
      <c r="AV149" s="3" t="str">
        <f>IFERROR(MID(VLOOKUP($B149,Seqs!$A:$B,2,0),AW149,1),"")</f>
        <v/>
      </c>
      <c r="AW149" s="3" t="s">
        <v>23</v>
      </c>
      <c r="AX149" s="3" t="str">
        <f>IFERROR(MID(VLOOKUP($B149,Seqs!$A:$B,2,0),AY149,1),"")</f>
        <v/>
      </c>
      <c r="AY149" s="3" t="s">
        <v>23</v>
      </c>
      <c r="AZ149" s="77" t="str">
        <f>VLOOKUP(B149,Classification!A:D,2,0)</f>
        <v>A</v>
      </c>
      <c r="BA149" s="94" t="str">
        <f>VLOOKUP(B149,Classification!A:D,4,0)</f>
        <v>Angiotensin</v>
      </c>
      <c r="BB149" s="27" t="b">
        <f t="shared" si="1008"/>
        <v>1</v>
      </c>
      <c r="BC149" s="23">
        <f t="shared" si="785"/>
        <v>235</v>
      </c>
      <c r="BD149" s="4" t="s">
        <v>23</v>
      </c>
      <c r="BE149" s="3" t="s">
        <v>1374</v>
      </c>
      <c r="BF149" s="118">
        <v>2.9</v>
      </c>
      <c r="BG149" s="49" t="s">
        <v>1377</v>
      </c>
      <c r="BH149" s="49" t="s">
        <v>1377</v>
      </c>
      <c r="BI149" s="1"/>
      <c r="BJ149" s="70" t="s">
        <v>1287</v>
      </c>
      <c r="BK149" s="57" t="s">
        <v>1287</v>
      </c>
      <c r="BL149" s="57" t="s">
        <v>1287</v>
      </c>
      <c r="BM149" s="57" t="s">
        <v>1287</v>
      </c>
      <c r="BN149" s="57" t="s">
        <v>1287</v>
      </c>
      <c r="BO149" s="57" t="s">
        <v>1287</v>
      </c>
      <c r="BP149" s="57" t="s">
        <v>1287</v>
      </c>
      <c r="BQ149" s="57" t="s">
        <v>1287</v>
      </c>
      <c r="BR149" s="57" t="s">
        <v>1287</v>
      </c>
      <c r="BS149" s="57" t="s">
        <v>1287</v>
      </c>
      <c r="BT149" s="57" t="s">
        <v>1287</v>
      </c>
      <c r="BU149" s="57" t="s">
        <v>1287</v>
      </c>
      <c r="BV149" s="70">
        <f t="shared" si="786"/>
        <v>26</v>
      </c>
      <c r="BW149" s="71">
        <f t="shared" si="787"/>
        <v>57</v>
      </c>
      <c r="BX149" s="72">
        <f t="shared" si="788"/>
        <v>61</v>
      </c>
      <c r="BY149" s="71">
        <f t="shared" si="789"/>
        <v>93</v>
      </c>
      <c r="BZ149" s="72">
        <f t="shared" si="790"/>
        <v>97</v>
      </c>
      <c r="CA149" s="71" t="str">
        <f t="shared" si="791"/>
        <v>-</v>
      </c>
      <c r="CB149" s="72">
        <f t="shared" si="792"/>
        <v>137</v>
      </c>
      <c r="CC149" s="71">
        <f t="shared" si="793"/>
        <v>180</v>
      </c>
      <c r="CD149" s="72">
        <f t="shared" si="794"/>
        <v>191</v>
      </c>
      <c r="CE149" s="71">
        <f t="shared" si="795"/>
        <v>235</v>
      </c>
      <c r="CF149" s="72">
        <f t="shared" si="796"/>
        <v>273</v>
      </c>
      <c r="CG149" s="71" t="str">
        <f t="shared" si="797"/>
        <v>-</v>
      </c>
      <c r="CH149" s="70">
        <f t="shared" si="798"/>
        <v>56</v>
      </c>
      <c r="CI149" s="71">
        <f t="shared" si="799"/>
        <v>60</v>
      </c>
      <c r="CJ149" s="72">
        <f t="shared" si="800"/>
        <v>91</v>
      </c>
      <c r="CK149" s="72">
        <f t="shared" si="801"/>
        <v>96</v>
      </c>
      <c r="CL149" s="72">
        <f t="shared" si="802"/>
        <v>132</v>
      </c>
      <c r="CM149" s="72" t="str">
        <f t="shared" si="803"/>
        <v>-</v>
      </c>
      <c r="CN149" s="72">
        <f t="shared" si="804"/>
        <v>167</v>
      </c>
      <c r="CO149" s="72">
        <f t="shared" si="805"/>
        <v>182</v>
      </c>
      <c r="CP149" s="72">
        <f t="shared" si="806"/>
        <v>222</v>
      </c>
      <c r="CQ149" s="72">
        <f t="shared" si="807"/>
        <v>269</v>
      </c>
      <c r="CR149" s="72">
        <f t="shared" si="808"/>
        <v>298</v>
      </c>
      <c r="CS149" s="72" t="str">
        <f t="shared" si="809"/>
        <v>-</v>
      </c>
      <c r="CT149" s="23">
        <f t="shared" si="810"/>
        <v>1</v>
      </c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  <c r="AML149" s="2"/>
      <c r="AMM149" s="2"/>
      <c r="AMN149" s="2"/>
      <c r="AMO149" s="2"/>
    </row>
    <row r="150" spans="1:1029" x14ac:dyDescent="0.2">
      <c r="A150" s="3" t="str">
        <f t="shared" si="1007"/>
        <v>agtr1_human_4YAY_dist</v>
      </c>
      <c r="B150" s="3" t="s">
        <v>158</v>
      </c>
      <c r="C150" s="3" t="s">
        <v>1159</v>
      </c>
      <c r="D150" s="3" t="str">
        <f>IFERROR(MID(VLOOKUP($B150,Seqs!$A:$B,2,0),E150,1),"")</f>
        <v>Y</v>
      </c>
      <c r="E150" s="3">
        <v>26</v>
      </c>
      <c r="F150" s="3" t="str">
        <f>IFERROR(MID(VLOOKUP($B150,Seqs!$A:$B,2,0),G150,1),"")</f>
        <v>Y</v>
      </c>
      <c r="G150" s="3">
        <v>56</v>
      </c>
      <c r="H150" s="3" t="str">
        <f>IFERROR(MID(VLOOKUP($B150,Seqs!$A:$B,2,0),I150,1),"")</f>
        <v>M</v>
      </c>
      <c r="I150" s="23">
        <v>57</v>
      </c>
      <c r="J150" s="3" t="str">
        <f>IFERROR(MID(VLOOKUP($B150,Seqs!$A:$B,2,0),K150,1),"")</f>
        <v>K</v>
      </c>
      <c r="K150" s="23">
        <v>60</v>
      </c>
      <c r="L150" s="3" t="str">
        <f>IFERROR(MID(VLOOKUP($B150,Seqs!$A:$B,2,0),M150,1),"")</f>
        <v>T</v>
      </c>
      <c r="M150" s="3">
        <v>61</v>
      </c>
      <c r="N150" s="3" t="str">
        <f>IFERROR(MID(VLOOKUP($B150,Seqs!$A:$B,2,0),O150,1),"")</f>
        <v>E</v>
      </c>
      <c r="O150" s="3">
        <v>91</v>
      </c>
      <c r="P150" s="3" t="str">
        <f>IFERROR(MID(VLOOKUP($B150,Seqs!$A:$B,2,0),Q150,1),"")</f>
        <v>R</v>
      </c>
      <c r="Q150" s="3">
        <v>93</v>
      </c>
      <c r="R150" s="3" t="str">
        <f>IFERROR(MID(VLOOKUP($B150,Seqs!$A:$B,2,0),S150,1),"")</f>
        <v>F</v>
      </c>
      <c r="S150" s="3">
        <v>96</v>
      </c>
      <c r="T150" s="3" t="str">
        <f>IFERROR(MID(VLOOKUP($B150,Seqs!$A:$B,2,0),U150,1),"")</f>
        <v>G</v>
      </c>
      <c r="U150" s="3">
        <v>97</v>
      </c>
      <c r="V150" s="3" t="str">
        <f>IFERROR(MID(VLOOKUP($B150,Seqs!$A:$B,2,0),W150,1),"")</f>
        <v>H</v>
      </c>
      <c r="W150" s="3">
        <v>132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R</v>
      </c>
      <c r="AC150" s="9">
        <v>137</v>
      </c>
      <c r="AD150" s="3" t="str">
        <f>IFERROR(MID(VLOOKUP($B150,Seqs!$A:$B,2,0),AE150,1),"")</f>
        <v>R</v>
      </c>
      <c r="AE150" s="3">
        <v>167</v>
      </c>
      <c r="AF150" s="3" t="str">
        <f>IFERROR(MID(VLOOKUP($B150,Seqs!$A:$B,2,0),AG150,1),"")</f>
        <v>C</v>
      </c>
      <c r="AG150" s="3">
        <v>180</v>
      </c>
      <c r="AH150" s="3" t="str">
        <f>IFERROR(MID(VLOOKUP($B150,Seqs!$A:$B,2,0),AI150,1),"")</f>
        <v>F</v>
      </c>
      <c r="AI150" s="3">
        <v>182</v>
      </c>
      <c r="AJ150" s="3" t="str">
        <f>IFERROR(MID(VLOOKUP($B150,Seqs!$A:$B,2,0),AK150,1),"")</f>
        <v>L</v>
      </c>
      <c r="AK150" s="3">
        <v>191</v>
      </c>
      <c r="AL150" s="3" t="str">
        <f>IFERROR(MID(VLOOKUP($B150,Seqs!$A:$B,2,0),AM150,1),"")</f>
        <v>L</v>
      </c>
      <c r="AM150" s="3">
        <v>222</v>
      </c>
      <c r="AN150" s="3" t="str">
        <f>IFERROR(MID(VLOOKUP($B150,Seqs!$A:$B,2,0),AO150,1),"")</f>
        <v>N</v>
      </c>
      <c r="AO150" s="3">
        <v>235</v>
      </c>
      <c r="AP150" s="3" t="str">
        <f>IFERROR(MID(VLOOKUP($B150,Seqs!$A:$B,2,0),AQ150,1),"")</f>
        <v>G</v>
      </c>
      <c r="AQ150" s="3">
        <v>269</v>
      </c>
      <c r="AR150" s="3" t="str">
        <f>IFERROR(MID(VLOOKUP($B150,Seqs!$A:$B,2,0),AS150,1),"")</f>
        <v>D</v>
      </c>
      <c r="AS150" s="3">
        <v>273</v>
      </c>
      <c r="AT150" s="3" t="str">
        <f>IFERROR(MID(VLOOKUP($B150,Seqs!$A:$B,2,0),AU150,1),"")</f>
        <v>F</v>
      </c>
      <c r="AU150" s="3">
        <v>304</v>
      </c>
      <c r="AV150" s="3" t="str">
        <f>IFERROR(MID(VLOOKUP($B150,Seqs!$A:$B,2,0),AW150,1),"")</f>
        <v>G</v>
      </c>
      <c r="AW150" s="3">
        <v>306</v>
      </c>
      <c r="AX150" s="3" t="str">
        <f>IFERROR(MID(VLOOKUP($B150,Seqs!$A:$B,2,0),AY150,1),"")</f>
        <v>L</v>
      </c>
      <c r="AY150" s="3">
        <v>317</v>
      </c>
      <c r="AZ150" s="77" t="str">
        <f>VLOOKUP(B150,Classification!A:D,2,0)</f>
        <v>A</v>
      </c>
      <c r="BA150" s="94" t="str">
        <f>VLOOKUP(B150,Classification!A:D,4,0)</f>
        <v>Angiotensin</v>
      </c>
      <c r="BB150" s="27" t="b">
        <f t="shared" si="1008"/>
        <v>1</v>
      </c>
      <c r="BC150" s="23">
        <f t="shared" si="785"/>
        <v>252</v>
      </c>
      <c r="BD150" s="5"/>
      <c r="BE150" s="3" t="s">
        <v>1374</v>
      </c>
      <c r="BF150" s="118">
        <v>2.9</v>
      </c>
      <c r="BG150" s="49" t="s">
        <v>1377</v>
      </c>
      <c r="BH150" s="49" t="s">
        <v>1377</v>
      </c>
      <c r="BI150" s="1"/>
      <c r="BJ150" s="70" t="s">
        <v>1287</v>
      </c>
      <c r="BK150" s="57" t="s">
        <v>1287</v>
      </c>
      <c r="BL150" s="57" t="s">
        <v>1287</v>
      </c>
      <c r="BM150" s="57" t="s">
        <v>1287</v>
      </c>
      <c r="BN150" s="57" t="s">
        <v>1287</v>
      </c>
      <c r="BO150" s="57" t="s">
        <v>1287</v>
      </c>
      <c r="BP150" s="57" t="s">
        <v>1287</v>
      </c>
      <c r="BQ150" s="57" t="s">
        <v>1287</v>
      </c>
      <c r="BR150" s="57" t="s">
        <v>1287</v>
      </c>
      <c r="BS150" s="57" t="s">
        <v>1287</v>
      </c>
      <c r="BT150" s="57" t="s">
        <v>1287</v>
      </c>
      <c r="BU150" s="57" t="s">
        <v>1287</v>
      </c>
      <c r="BV150" s="70">
        <f t="shared" si="786"/>
        <v>26</v>
      </c>
      <c r="BW150" s="71">
        <f t="shared" si="787"/>
        <v>57</v>
      </c>
      <c r="BX150" s="72">
        <f t="shared" si="788"/>
        <v>61</v>
      </c>
      <c r="BY150" s="71">
        <f t="shared" si="789"/>
        <v>93</v>
      </c>
      <c r="BZ150" s="72">
        <f t="shared" si="790"/>
        <v>97</v>
      </c>
      <c r="CA150" s="71" t="str">
        <f t="shared" si="791"/>
        <v>-</v>
      </c>
      <c r="CB150" s="72">
        <f t="shared" si="792"/>
        <v>137</v>
      </c>
      <c r="CC150" s="71">
        <f t="shared" si="793"/>
        <v>180</v>
      </c>
      <c r="CD150" s="72">
        <f t="shared" si="794"/>
        <v>191</v>
      </c>
      <c r="CE150" s="71">
        <f t="shared" si="795"/>
        <v>235</v>
      </c>
      <c r="CF150" s="72">
        <f t="shared" si="796"/>
        <v>273</v>
      </c>
      <c r="CG150" s="71">
        <f t="shared" si="797"/>
        <v>306</v>
      </c>
      <c r="CH150" s="70">
        <f t="shared" si="798"/>
        <v>56</v>
      </c>
      <c r="CI150" s="71">
        <f t="shared" si="799"/>
        <v>60</v>
      </c>
      <c r="CJ150" s="72">
        <f t="shared" si="800"/>
        <v>91</v>
      </c>
      <c r="CK150" s="72">
        <f t="shared" si="801"/>
        <v>96</v>
      </c>
      <c r="CL150" s="72">
        <f t="shared" si="802"/>
        <v>132</v>
      </c>
      <c r="CM150" s="72" t="str">
        <f t="shared" si="803"/>
        <v>-</v>
      </c>
      <c r="CN150" s="72">
        <f t="shared" si="804"/>
        <v>167</v>
      </c>
      <c r="CO150" s="72">
        <f t="shared" si="805"/>
        <v>182</v>
      </c>
      <c r="CP150" s="72">
        <f t="shared" si="806"/>
        <v>222</v>
      </c>
      <c r="CQ150" s="72">
        <f t="shared" si="807"/>
        <v>269</v>
      </c>
      <c r="CR150" s="72">
        <f t="shared" si="808"/>
        <v>304</v>
      </c>
      <c r="CS150" s="72">
        <f t="shared" si="809"/>
        <v>317</v>
      </c>
      <c r="CT150" s="23">
        <f t="shared" si="810"/>
        <v>1</v>
      </c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  <c r="AML150" s="2"/>
      <c r="AMM150" s="2"/>
      <c r="AMN150" s="2"/>
      <c r="AMO150" s="2"/>
    </row>
    <row r="151" spans="1:1029" x14ac:dyDescent="0.2">
      <c r="A151" s="3" t="str">
        <f t="shared" si="1007"/>
        <v>agtr1_human_4ZUD</v>
      </c>
      <c r="B151" s="3" t="s">
        <v>158</v>
      </c>
      <c r="C151" s="3" t="s">
        <v>1336</v>
      </c>
      <c r="D151" s="3" t="str">
        <f>IFERROR(MID(VLOOKUP($B151,Seqs!$A:$B,2,0),E151,1),"")</f>
        <v>H</v>
      </c>
      <c r="E151" s="3">
        <v>24</v>
      </c>
      <c r="F151" s="3" t="str">
        <f>IFERROR(MID(VLOOKUP($B151,Seqs!$A:$B,2,0),G151,1),"")</f>
        <v>Y</v>
      </c>
      <c r="G151" s="3">
        <v>56</v>
      </c>
      <c r="H151" s="3" t="str">
        <f>IFERROR(MID(VLOOKUP($B151,Seqs!$A:$B,2,0),I151,1),"")</f>
        <v>M</v>
      </c>
      <c r="I151" s="23">
        <v>57</v>
      </c>
      <c r="J151" s="3" t="str">
        <f>IFERROR(MID(VLOOKUP($B151,Seqs!$A:$B,2,0),K151,1),"")</f>
        <v>K</v>
      </c>
      <c r="K151" s="23">
        <v>60</v>
      </c>
      <c r="L151" s="3" t="str">
        <f>IFERROR(MID(VLOOKUP($B151,Seqs!$A:$B,2,0),M151,1),"")</f>
        <v>T</v>
      </c>
      <c r="M151" s="3">
        <v>61</v>
      </c>
      <c r="N151" s="3" t="str">
        <f>IFERROR(MID(VLOOKUP($B151,Seqs!$A:$B,2,0),O151,1),"")</f>
        <v>E</v>
      </c>
      <c r="O151" s="3">
        <v>91</v>
      </c>
      <c r="P151" s="3" t="str">
        <f>IFERROR(MID(VLOOKUP($B151,Seqs!$A:$B,2,0),Q151,1),"")</f>
        <v>R</v>
      </c>
      <c r="Q151" s="3">
        <v>93</v>
      </c>
      <c r="R151" s="3" t="str">
        <f>IFERROR(MID(VLOOKUP($B151,Seqs!$A:$B,2,0),S151,1),"")</f>
        <v>F</v>
      </c>
      <c r="S151" s="3">
        <v>96</v>
      </c>
      <c r="T151" s="3" t="str">
        <f>IFERROR(MID(VLOOKUP($B151,Seqs!$A:$B,2,0),U151,1),"")</f>
        <v>G</v>
      </c>
      <c r="U151" s="3">
        <v>97</v>
      </c>
      <c r="V151" s="3" t="str">
        <f>IFERROR(MID(VLOOKUP($B151,Seqs!$A:$B,2,0),W151,1),"")</f>
        <v>H</v>
      </c>
      <c r="W151" s="3">
        <v>132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M</v>
      </c>
      <c r="AC151" s="9">
        <v>142</v>
      </c>
      <c r="AD151" s="3" t="str">
        <f>IFERROR(MID(VLOOKUP($B151,Seqs!$A:$B,2,0),AE151,1),"")</f>
        <v>R</v>
      </c>
      <c r="AE151" s="3">
        <v>167</v>
      </c>
      <c r="AF151" s="3" t="str">
        <f>IFERROR(MID(VLOOKUP($B151,Seqs!$A:$B,2,0),AG151,1),"")</f>
        <v>C</v>
      </c>
      <c r="AG151" s="3">
        <v>180</v>
      </c>
      <c r="AH151" s="3" t="str">
        <f>IFERROR(MID(VLOOKUP($B151,Seqs!$A:$B,2,0),AI151,1),"")</f>
        <v>F</v>
      </c>
      <c r="AI151" s="3">
        <v>182</v>
      </c>
      <c r="AJ151" s="3" t="str">
        <f>IFERROR(MID(VLOOKUP($B151,Seqs!$A:$B,2,0),AK151,1),"")</f>
        <v>L</v>
      </c>
      <c r="AK151" s="3">
        <v>191</v>
      </c>
      <c r="AL151" s="3" t="str">
        <f>IFERROR(MID(VLOOKUP($B151,Seqs!$A:$B,2,0),AM151,1),"")</f>
        <v>L</v>
      </c>
      <c r="AM151" s="3">
        <v>222</v>
      </c>
      <c r="AN151" s="3" t="str">
        <f>IFERROR(MID(VLOOKUP($B151,Seqs!$A:$B,2,0),AO151,1),"")</f>
        <v>D</v>
      </c>
      <c r="AO151" s="3">
        <v>236</v>
      </c>
      <c r="AP151" s="3" t="str">
        <f>IFERROR(MID(VLOOKUP($B151,Seqs!$A:$B,2,0),AQ151,1),"")</f>
        <v>G</v>
      </c>
      <c r="AQ151" s="3">
        <v>269</v>
      </c>
      <c r="AR151" s="3" t="str">
        <f>IFERROR(MID(VLOOKUP($B151,Seqs!$A:$B,2,0),AS151,1),"")</f>
        <v>D</v>
      </c>
      <c r="AS151" s="3">
        <v>273</v>
      </c>
      <c r="AT151" s="3" t="str">
        <f>IFERROR(MID(VLOOKUP($B151,Seqs!$A:$B,2,0),AU151,1),"")</f>
        <v>F</v>
      </c>
      <c r="AU151" s="3">
        <v>304</v>
      </c>
      <c r="AV151" s="3" t="str">
        <f>IFERROR(MID(VLOOKUP($B151,Seqs!$A:$B,2,0),AW151,1),"")</f>
        <v/>
      </c>
      <c r="AW151" s="3" t="s">
        <v>23</v>
      </c>
      <c r="AX151" s="3" t="str">
        <f>IFERROR(MID(VLOOKUP($B151,Seqs!$A:$B,2,0),AY151,1),"")</f>
        <v/>
      </c>
      <c r="AY151" s="3" t="s">
        <v>23</v>
      </c>
      <c r="AZ151" s="77" t="str">
        <f>VLOOKUP(B151,Classification!A:D,2,0)</f>
        <v>A</v>
      </c>
      <c r="BA151" s="94" t="str">
        <f>VLOOKUP(B151,Classification!A:D,4,0)</f>
        <v>Angiotensin</v>
      </c>
      <c r="BB151" s="27" t="b">
        <f t="shared" si="1008"/>
        <v>1</v>
      </c>
      <c r="BC151" s="23">
        <f t="shared" si="785"/>
        <v>237</v>
      </c>
      <c r="BD151" s="2" t="s">
        <v>1376</v>
      </c>
      <c r="BE151" s="3" t="s">
        <v>1374</v>
      </c>
      <c r="BF151" s="118">
        <v>2.8</v>
      </c>
      <c r="BG151" s="49" t="s">
        <v>1377</v>
      </c>
      <c r="BH151" s="49" t="s">
        <v>1377</v>
      </c>
      <c r="BI151" s="1"/>
      <c r="BJ151" s="70" t="s">
        <v>1287</v>
      </c>
      <c r="BK151" s="57" t="s">
        <v>1287</v>
      </c>
      <c r="BL151" s="57" t="s">
        <v>1287</v>
      </c>
      <c r="BM151" s="57" t="s">
        <v>1287</v>
      </c>
      <c r="BN151" s="57" t="s">
        <v>1287</v>
      </c>
      <c r="BO151" s="57" t="s">
        <v>1287</v>
      </c>
      <c r="BP151" s="57" t="s">
        <v>1287</v>
      </c>
      <c r="BQ151" s="57" t="s">
        <v>1287</v>
      </c>
      <c r="BR151" s="57" t="s">
        <v>1287</v>
      </c>
      <c r="BS151" s="57" t="s">
        <v>1287</v>
      </c>
      <c r="BT151" s="57" t="s">
        <v>1287</v>
      </c>
      <c r="BU151" s="57" t="s">
        <v>1287</v>
      </c>
      <c r="BV151" s="70">
        <f t="shared" si="786"/>
        <v>24</v>
      </c>
      <c r="BW151" s="71">
        <f t="shared" si="787"/>
        <v>57</v>
      </c>
      <c r="BX151" s="72">
        <f t="shared" si="788"/>
        <v>61</v>
      </c>
      <c r="BY151" s="71">
        <f t="shared" si="789"/>
        <v>93</v>
      </c>
      <c r="BZ151" s="72">
        <f t="shared" si="790"/>
        <v>97</v>
      </c>
      <c r="CA151" s="71" t="str">
        <f t="shared" si="791"/>
        <v>-</v>
      </c>
      <c r="CB151" s="72">
        <f t="shared" si="792"/>
        <v>142</v>
      </c>
      <c r="CC151" s="71">
        <f t="shared" si="793"/>
        <v>180</v>
      </c>
      <c r="CD151" s="72">
        <f t="shared" si="794"/>
        <v>191</v>
      </c>
      <c r="CE151" s="71">
        <f t="shared" si="795"/>
        <v>236</v>
      </c>
      <c r="CF151" s="72">
        <f t="shared" si="796"/>
        <v>273</v>
      </c>
      <c r="CG151" s="71" t="str">
        <f t="shared" si="797"/>
        <v>-</v>
      </c>
      <c r="CH151" s="70">
        <f t="shared" si="798"/>
        <v>56</v>
      </c>
      <c r="CI151" s="71">
        <f t="shared" si="799"/>
        <v>60</v>
      </c>
      <c r="CJ151" s="72">
        <f t="shared" si="800"/>
        <v>91</v>
      </c>
      <c r="CK151" s="72">
        <f t="shared" si="801"/>
        <v>96</v>
      </c>
      <c r="CL151" s="72">
        <f t="shared" si="802"/>
        <v>132</v>
      </c>
      <c r="CM151" s="72" t="str">
        <f t="shared" si="803"/>
        <v>-</v>
      </c>
      <c r="CN151" s="72">
        <f t="shared" si="804"/>
        <v>167</v>
      </c>
      <c r="CO151" s="72">
        <f t="shared" si="805"/>
        <v>182</v>
      </c>
      <c r="CP151" s="72">
        <f t="shared" si="806"/>
        <v>222</v>
      </c>
      <c r="CQ151" s="72">
        <f t="shared" si="807"/>
        <v>269</v>
      </c>
      <c r="CR151" s="72">
        <f t="shared" si="808"/>
        <v>304</v>
      </c>
      <c r="CS151" s="72" t="str">
        <f t="shared" si="809"/>
        <v>-</v>
      </c>
      <c r="CT151" s="23">
        <f t="shared" si="810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s="12" customFormat="1" x14ac:dyDescent="0.2">
      <c r="A152" s="9" t="str">
        <f t="shared" ref="A152" si="1064">CONCATENATE(B152,"_",C152)</f>
        <v>agtr1_human_6DO1</v>
      </c>
      <c r="B152" s="9" t="s">
        <v>158</v>
      </c>
      <c r="C152" s="9" t="s">
        <v>1555</v>
      </c>
      <c r="D152" s="9" t="str">
        <f>IFERROR(MID(VLOOKUP($B152,Seqs!$A:$B,2,0),E152,1),"")</f>
        <v>H</v>
      </c>
      <c r="E152" s="9">
        <v>24</v>
      </c>
      <c r="F152" s="9" t="str">
        <f>IFERROR(MID(VLOOKUP($B152,Seqs!$A:$B,2,0),G152,1),"")</f>
        <v>Y</v>
      </c>
      <c r="G152" s="9">
        <v>56</v>
      </c>
      <c r="H152" s="9" t="str">
        <f>IFERROR(MID(VLOOKUP($B152,Seqs!$A:$B,2,0),I152,1),"")</f>
        <v/>
      </c>
      <c r="I152" s="109" t="s">
        <v>23</v>
      </c>
      <c r="J152" s="9" t="str">
        <f>IFERROR(MID(VLOOKUP($B152,Seqs!$A:$B,2,0),K152,1),"")</f>
        <v/>
      </c>
      <c r="K152" s="109" t="s">
        <v>23</v>
      </c>
      <c r="L152" s="9" t="str">
        <f>IFERROR(MID(VLOOKUP($B152,Seqs!$A:$B,2,0),M152,1),"")</f>
        <v>T</v>
      </c>
      <c r="M152" s="9">
        <v>61</v>
      </c>
      <c r="N152" s="9" t="str">
        <f>IFERROR(MID(VLOOKUP($B152,Seqs!$A:$B,2,0),O152,1),"")</f>
        <v>E</v>
      </c>
      <c r="O152" s="9">
        <v>91</v>
      </c>
      <c r="P152" s="9" t="str">
        <f>IFERROR(MID(VLOOKUP($B152,Seqs!$A:$B,2,0),Q152,1),"")</f>
        <v>R</v>
      </c>
      <c r="Q152" s="9">
        <v>93</v>
      </c>
      <c r="R152" s="9" t="str">
        <f>IFERROR(MID(VLOOKUP($B152,Seqs!$A:$B,2,0),S152,1),"")</f>
        <v>F</v>
      </c>
      <c r="S152" s="9">
        <v>96</v>
      </c>
      <c r="T152" s="9" t="str">
        <f>IFERROR(MID(VLOOKUP($B152,Seqs!$A:$B,2,0),U152,1),"")</f>
        <v>G</v>
      </c>
      <c r="U152" s="9">
        <v>97</v>
      </c>
      <c r="V152" s="9" t="str">
        <f>IFERROR(MID(VLOOKUP($B152,Seqs!$A:$B,2,0),W152,1),"")</f>
        <v>H</v>
      </c>
      <c r="W152" s="9">
        <v>132</v>
      </c>
      <c r="X152" s="9" t="str">
        <f>IFERROR(MID(VLOOKUP($B152,Seqs!$A:$B,2,0),Y152,1),"")</f>
        <v>P</v>
      </c>
      <c r="Y152" s="9">
        <v>133</v>
      </c>
      <c r="Z152" s="9" t="str">
        <f>IFERROR(MID(VLOOKUP($B152,Seqs!$A:$B,2,0),AA152,1),"")</f>
        <v>R</v>
      </c>
      <c r="AA152" s="9">
        <v>140</v>
      </c>
      <c r="AB152" s="9" t="str">
        <f>IFERROR(MID(VLOOKUP($B152,Seqs!$A:$B,2,0),AC152,1),"")</f>
        <v>T</v>
      </c>
      <c r="AC152" s="9">
        <v>141</v>
      </c>
      <c r="AD152" s="9" t="str">
        <f>IFERROR(MID(VLOOKUP($B152,Seqs!$A:$B,2,0),AE152,1),"")</f>
        <v>R</v>
      </c>
      <c r="AE152" s="9">
        <v>167</v>
      </c>
      <c r="AF152" s="9" t="str">
        <f>IFERROR(MID(VLOOKUP($B152,Seqs!$A:$B,2,0),AG152,1),"")</f>
        <v>C</v>
      </c>
      <c r="AG152" s="9">
        <v>180</v>
      </c>
      <c r="AH152" s="9" t="str">
        <f>IFERROR(MID(VLOOKUP($B152,Seqs!$A:$B,2,0),AI152,1),"")</f>
        <v>F</v>
      </c>
      <c r="AI152" s="9">
        <v>182</v>
      </c>
      <c r="AJ152" s="9" t="str">
        <f>IFERROR(MID(VLOOKUP($B152,Seqs!$A:$B,2,0),AK152,1),"")</f>
        <v>P</v>
      </c>
      <c r="AK152" s="9">
        <v>192</v>
      </c>
      <c r="AL152" s="9" t="str">
        <f>IFERROR(MID(VLOOKUP($B152,Seqs!$A:$B,2,0),AM152,1),"")</f>
        <v>N</v>
      </c>
      <c r="AM152" s="9">
        <v>231</v>
      </c>
      <c r="AN152" s="9" t="str">
        <f>IFERROR(MID(VLOOKUP($B152,Seqs!$A:$B,2,0),AO152,1),"")</f>
        <v>T</v>
      </c>
      <c r="AO152" s="9">
        <v>336</v>
      </c>
      <c r="AP152" s="9" t="str">
        <f>IFERROR(MID(VLOOKUP($B152,Seqs!$A:$B,2,0),AQ152,1),"")</f>
        <v/>
      </c>
      <c r="AQ152" s="9">
        <v>368</v>
      </c>
      <c r="AR152" s="9" t="str">
        <f>IFERROR(MID(VLOOKUP($B152,Seqs!$A:$B,2,0),AS152,1),"")</f>
        <v/>
      </c>
      <c r="AS152" s="9">
        <v>372</v>
      </c>
      <c r="AT152" s="9" t="str">
        <f>IFERROR(MID(VLOOKUP($B152,Seqs!$A:$B,2,0),AU152,1),"")</f>
        <v/>
      </c>
      <c r="AU152" s="9">
        <v>404</v>
      </c>
      <c r="AV152" s="9" t="str">
        <f>IFERROR(MID(VLOOKUP($B152,Seqs!$A:$B,2,0),AW152,1),"")</f>
        <v/>
      </c>
      <c r="AW152" s="9">
        <v>405</v>
      </c>
      <c r="AX152" s="9" t="str">
        <f>IFERROR(MID(VLOOKUP($B152,Seqs!$A:$B,2,0),AY152,1),"")</f>
        <v/>
      </c>
      <c r="AY152" s="9">
        <v>416</v>
      </c>
      <c r="AZ152" s="110" t="str">
        <f>VLOOKUP(B152,Classification!A:D,2,0)</f>
        <v>A</v>
      </c>
      <c r="BA152" s="98" t="str">
        <f>VLOOKUP(B152,Classification!A:D,4,0)</f>
        <v>Angiotensin</v>
      </c>
      <c r="BB152" s="36" t="b">
        <f t="shared" ref="BB152" si="1065">AND(E152&lt;G152,OR(G152&lt;I152,I152="-"),OR(I152&lt;K152,I152="-"),OR(K152&lt;M152,K152="-"),M152&lt;O152,OR(O152&lt;Q152,Q152="-"),OR(Q152&lt;S152,Q152="-"),OR(S152&lt;U152,S152="-"),U152&lt;W152,OR(W152&lt;Y152,Y152="-"),OR(Y152&lt;AA152,Y152="-"),OR(AA152&lt;AC152,AA152="-"),AC152&lt;AE152,OR(AE152&lt;AG152,AG152="-"),OR(AG152&lt;AI152,AG152="-"),OR(AI152&lt;AK152,AI152="-"),AK152&lt;AM152,AM152&lt;AO152,AO152&lt;AQ152,AQ152&lt;AS152,AS152&lt;AU152,OR(AU152&lt;AW152,AW152="-"),OR(AW152&lt;AY152,AW152="-"))</f>
        <v>1</v>
      </c>
      <c r="BC152" s="109">
        <f t="shared" ref="BC152" si="1066">_xlfn.AGGREGATE(9,6,CH152:CS152)-_xlfn.AGGREGATE(9,6,BV152:CG152)+12</f>
        <v>261</v>
      </c>
      <c r="BD152" s="40" t="s">
        <v>1375</v>
      </c>
      <c r="BE152" s="9" t="s">
        <v>1291</v>
      </c>
      <c r="BF152" s="119">
        <v>2.9</v>
      </c>
      <c r="BG152" s="51" t="s">
        <v>1</v>
      </c>
      <c r="BH152" s="51" t="s">
        <v>1</v>
      </c>
      <c r="BJ152" s="111" t="s">
        <v>1287</v>
      </c>
      <c r="BK152" s="112" t="s">
        <v>1287</v>
      </c>
      <c r="BL152" s="112" t="s">
        <v>1287</v>
      </c>
      <c r="BM152" s="112" t="s">
        <v>1287</v>
      </c>
      <c r="BN152" s="112" t="s">
        <v>1287</v>
      </c>
      <c r="BO152" s="112" t="s">
        <v>1287</v>
      </c>
      <c r="BP152" s="112" t="s">
        <v>1287</v>
      </c>
      <c r="BQ152" s="112" t="s">
        <v>1287</v>
      </c>
      <c r="BR152" s="112" t="s">
        <v>1287</v>
      </c>
      <c r="BS152" s="112" t="s">
        <v>1287</v>
      </c>
      <c r="BT152" s="112" t="s">
        <v>1287</v>
      </c>
      <c r="BU152" s="112" t="s">
        <v>1287</v>
      </c>
      <c r="BV152" s="111">
        <f t="shared" ref="BV152" si="1067">E152</f>
        <v>24</v>
      </c>
      <c r="BW152" s="113" t="str">
        <f t="shared" ref="BW152" si="1068">I152</f>
        <v>-</v>
      </c>
      <c r="BX152" s="114">
        <f t="shared" ref="BX152" si="1069">M152</f>
        <v>61</v>
      </c>
      <c r="BY152" s="113">
        <f t="shared" ref="BY152" si="1070">Q152</f>
        <v>93</v>
      </c>
      <c r="BZ152" s="114">
        <f t="shared" ref="BZ152" si="1071">U152</f>
        <v>97</v>
      </c>
      <c r="CA152" s="113">
        <f t="shared" ref="CA152" si="1072">Y152</f>
        <v>133</v>
      </c>
      <c r="CB152" s="114">
        <f t="shared" ref="CB152" si="1073">AC152</f>
        <v>141</v>
      </c>
      <c r="CC152" s="113">
        <f t="shared" ref="CC152" si="1074">AG152</f>
        <v>180</v>
      </c>
      <c r="CD152" s="114">
        <f t="shared" ref="CD152" si="1075">AK152</f>
        <v>192</v>
      </c>
      <c r="CE152" s="113">
        <f t="shared" ref="CE152" si="1076">AO152</f>
        <v>336</v>
      </c>
      <c r="CF152" s="114">
        <f t="shared" ref="CF152" si="1077">AS152</f>
        <v>372</v>
      </c>
      <c r="CG152" s="113">
        <f t="shared" ref="CG152" si="1078">AW152</f>
        <v>405</v>
      </c>
      <c r="CH152" s="111">
        <f t="shared" ref="CH152" si="1079">G152</f>
        <v>56</v>
      </c>
      <c r="CI152" s="113" t="str">
        <f t="shared" ref="CI152" si="1080">K152</f>
        <v>-</v>
      </c>
      <c r="CJ152" s="114">
        <f t="shared" ref="CJ152" si="1081">O152</f>
        <v>91</v>
      </c>
      <c r="CK152" s="114">
        <f t="shared" ref="CK152" si="1082">S152</f>
        <v>96</v>
      </c>
      <c r="CL152" s="114">
        <f t="shared" ref="CL152" si="1083">W152</f>
        <v>132</v>
      </c>
      <c r="CM152" s="114">
        <f t="shared" ref="CM152" si="1084">AA152</f>
        <v>140</v>
      </c>
      <c r="CN152" s="114">
        <f t="shared" ref="CN152" si="1085">AE152</f>
        <v>167</v>
      </c>
      <c r="CO152" s="114">
        <f t="shared" ref="CO152" si="1086">AI152</f>
        <v>182</v>
      </c>
      <c r="CP152" s="114">
        <f t="shared" ref="CP152" si="1087">AM152</f>
        <v>231</v>
      </c>
      <c r="CQ152" s="114">
        <f t="shared" ref="CQ152" si="1088">AQ152</f>
        <v>368</v>
      </c>
      <c r="CR152" s="114">
        <f t="shared" ref="CR152" si="1089">AU152</f>
        <v>404</v>
      </c>
      <c r="CS152" s="114">
        <f t="shared" ref="CS152" si="1090">AY152</f>
        <v>416</v>
      </c>
      <c r="CT152" s="109" t="e">
        <f t="shared" ref="CT152" si="1091">M152-K152</f>
        <v>#VALUE!</v>
      </c>
    </row>
    <row r="153" spans="1:1029" s="12" customFormat="1" x14ac:dyDescent="0.2">
      <c r="A153" s="9" t="str">
        <f t="shared" ref="A153" si="1092">CONCATENATE(B153,"_",C153)</f>
        <v>agtr1_human_6OS0</v>
      </c>
      <c r="B153" s="9" t="s">
        <v>158</v>
      </c>
      <c r="C153" s="9" t="s">
        <v>1659</v>
      </c>
      <c r="D153" s="9" t="str">
        <f>IFERROR(MID(VLOOKUP($B153,Seqs!$A:$B,2,0),E153,1),"")</f>
        <v>H</v>
      </c>
      <c r="E153" s="9">
        <v>24</v>
      </c>
      <c r="F153" s="9" t="str">
        <f>IFERROR(MID(VLOOKUP($B153,Seqs!$A:$B,2,0),G153,1),"")</f>
        <v>Y</v>
      </c>
      <c r="G153" s="9">
        <v>56</v>
      </c>
      <c r="H153" s="9" t="str">
        <f>IFERROR(MID(VLOOKUP($B153,Seqs!$A:$B,2,0),I153,1),"")</f>
        <v/>
      </c>
      <c r="I153" s="109" t="s">
        <v>23</v>
      </c>
      <c r="J153" s="9" t="str">
        <f>IFERROR(MID(VLOOKUP($B153,Seqs!$A:$B,2,0),K153,1),"")</f>
        <v/>
      </c>
      <c r="K153" s="109" t="s">
        <v>23</v>
      </c>
      <c r="L153" s="9" t="str">
        <f>IFERROR(MID(VLOOKUP($B153,Seqs!$A:$B,2,0),M153,1),"")</f>
        <v>T</v>
      </c>
      <c r="M153" s="9">
        <v>61</v>
      </c>
      <c r="N153" s="9" t="str">
        <f>IFERROR(MID(VLOOKUP($B153,Seqs!$A:$B,2,0),O153,1),"")</f>
        <v>E</v>
      </c>
      <c r="O153" s="9">
        <v>91</v>
      </c>
      <c r="P153" s="9" t="str">
        <f>IFERROR(MID(VLOOKUP($B153,Seqs!$A:$B,2,0),Q153,1),"")</f>
        <v>R</v>
      </c>
      <c r="Q153" s="9">
        <v>93</v>
      </c>
      <c r="R153" s="9" t="str">
        <f>IFERROR(MID(VLOOKUP($B153,Seqs!$A:$B,2,0),S153,1),"")</f>
        <v>F</v>
      </c>
      <c r="S153" s="9">
        <v>96</v>
      </c>
      <c r="T153" s="9" t="str">
        <f>IFERROR(MID(VLOOKUP($B153,Seqs!$A:$B,2,0),U153,1),"")</f>
        <v>G</v>
      </c>
      <c r="U153" s="9">
        <v>97</v>
      </c>
      <c r="V153" s="9" t="str">
        <f>IFERROR(MID(VLOOKUP($B153,Seqs!$A:$B,2,0),W153,1),"")</f>
        <v>H</v>
      </c>
      <c r="W153" s="9">
        <v>132</v>
      </c>
      <c r="X153" s="9" t="str">
        <f>IFERROR(MID(VLOOKUP($B153,Seqs!$A:$B,2,0),Y153,1),"")</f>
        <v>P</v>
      </c>
      <c r="Y153" s="9">
        <v>133</v>
      </c>
      <c r="Z153" s="9" t="str">
        <f>IFERROR(MID(VLOOKUP($B153,Seqs!$A:$B,2,0),AA153,1),"")</f>
        <v>R</v>
      </c>
      <c r="AA153" s="9">
        <v>140</v>
      </c>
      <c r="AB153" s="9" t="str">
        <f>IFERROR(MID(VLOOKUP($B153,Seqs!$A:$B,2,0),AC153,1),"")</f>
        <v>T</v>
      </c>
      <c r="AC153" s="9">
        <v>141</v>
      </c>
      <c r="AD153" s="9" t="str">
        <f>IFERROR(MID(VLOOKUP($B153,Seqs!$A:$B,2,0),AE153,1),"")</f>
        <v>H</v>
      </c>
      <c r="AE153" s="9">
        <v>166</v>
      </c>
      <c r="AF153" s="9" t="str">
        <f>IFERROR(MID(VLOOKUP($B153,Seqs!$A:$B,2,0),AG153,1),"")</f>
        <v>C</v>
      </c>
      <c r="AG153" s="9">
        <v>180</v>
      </c>
      <c r="AH153" s="9" t="str">
        <f>IFERROR(MID(VLOOKUP($B153,Seqs!$A:$B,2,0),AI153,1),"")</f>
        <v>F</v>
      </c>
      <c r="AI153" s="9">
        <v>182</v>
      </c>
      <c r="AJ153" s="9" t="str">
        <f>IFERROR(MID(VLOOKUP($B153,Seqs!$A:$B,2,0),AK153,1),"")</f>
        <v>I</v>
      </c>
      <c r="AK153" s="9">
        <v>193</v>
      </c>
      <c r="AL153" s="9" t="str">
        <f>IFERROR(MID(VLOOKUP($B153,Seqs!$A:$B,2,0),AM153,1),"")</f>
        <v>Y</v>
      </c>
      <c r="AM153" s="9">
        <v>226</v>
      </c>
      <c r="AN153" s="9" t="str">
        <f>IFERROR(MID(VLOOKUP($B153,Seqs!$A:$B,2,0),AO153,1),"")</f>
        <v/>
      </c>
      <c r="AO153" s="9">
        <v>1237</v>
      </c>
      <c r="AP153" s="9" t="str">
        <f>IFERROR(MID(VLOOKUP($B153,Seqs!$A:$B,2,0),AQ153,1),"")</f>
        <v/>
      </c>
      <c r="AQ153" s="9">
        <v>1268</v>
      </c>
      <c r="AR153" s="9" t="str">
        <f>IFERROR(MID(VLOOKUP($B153,Seqs!$A:$B,2,0),AS153,1),"")</f>
        <v/>
      </c>
      <c r="AS153" s="9">
        <v>1273</v>
      </c>
      <c r="AT153" s="9" t="str">
        <f>IFERROR(MID(VLOOKUP($B153,Seqs!$A:$B,2,0),AU153,1),"")</f>
        <v/>
      </c>
      <c r="AU153" s="9">
        <v>1305</v>
      </c>
      <c r="AV153" s="9" t="str">
        <f>IFERROR(MID(VLOOKUP($B153,Seqs!$A:$B,2,0),AW153,1),"")</f>
        <v/>
      </c>
      <c r="AW153" s="9">
        <v>1306</v>
      </c>
      <c r="AX153" s="9" t="str">
        <f>IFERROR(MID(VLOOKUP($B153,Seqs!$A:$B,2,0),AY153,1),"")</f>
        <v/>
      </c>
      <c r="AY153" s="9">
        <v>1316</v>
      </c>
      <c r="AZ153" s="110" t="str">
        <f>VLOOKUP(B153,Classification!A:D,2,0)</f>
        <v>A</v>
      </c>
      <c r="BA153" s="98" t="str">
        <f>VLOOKUP(B153,Classification!A:D,4,0)</f>
        <v>Angiotensin</v>
      </c>
      <c r="BB153" s="36" t="b">
        <f t="shared" ref="BB153" si="1093"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109">
        <f t="shared" ref="BC153" si="1094">_xlfn.AGGREGATE(9,6,CH153:CS153)-_xlfn.AGGREGATE(9,6,BV153:CG153)+12</f>
        <v>252</v>
      </c>
      <c r="BD153" s="40" t="s">
        <v>23</v>
      </c>
      <c r="BE153" s="9" t="s">
        <v>1291</v>
      </c>
      <c r="BF153" s="119">
        <v>2.9</v>
      </c>
      <c r="BG153" s="51" t="s">
        <v>1</v>
      </c>
      <c r="BH153" s="51" t="s">
        <v>1</v>
      </c>
      <c r="BJ153" s="111" t="s">
        <v>1287</v>
      </c>
      <c r="BK153" s="112" t="s">
        <v>1287</v>
      </c>
      <c r="BL153" s="112" t="s">
        <v>1287</v>
      </c>
      <c r="BM153" s="112" t="s">
        <v>1287</v>
      </c>
      <c r="BN153" s="112" t="s">
        <v>1287</v>
      </c>
      <c r="BO153" s="112" t="s">
        <v>1287</v>
      </c>
      <c r="BP153" s="112" t="s">
        <v>1287</v>
      </c>
      <c r="BQ153" s="112" t="s">
        <v>1287</v>
      </c>
      <c r="BR153" s="112" t="s">
        <v>1287</v>
      </c>
      <c r="BS153" s="112" t="s">
        <v>1287</v>
      </c>
      <c r="BT153" s="112" t="s">
        <v>1287</v>
      </c>
      <c r="BU153" s="112" t="s">
        <v>1287</v>
      </c>
      <c r="BV153" s="111">
        <f t="shared" ref="BV153" si="1095">E153</f>
        <v>24</v>
      </c>
      <c r="BW153" s="113" t="str">
        <f t="shared" ref="BW153" si="1096">I153</f>
        <v>-</v>
      </c>
      <c r="BX153" s="114">
        <f t="shared" ref="BX153" si="1097">M153</f>
        <v>61</v>
      </c>
      <c r="BY153" s="113">
        <f t="shared" ref="BY153" si="1098">Q153</f>
        <v>93</v>
      </c>
      <c r="BZ153" s="114">
        <f t="shared" ref="BZ153" si="1099">U153</f>
        <v>97</v>
      </c>
      <c r="CA153" s="113">
        <f t="shared" ref="CA153" si="1100">Y153</f>
        <v>133</v>
      </c>
      <c r="CB153" s="114">
        <f t="shared" ref="CB153" si="1101">AC153</f>
        <v>141</v>
      </c>
      <c r="CC153" s="113">
        <f t="shared" ref="CC153" si="1102">AG153</f>
        <v>180</v>
      </c>
      <c r="CD153" s="114">
        <f t="shared" ref="CD153" si="1103">AK153</f>
        <v>193</v>
      </c>
      <c r="CE153" s="113">
        <f t="shared" ref="CE153" si="1104">AO153</f>
        <v>1237</v>
      </c>
      <c r="CF153" s="114">
        <f t="shared" ref="CF153" si="1105">AS153</f>
        <v>1273</v>
      </c>
      <c r="CG153" s="113">
        <f t="shared" ref="CG153" si="1106">AW153</f>
        <v>1306</v>
      </c>
      <c r="CH153" s="111">
        <f t="shared" ref="CH153" si="1107">G153</f>
        <v>56</v>
      </c>
      <c r="CI153" s="113" t="str">
        <f t="shared" ref="CI153" si="1108">K153</f>
        <v>-</v>
      </c>
      <c r="CJ153" s="114">
        <f t="shared" ref="CJ153" si="1109">O153</f>
        <v>91</v>
      </c>
      <c r="CK153" s="114">
        <f t="shared" ref="CK153" si="1110">S153</f>
        <v>96</v>
      </c>
      <c r="CL153" s="114">
        <f t="shared" ref="CL153" si="1111">W153</f>
        <v>132</v>
      </c>
      <c r="CM153" s="114">
        <f t="shared" ref="CM153" si="1112">AA153</f>
        <v>140</v>
      </c>
      <c r="CN153" s="114">
        <f t="shared" ref="CN153" si="1113">AE153</f>
        <v>166</v>
      </c>
      <c r="CO153" s="114">
        <f t="shared" ref="CO153" si="1114">AI153</f>
        <v>182</v>
      </c>
      <c r="CP153" s="114">
        <f t="shared" ref="CP153" si="1115">AM153</f>
        <v>226</v>
      </c>
      <c r="CQ153" s="114">
        <f t="shared" ref="CQ153" si="1116">AQ153</f>
        <v>1268</v>
      </c>
      <c r="CR153" s="114">
        <f t="shared" ref="CR153" si="1117">AU153</f>
        <v>1305</v>
      </c>
      <c r="CS153" s="114">
        <f t="shared" ref="CS153" si="1118">AY153</f>
        <v>1316</v>
      </c>
      <c r="CT153" s="109" t="e">
        <f t="shared" ref="CT153" si="1119">M153-K153</f>
        <v>#VALUE!</v>
      </c>
    </row>
    <row r="154" spans="1:1029" s="12" customFormat="1" ht="18" x14ac:dyDescent="0.2">
      <c r="A154" s="9" t="str">
        <f t="shared" ref="A154" si="1120">CONCATENATE(B154,"_",C154)</f>
        <v>agtr1_human_6OS1</v>
      </c>
      <c r="B154" s="9" t="s">
        <v>158</v>
      </c>
      <c r="C154" s="9" t="s">
        <v>1660</v>
      </c>
      <c r="D154" s="9" t="str">
        <f>IFERROR(MID(VLOOKUP($B154,Seqs!$A:$B,2,0),E154,1),"")</f>
        <v>H</v>
      </c>
      <c r="E154" s="9">
        <v>24</v>
      </c>
      <c r="F154" s="9" t="str">
        <f>IFERROR(MID(VLOOKUP($B154,Seqs!$A:$B,2,0),G154,1),"")</f>
        <v>Y</v>
      </c>
      <c r="G154" s="9">
        <v>56</v>
      </c>
      <c r="H154" s="9" t="str">
        <f>IFERROR(MID(VLOOKUP($B154,Seqs!$A:$B,2,0),I154,1),"")</f>
        <v/>
      </c>
      <c r="I154" s="109" t="s">
        <v>23</v>
      </c>
      <c r="J154" s="9" t="str">
        <f>IFERROR(MID(VLOOKUP($B154,Seqs!$A:$B,2,0),K154,1),"")</f>
        <v/>
      </c>
      <c r="K154" s="109" t="s">
        <v>23</v>
      </c>
      <c r="L154" s="9" t="str">
        <f>IFERROR(MID(VLOOKUP($B154,Seqs!$A:$B,2,0),M154,1),"")</f>
        <v>T</v>
      </c>
      <c r="M154" s="9">
        <v>61</v>
      </c>
      <c r="N154" s="9" t="str">
        <f>IFERROR(MID(VLOOKUP($B154,Seqs!$A:$B,2,0),O154,1),"")</f>
        <v>E</v>
      </c>
      <c r="O154" s="9">
        <v>91</v>
      </c>
      <c r="P154" s="9" t="str">
        <f>IFERROR(MID(VLOOKUP($B154,Seqs!$A:$B,2,0),Q154,1),"")</f>
        <v>R</v>
      </c>
      <c r="Q154" s="9">
        <v>93</v>
      </c>
      <c r="R154" s="9" t="str">
        <f>IFERROR(MID(VLOOKUP($B154,Seqs!$A:$B,2,0),S154,1),"")</f>
        <v>F</v>
      </c>
      <c r="S154" s="9">
        <v>96</v>
      </c>
      <c r="T154" s="9" t="str">
        <f>IFERROR(MID(VLOOKUP($B154,Seqs!$A:$B,2,0),U154,1),"")</f>
        <v>G</v>
      </c>
      <c r="U154" s="9">
        <v>97</v>
      </c>
      <c r="V154" s="9" t="str">
        <f>IFERROR(MID(VLOOKUP($B154,Seqs!$A:$B,2,0),W154,1),"")</f>
        <v>H</v>
      </c>
      <c r="W154" s="9">
        <v>132</v>
      </c>
      <c r="X154" s="9" t="str">
        <f>IFERROR(MID(VLOOKUP($B154,Seqs!$A:$B,2,0),Y154,1),"")</f>
        <v>P</v>
      </c>
      <c r="Y154" s="9">
        <v>133</v>
      </c>
      <c r="Z154" s="9" t="str">
        <f>IFERROR(MID(VLOOKUP($B154,Seqs!$A:$B,2,0),AA154,1),"")</f>
        <v>R</v>
      </c>
      <c r="AA154" s="9">
        <v>140</v>
      </c>
      <c r="AB154" s="9" t="str">
        <f>IFERROR(MID(VLOOKUP($B154,Seqs!$A:$B,2,0),AC154,1),"")</f>
        <v>T</v>
      </c>
      <c r="AC154" s="9">
        <v>141</v>
      </c>
      <c r="AD154" s="9" t="str">
        <f>IFERROR(MID(VLOOKUP($B154,Seqs!$A:$B,2,0),AE154,1),"")</f>
        <v>H</v>
      </c>
      <c r="AE154" s="9">
        <v>166</v>
      </c>
      <c r="AF154" s="9" t="str">
        <f>IFERROR(MID(VLOOKUP($B154,Seqs!$A:$B,2,0),AG154,1),"")</f>
        <v>C</v>
      </c>
      <c r="AG154" s="9">
        <v>180</v>
      </c>
      <c r="AH154" s="9" t="str">
        <f>IFERROR(MID(VLOOKUP($B154,Seqs!$A:$B,2,0),AI154,1),"")</f>
        <v>F</v>
      </c>
      <c r="AI154" s="9">
        <v>182</v>
      </c>
      <c r="AJ154" s="9" t="str">
        <f>IFERROR(MID(VLOOKUP($B154,Seqs!$A:$B,2,0),AK154,1),"")</f>
        <v>L</v>
      </c>
      <c r="AK154" s="9">
        <v>195</v>
      </c>
      <c r="AL154" s="9" t="str">
        <f>IFERROR(MID(VLOOKUP($B154,Seqs!$A:$B,2,0),AM154,1),"")</f>
        <v>Y</v>
      </c>
      <c r="AM154" s="9">
        <v>226</v>
      </c>
      <c r="AN154" s="9" t="str">
        <f>IFERROR(MID(VLOOKUP($B154,Seqs!$A:$B,2,0),AO154,1),"")</f>
        <v/>
      </c>
      <c r="AO154" s="9">
        <v>1237</v>
      </c>
      <c r="AP154" s="9" t="str">
        <f>IFERROR(MID(VLOOKUP($B154,Seqs!$A:$B,2,0),AQ154,1),"")</f>
        <v/>
      </c>
      <c r="AQ154" s="9">
        <v>1269</v>
      </c>
      <c r="AR154" s="9" t="str">
        <f>IFERROR(MID(VLOOKUP($B154,Seqs!$A:$B,2,0),AS154,1),"")</f>
        <v/>
      </c>
      <c r="AS154" s="9">
        <v>1273</v>
      </c>
      <c r="AT154" s="9" t="str">
        <f>IFERROR(MID(VLOOKUP($B154,Seqs!$A:$B,2,0),AU154,1),"")</f>
        <v/>
      </c>
      <c r="AU154" s="9">
        <v>1305</v>
      </c>
      <c r="AV154" s="9" t="str">
        <f>IFERROR(MID(VLOOKUP($B154,Seqs!$A:$B,2,0),AW154,1),"")</f>
        <v/>
      </c>
      <c r="AW154" s="9">
        <v>1306</v>
      </c>
      <c r="AX154" s="9" t="str">
        <f>IFERROR(MID(VLOOKUP($B154,Seqs!$A:$B,2,0),AY154,1),"")</f>
        <v/>
      </c>
      <c r="AY154" s="9">
        <v>1318</v>
      </c>
      <c r="AZ154" s="110" t="str">
        <f>VLOOKUP(B154,Classification!A:D,2,0)</f>
        <v>A</v>
      </c>
      <c r="BA154" s="98" t="str">
        <f>VLOOKUP(B154,Classification!A:D,4,0)</f>
        <v>Angiotensin</v>
      </c>
      <c r="BB154" s="36" t="b">
        <f t="shared" ref="BB154" si="1121"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109">
        <f t="shared" ref="BC154" si="1122">_xlfn.AGGREGATE(9,6,CH154:CS154)-_xlfn.AGGREGATE(9,6,BV154:CG154)+12</f>
        <v>253</v>
      </c>
      <c r="BD154" s="40" t="s">
        <v>23</v>
      </c>
      <c r="BE154" s="9" t="s">
        <v>1291</v>
      </c>
      <c r="BF154" s="119">
        <v>2.79</v>
      </c>
      <c r="BG154" s="51" t="s">
        <v>1</v>
      </c>
      <c r="BH154" s="51" t="s">
        <v>1</v>
      </c>
      <c r="BI154" s="137"/>
      <c r="BJ154" s="111" t="s">
        <v>1287</v>
      </c>
      <c r="BK154" s="112" t="s">
        <v>1287</v>
      </c>
      <c r="BL154" s="112" t="s">
        <v>1287</v>
      </c>
      <c r="BM154" s="112" t="s">
        <v>1287</v>
      </c>
      <c r="BN154" s="112" t="s">
        <v>1287</v>
      </c>
      <c r="BO154" s="112" t="s">
        <v>1287</v>
      </c>
      <c r="BP154" s="112" t="s">
        <v>1287</v>
      </c>
      <c r="BQ154" s="112" t="s">
        <v>1287</v>
      </c>
      <c r="BR154" s="112" t="s">
        <v>1287</v>
      </c>
      <c r="BS154" s="112" t="s">
        <v>1287</v>
      </c>
      <c r="BT154" s="112" t="s">
        <v>1287</v>
      </c>
      <c r="BU154" s="112" t="s">
        <v>1287</v>
      </c>
      <c r="BV154" s="111">
        <f t="shared" ref="BV154" si="1123">E154</f>
        <v>24</v>
      </c>
      <c r="BW154" s="113" t="str">
        <f t="shared" ref="BW154" si="1124">I154</f>
        <v>-</v>
      </c>
      <c r="BX154" s="114">
        <f t="shared" ref="BX154" si="1125">M154</f>
        <v>61</v>
      </c>
      <c r="BY154" s="113">
        <f t="shared" ref="BY154" si="1126">Q154</f>
        <v>93</v>
      </c>
      <c r="BZ154" s="114">
        <f t="shared" ref="BZ154" si="1127">U154</f>
        <v>97</v>
      </c>
      <c r="CA154" s="113">
        <f t="shared" ref="CA154" si="1128">Y154</f>
        <v>133</v>
      </c>
      <c r="CB154" s="114">
        <f t="shared" ref="CB154" si="1129">AC154</f>
        <v>141</v>
      </c>
      <c r="CC154" s="113">
        <f t="shared" ref="CC154" si="1130">AG154</f>
        <v>180</v>
      </c>
      <c r="CD154" s="114">
        <f t="shared" ref="CD154" si="1131">AK154</f>
        <v>195</v>
      </c>
      <c r="CE154" s="113">
        <f t="shared" ref="CE154" si="1132">AO154</f>
        <v>1237</v>
      </c>
      <c r="CF154" s="114">
        <f t="shared" ref="CF154" si="1133">AS154</f>
        <v>1273</v>
      </c>
      <c r="CG154" s="113">
        <f t="shared" ref="CG154" si="1134">AW154</f>
        <v>1306</v>
      </c>
      <c r="CH154" s="111">
        <f t="shared" ref="CH154" si="1135">G154</f>
        <v>56</v>
      </c>
      <c r="CI154" s="113" t="str">
        <f t="shared" ref="CI154" si="1136">K154</f>
        <v>-</v>
      </c>
      <c r="CJ154" s="114">
        <f t="shared" ref="CJ154" si="1137">O154</f>
        <v>91</v>
      </c>
      <c r="CK154" s="114">
        <f t="shared" ref="CK154" si="1138">S154</f>
        <v>96</v>
      </c>
      <c r="CL154" s="114">
        <f t="shared" ref="CL154" si="1139">W154</f>
        <v>132</v>
      </c>
      <c r="CM154" s="114">
        <f t="shared" ref="CM154" si="1140">AA154</f>
        <v>140</v>
      </c>
      <c r="CN154" s="114">
        <f t="shared" ref="CN154" si="1141">AE154</f>
        <v>166</v>
      </c>
      <c r="CO154" s="114">
        <f t="shared" ref="CO154" si="1142">AI154</f>
        <v>182</v>
      </c>
      <c r="CP154" s="114">
        <f t="shared" ref="CP154" si="1143">AM154</f>
        <v>226</v>
      </c>
      <c r="CQ154" s="114">
        <f t="shared" ref="CQ154" si="1144">AQ154</f>
        <v>1269</v>
      </c>
      <c r="CR154" s="114">
        <f t="shared" ref="CR154" si="1145">AU154</f>
        <v>1305</v>
      </c>
      <c r="CS154" s="114">
        <f t="shared" ref="CS154" si="1146">AY154</f>
        <v>1318</v>
      </c>
      <c r="CT154" s="109" t="e">
        <f t="shared" ref="CT154" si="1147">M154-K154</f>
        <v>#VALUE!</v>
      </c>
    </row>
    <row r="155" spans="1:1029" s="12" customFormat="1" ht="18" x14ac:dyDescent="0.2">
      <c r="A155" s="9" t="str">
        <f t="shared" ref="A155" si="1148">CONCATENATE(B155,"_",C155)</f>
        <v>agtr1_human_6OS2</v>
      </c>
      <c r="B155" s="9" t="s">
        <v>158</v>
      </c>
      <c r="C155" s="9" t="s">
        <v>1661</v>
      </c>
      <c r="D155" s="9" t="str">
        <f>IFERROR(MID(VLOOKUP($B155,Seqs!$A:$B,2,0),E155,1),"")</f>
        <v>N</v>
      </c>
      <c r="E155" s="9">
        <v>25</v>
      </c>
      <c r="F155" s="9" t="str">
        <f>IFERROR(MID(VLOOKUP($B155,Seqs!$A:$B,2,0),G155,1),"")</f>
        <v>M</v>
      </c>
      <c r="G155" s="9">
        <v>57</v>
      </c>
      <c r="H155" s="9" t="str">
        <f>IFERROR(MID(VLOOKUP($B155,Seqs!$A:$B,2,0),I155,1),"")</f>
        <v/>
      </c>
      <c r="I155" s="109" t="s">
        <v>23</v>
      </c>
      <c r="J155" s="9" t="str">
        <f>IFERROR(MID(VLOOKUP($B155,Seqs!$A:$B,2,0),K155,1),"")</f>
        <v/>
      </c>
      <c r="K155" s="109" t="s">
        <v>23</v>
      </c>
      <c r="L155" s="9" t="str">
        <f>IFERROR(MID(VLOOKUP($B155,Seqs!$A:$B,2,0),M155,1),"")</f>
        <v>V</v>
      </c>
      <c r="M155" s="9">
        <v>62</v>
      </c>
      <c r="N155" s="9" t="str">
        <f>IFERROR(MID(VLOOKUP($B155,Seqs!$A:$B,2,0),O155,1),"")</f>
        <v>Y</v>
      </c>
      <c r="O155" s="9">
        <v>92</v>
      </c>
      <c r="P155" s="9" t="str">
        <f>IFERROR(MID(VLOOKUP($B155,Seqs!$A:$B,2,0),Q155,1),"")</f>
        <v>W</v>
      </c>
      <c r="Q155" s="9">
        <v>94</v>
      </c>
      <c r="R155" s="9" t="str">
        <f>IFERROR(MID(VLOOKUP($B155,Seqs!$A:$B,2,0),S155,1),"")</f>
        <v>F</v>
      </c>
      <c r="S155" s="9">
        <v>96</v>
      </c>
      <c r="T155" s="9" t="str">
        <f>IFERROR(MID(VLOOKUP($B155,Seqs!$A:$B,2,0),U155,1),"")</f>
        <v>G</v>
      </c>
      <c r="U155" s="9">
        <v>97</v>
      </c>
      <c r="V155" s="9" t="str">
        <f>IFERROR(MID(VLOOKUP($B155,Seqs!$A:$B,2,0),W155,1),"")</f>
        <v>H</v>
      </c>
      <c r="W155" s="9">
        <v>132</v>
      </c>
      <c r="X155" s="9" t="str">
        <f>IFERROR(MID(VLOOKUP($B155,Seqs!$A:$B,2,0),Y155,1),"")</f>
        <v>P</v>
      </c>
      <c r="Y155" s="9">
        <v>133</v>
      </c>
      <c r="Z155" s="9" t="str">
        <f>IFERROR(MID(VLOOKUP($B155,Seqs!$A:$B,2,0),AA155,1),"")</f>
        <v>R</v>
      </c>
      <c r="AA155" s="9">
        <v>140</v>
      </c>
      <c r="AB155" s="9" t="str">
        <f>IFERROR(MID(VLOOKUP($B155,Seqs!$A:$B,2,0),AC155,1),"")</f>
        <v>T</v>
      </c>
      <c r="AC155" s="9">
        <v>141</v>
      </c>
      <c r="AD155" s="9" t="str">
        <f>IFERROR(MID(VLOOKUP($B155,Seqs!$A:$B,2,0),AE155,1),"")</f>
        <v>H</v>
      </c>
      <c r="AE155" s="9">
        <v>166</v>
      </c>
      <c r="AF155" s="9" t="str">
        <f>IFERROR(MID(VLOOKUP($B155,Seqs!$A:$B,2,0),AG155,1),"")</f>
        <v>C</v>
      </c>
      <c r="AG155" s="9">
        <v>180</v>
      </c>
      <c r="AH155" s="9" t="str">
        <f>IFERROR(MID(VLOOKUP($B155,Seqs!$A:$B,2,0),AI155,1),"")</f>
        <v>F</v>
      </c>
      <c r="AI155" s="9">
        <v>182</v>
      </c>
      <c r="AJ155" s="9" t="str">
        <f>IFERROR(MID(VLOOKUP($B155,Seqs!$A:$B,2,0),AK155,1),"")</f>
        <v>L</v>
      </c>
      <c r="AK155" s="9">
        <v>195</v>
      </c>
      <c r="AL155" s="9" t="str">
        <f>IFERROR(MID(VLOOKUP($B155,Seqs!$A:$B,2,0),AM155,1),"")</f>
        <v>Y</v>
      </c>
      <c r="AM155" s="9">
        <v>226</v>
      </c>
      <c r="AN155" s="9" t="str">
        <f>IFERROR(MID(VLOOKUP($B155,Seqs!$A:$B,2,0),AO155,1),"")</f>
        <v/>
      </c>
      <c r="AO155" s="9">
        <v>1237</v>
      </c>
      <c r="AP155" s="9" t="str">
        <f>IFERROR(MID(VLOOKUP($B155,Seqs!$A:$B,2,0),AQ155,1),"")</f>
        <v/>
      </c>
      <c r="AQ155" s="9">
        <v>1269</v>
      </c>
      <c r="AR155" s="9" t="str">
        <f>IFERROR(MID(VLOOKUP($B155,Seqs!$A:$B,2,0),AS155,1),"")</f>
        <v/>
      </c>
      <c r="AS155" s="9">
        <v>1273</v>
      </c>
      <c r="AT155" s="9" t="str">
        <f>IFERROR(MID(VLOOKUP($B155,Seqs!$A:$B,2,0),AU155,1),"")</f>
        <v/>
      </c>
      <c r="AU155" s="9">
        <v>1305</v>
      </c>
      <c r="AV155" s="9" t="str">
        <f>IFERROR(MID(VLOOKUP($B155,Seqs!$A:$B,2,0),AW155,1),"")</f>
        <v/>
      </c>
      <c r="AW155" s="9">
        <v>1306</v>
      </c>
      <c r="AX155" s="9" t="str">
        <f>IFERROR(MID(VLOOKUP($B155,Seqs!$A:$B,2,0),AY155,1),"")</f>
        <v/>
      </c>
      <c r="AY155" s="9">
        <v>1318</v>
      </c>
      <c r="AZ155" s="110" t="str">
        <f>VLOOKUP(B155,Classification!A:D,2,0)</f>
        <v>A</v>
      </c>
      <c r="BA155" s="98" t="str">
        <f>VLOOKUP(B155,Classification!A:D,4,0)</f>
        <v>Angiotensin</v>
      </c>
      <c r="BB155" s="36" t="b">
        <f t="shared" ref="BB155" si="1149"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109">
        <f t="shared" ref="BC155" si="1150">_xlfn.AGGREGATE(9,6,CH155:CS155)-_xlfn.AGGREGATE(9,6,BV155:CG155)+12</f>
        <v>252</v>
      </c>
      <c r="BD155" s="40" t="s">
        <v>23</v>
      </c>
      <c r="BE155" s="9" t="s">
        <v>1291</v>
      </c>
      <c r="BF155" s="119">
        <v>2.7</v>
      </c>
      <c r="BG155" s="51" t="s">
        <v>1</v>
      </c>
      <c r="BH155" s="51" t="s">
        <v>1</v>
      </c>
      <c r="BI155" s="137"/>
      <c r="BJ155" s="111" t="s">
        <v>1287</v>
      </c>
      <c r="BK155" s="112" t="s">
        <v>1287</v>
      </c>
      <c r="BL155" s="112" t="s">
        <v>1287</v>
      </c>
      <c r="BM155" s="112" t="s">
        <v>1287</v>
      </c>
      <c r="BN155" s="112" t="s">
        <v>1287</v>
      </c>
      <c r="BO155" s="112" t="s">
        <v>1287</v>
      </c>
      <c r="BP155" s="112" t="s">
        <v>1287</v>
      </c>
      <c r="BQ155" s="112" t="s">
        <v>1287</v>
      </c>
      <c r="BR155" s="112" t="s">
        <v>1287</v>
      </c>
      <c r="BS155" s="112" t="s">
        <v>1287</v>
      </c>
      <c r="BT155" s="112" t="s">
        <v>1287</v>
      </c>
      <c r="BU155" s="112" t="s">
        <v>1287</v>
      </c>
      <c r="BV155" s="111">
        <f t="shared" ref="BV155" si="1151">E155</f>
        <v>25</v>
      </c>
      <c r="BW155" s="113" t="str">
        <f t="shared" ref="BW155" si="1152">I155</f>
        <v>-</v>
      </c>
      <c r="BX155" s="114">
        <f t="shared" ref="BX155" si="1153">M155</f>
        <v>62</v>
      </c>
      <c r="BY155" s="113">
        <f t="shared" ref="BY155" si="1154">Q155</f>
        <v>94</v>
      </c>
      <c r="BZ155" s="114">
        <f t="shared" ref="BZ155" si="1155">U155</f>
        <v>97</v>
      </c>
      <c r="CA155" s="113">
        <f t="shared" ref="CA155" si="1156">Y155</f>
        <v>133</v>
      </c>
      <c r="CB155" s="114">
        <f t="shared" ref="CB155" si="1157">AC155</f>
        <v>141</v>
      </c>
      <c r="CC155" s="113">
        <f t="shared" ref="CC155" si="1158">AG155</f>
        <v>180</v>
      </c>
      <c r="CD155" s="114">
        <f t="shared" ref="CD155" si="1159">AK155</f>
        <v>195</v>
      </c>
      <c r="CE155" s="113">
        <f t="shared" ref="CE155" si="1160">AO155</f>
        <v>1237</v>
      </c>
      <c r="CF155" s="114">
        <f t="shared" ref="CF155" si="1161">AS155</f>
        <v>1273</v>
      </c>
      <c r="CG155" s="113">
        <f t="shared" ref="CG155" si="1162">AW155</f>
        <v>1306</v>
      </c>
      <c r="CH155" s="111">
        <f t="shared" ref="CH155" si="1163">G155</f>
        <v>57</v>
      </c>
      <c r="CI155" s="113" t="str">
        <f t="shared" ref="CI155" si="1164">K155</f>
        <v>-</v>
      </c>
      <c r="CJ155" s="114">
        <f t="shared" ref="CJ155" si="1165">O155</f>
        <v>92</v>
      </c>
      <c r="CK155" s="114">
        <f t="shared" ref="CK155" si="1166">S155</f>
        <v>96</v>
      </c>
      <c r="CL155" s="114">
        <f t="shared" ref="CL155" si="1167">W155</f>
        <v>132</v>
      </c>
      <c r="CM155" s="114">
        <f t="shared" ref="CM155" si="1168">AA155</f>
        <v>140</v>
      </c>
      <c r="CN155" s="114">
        <f t="shared" ref="CN155" si="1169">AE155</f>
        <v>166</v>
      </c>
      <c r="CO155" s="114">
        <f t="shared" ref="CO155" si="1170">AI155</f>
        <v>182</v>
      </c>
      <c r="CP155" s="114">
        <f t="shared" ref="CP155" si="1171">AM155</f>
        <v>226</v>
      </c>
      <c r="CQ155" s="114">
        <f t="shared" ref="CQ155" si="1172">AQ155</f>
        <v>1269</v>
      </c>
      <c r="CR155" s="114">
        <f t="shared" ref="CR155" si="1173">AU155</f>
        <v>1305</v>
      </c>
      <c r="CS155" s="114">
        <f t="shared" ref="CS155" si="1174">AY155</f>
        <v>1318</v>
      </c>
      <c r="CT155" s="109" t="e">
        <f t="shared" ref="CT155" si="1175">M155-K155</f>
        <v>#VALUE!</v>
      </c>
    </row>
    <row r="156" spans="1:1029" x14ac:dyDescent="0.2">
      <c r="A156" s="3" t="str">
        <f t="shared" ref="A156:A168" si="1176">CONCATENATE(B156,"_",C156)</f>
        <v>agtr2_human__wt</v>
      </c>
      <c r="B156" s="3" t="s">
        <v>159</v>
      </c>
      <c r="C156" s="3" t="s">
        <v>100</v>
      </c>
      <c r="D156" s="3" t="str">
        <f>IFERROR(MID(VLOOKUP($B156,Seqs!$A:$B,2,0),E156,1),"")</f>
        <v>D</v>
      </c>
      <c r="E156" s="3">
        <v>45</v>
      </c>
      <c r="F156" s="3" t="str">
        <f>IFERROR(MID(VLOOKUP($B156,Seqs!$A:$B,2,0),G156,1),"")</f>
        <v>Q</v>
      </c>
      <c r="G156" s="3">
        <v>72</v>
      </c>
      <c r="H156" s="3" t="str">
        <f>IFERROR(MID(VLOOKUP($B156,Seqs!$A:$B,2,0),I156,1),"")</f>
        <v/>
      </c>
      <c r="I156" s="23" t="s">
        <v>23</v>
      </c>
      <c r="J156" s="3" t="str">
        <f>IFERROR(MID(VLOOKUP($B156,Seqs!$A:$B,2,0),K156,1),"")</f>
        <v/>
      </c>
      <c r="K156" s="23" t="s">
        <v>23</v>
      </c>
      <c r="L156" s="3" t="str">
        <f>IFERROR(MID(VLOOKUP($B156,Seqs!$A:$B,2,0),M156,1),"")</f>
        <v>V</v>
      </c>
      <c r="M156" s="3">
        <v>78</v>
      </c>
      <c r="N156" s="3" t="str">
        <f>IFERROR(MID(VLOOKUP($B156,Seqs!$A:$B,2,0),O156,1),"")</f>
        <v>Y</v>
      </c>
      <c r="O156" s="3">
        <v>106</v>
      </c>
      <c r="P156" s="3" t="str">
        <f>IFERROR(MID(VLOOKUP($B156,Seqs!$A:$B,2,0),Q156,1),"")</f>
        <v>R</v>
      </c>
      <c r="Q156" s="3">
        <v>107</v>
      </c>
      <c r="R156" s="3" t="str">
        <f>IFERROR(MID(VLOOKUP($B156,Seqs!$A:$B,2,0),S156,1),"")</f>
        <v>F</v>
      </c>
      <c r="S156" s="3">
        <v>112</v>
      </c>
      <c r="T156" s="3" t="str">
        <f>IFERROR(MID(VLOOKUP($B156,Seqs!$A:$B,2,0),U156,1),"")</f>
        <v>G</v>
      </c>
      <c r="U156" s="3">
        <v>113</v>
      </c>
      <c r="V156" s="3" t="str">
        <f>IFERROR(MID(VLOOKUP($B156,Seqs!$A:$B,2,0),W156,1),"")</f>
        <v>Y</v>
      </c>
      <c r="W156" s="3">
        <v>148</v>
      </c>
      <c r="X156" s="3" t="str">
        <f>IFERROR(MID(VLOOKUP($B156,Seqs!$A:$B,2,0),Y156,1),"")</f>
        <v>P</v>
      </c>
      <c r="Y156" s="3">
        <v>149</v>
      </c>
      <c r="Z156" s="3" t="str">
        <f>IFERROR(MID(VLOOKUP($B156,Seqs!$A:$B,2,0),AA156,1),"")</f>
        <v>R</v>
      </c>
      <c r="AA156" s="3">
        <v>155</v>
      </c>
      <c r="AB156" s="3" t="str">
        <f>IFERROR(MID(VLOOKUP($B156,Seqs!$A:$B,2,0),AC156,1),"")</f>
        <v>N</v>
      </c>
      <c r="AC156" s="3">
        <v>156</v>
      </c>
      <c r="AD156" s="3" t="str">
        <f>IFERROR(MID(VLOOKUP($B156,Seqs!$A:$B,2,0),AE156,1),"")</f>
        <v>R</v>
      </c>
      <c r="AE156" s="3">
        <v>182</v>
      </c>
      <c r="AF156" s="3" t="str">
        <f>IFERROR(MID(VLOOKUP($B156,Seqs!$A:$B,2,0),AG156,1),"")</f>
        <v>C</v>
      </c>
      <c r="AG156" s="3">
        <v>195</v>
      </c>
      <c r="AH156" s="3" t="str">
        <f>IFERROR(MID(VLOOKUP($B156,Seqs!$A:$B,2,0),AI156,1),"")</f>
        <v>M</v>
      </c>
      <c r="AI156" s="3">
        <v>197</v>
      </c>
      <c r="AJ156" s="3" t="str">
        <f>IFERROR(MID(VLOOKUP($B156,Seqs!$A:$B,2,0),AK156,1),"")</f>
        <v>K</v>
      </c>
      <c r="AK156" s="3">
        <v>203</v>
      </c>
      <c r="AL156" s="3" t="str">
        <f>IFERROR(MID(VLOOKUP($B156,Seqs!$A:$B,2,0),AM156,1),"")</f>
        <v>T</v>
      </c>
      <c r="AM156" s="3">
        <v>241</v>
      </c>
      <c r="AN156" s="3" t="str">
        <f>IFERROR(MID(VLOOKUP($B156,Seqs!$A:$B,2,0),AO156,1),"")</f>
        <v>G</v>
      </c>
      <c r="AO156" s="3">
        <v>245</v>
      </c>
      <c r="AP156" s="3" t="str">
        <f>IFERROR(MID(VLOOKUP($B156,Seqs!$A:$B,2,0),AQ156,1),"")</f>
        <v>G</v>
      </c>
      <c r="AQ156" s="3">
        <v>285</v>
      </c>
      <c r="AR156" s="3" t="str">
        <f>IFERROR(MID(VLOOKUP($B156,Seqs!$A:$B,2,0),AS156,1),"")</f>
        <v>S</v>
      </c>
      <c r="AS156" s="3">
        <v>289</v>
      </c>
      <c r="AT156" s="3" t="str">
        <f>IFERROR(MID(VLOOKUP($B156,Seqs!$A:$B,2,0),AU156,1),"")</f>
        <v>V</v>
      </c>
      <c r="AU156" s="3">
        <v>321</v>
      </c>
      <c r="AV156" s="3" t="str">
        <f>IFERROR(MID(VLOOKUP($B156,Seqs!$A:$B,2,0),AW156,1),"")</f>
        <v>G</v>
      </c>
      <c r="AW156" s="3">
        <v>322</v>
      </c>
      <c r="AX156" s="3" t="str">
        <f>IFERROR(MID(VLOOKUP($B156,Seqs!$A:$B,2,0),AY156,1),"")</f>
        <v>P</v>
      </c>
      <c r="AY156" s="3">
        <v>336</v>
      </c>
      <c r="AZ156" s="77" t="str">
        <f>VLOOKUP(B156,Classification!A:D,2,0)</f>
        <v>A</v>
      </c>
      <c r="BA156" s="94" t="str">
        <f>VLOOKUP(B156,Classification!A:D,4,0)</f>
        <v>Angiotensin</v>
      </c>
      <c r="BB156" s="27" t="b">
        <f t="shared" ref="BB156:BB168" si="1177"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23">
        <f t="shared" ref="BC156:BC168" si="1178">_xlfn.AGGREGATE(9,6,CH156:CS156)-_xlfn.AGGREGATE(9,6,BV156:CG156)+12</f>
        <v>265</v>
      </c>
      <c r="BD156" s="2" t="s">
        <v>23</v>
      </c>
      <c r="BE156" s="3" t="s">
        <v>23</v>
      </c>
      <c r="BF156" s="118" t="s">
        <v>23</v>
      </c>
      <c r="BG156" s="49" t="s">
        <v>1377</v>
      </c>
      <c r="BH156" s="49" t="s">
        <v>1377</v>
      </c>
      <c r="BI156" s="1"/>
      <c r="BJ156" s="70" t="s">
        <v>1287</v>
      </c>
      <c r="BK156" s="57" t="s">
        <v>1287</v>
      </c>
      <c r="BL156" s="57" t="s">
        <v>1287</v>
      </c>
      <c r="BM156" s="57" t="s">
        <v>1287</v>
      </c>
      <c r="BN156" s="57" t="s">
        <v>1287</v>
      </c>
      <c r="BO156" s="57" t="s">
        <v>1287</v>
      </c>
      <c r="BP156" s="57" t="s">
        <v>1287</v>
      </c>
      <c r="BQ156" s="57" t="s">
        <v>1287</v>
      </c>
      <c r="BR156" s="57" t="s">
        <v>1287</v>
      </c>
      <c r="BS156" s="57" t="s">
        <v>1287</v>
      </c>
      <c r="BT156" s="57" t="s">
        <v>1287</v>
      </c>
      <c r="BU156" s="57" t="s">
        <v>1287</v>
      </c>
      <c r="BV156" s="70">
        <f t="shared" ref="BV156:BV168" si="1179">E156</f>
        <v>45</v>
      </c>
      <c r="BW156" s="71" t="str">
        <f t="shared" ref="BW156:BW168" si="1180">I156</f>
        <v>-</v>
      </c>
      <c r="BX156" s="72">
        <f t="shared" ref="BX156:BX168" si="1181">M156</f>
        <v>78</v>
      </c>
      <c r="BY156" s="71">
        <f t="shared" ref="BY156:BY168" si="1182">Q156</f>
        <v>107</v>
      </c>
      <c r="BZ156" s="72">
        <f t="shared" ref="BZ156:BZ168" si="1183">U156</f>
        <v>113</v>
      </c>
      <c r="CA156" s="71">
        <f t="shared" ref="CA156:CA168" si="1184">Y156</f>
        <v>149</v>
      </c>
      <c r="CB156" s="72">
        <f t="shared" ref="CB156:CB168" si="1185">AC156</f>
        <v>156</v>
      </c>
      <c r="CC156" s="71">
        <f t="shared" ref="CC156:CC168" si="1186">AG156</f>
        <v>195</v>
      </c>
      <c r="CD156" s="72">
        <f t="shared" ref="CD156:CD168" si="1187">AK156</f>
        <v>203</v>
      </c>
      <c r="CE156" s="71">
        <f t="shared" ref="CE156:CE168" si="1188">AO156</f>
        <v>245</v>
      </c>
      <c r="CF156" s="72">
        <f t="shared" ref="CF156:CF168" si="1189">AS156</f>
        <v>289</v>
      </c>
      <c r="CG156" s="71">
        <f t="shared" ref="CG156:CG168" si="1190">AW156</f>
        <v>322</v>
      </c>
      <c r="CH156" s="70">
        <f t="shared" ref="CH156:CH168" si="1191">G156</f>
        <v>72</v>
      </c>
      <c r="CI156" s="71" t="str">
        <f t="shared" ref="CI156:CI168" si="1192">K156</f>
        <v>-</v>
      </c>
      <c r="CJ156" s="72">
        <f t="shared" ref="CJ156:CJ168" si="1193">O156</f>
        <v>106</v>
      </c>
      <c r="CK156" s="72">
        <f t="shared" ref="CK156:CK168" si="1194">S156</f>
        <v>112</v>
      </c>
      <c r="CL156" s="72">
        <f t="shared" ref="CL156:CL168" si="1195">W156</f>
        <v>148</v>
      </c>
      <c r="CM156" s="72">
        <f t="shared" ref="CM156:CM168" si="1196">AA156</f>
        <v>155</v>
      </c>
      <c r="CN156" s="72">
        <f t="shared" ref="CN156:CN168" si="1197">AE156</f>
        <v>182</v>
      </c>
      <c r="CO156" s="72">
        <f t="shared" ref="CO156:CO168" si="1198">AI156</f>
        <v>197</v>
      </c>
      <c r="CP156" s="72">
        <f t="shared" ref="CP156:CP168" si="1199">AM156</f>
        <v>241</v>
      </c>
      <c r="CQ156" s="72">
        <f t="shared" ref="CQ156:CQ168" si="1200">AQ156</f>
        <v>285</v>
      </c>
      <c r="CR156" s="72">
        <f t="shared" ref="CR156:CR168" si="1201">AU156</f>
        <v>321</v>
      </c>
      <c r="CS156" s="72">
        <f t="shared" ref="CS156:CS168" si="1202">AY156</f>
        <v>336</v>
      </c>
      <c r="CT156" s="23" t="e">
        <f t="shared" ref="CT156:CT168" si="1203">M156-K156</f>
        <v>#VALUE!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176"/>
        <v>agtr2_human_5UNF</v>
      </c>
      <c r="B157" s="3" t="s">
        <v>159</v>
      </c>
      <c r="C157" s="3" t="s">
        <v>1392</v>
      </c>
      <c r="D157" s="3" t="str">
        <f>IFERROR(MID(VLOOKUP($B157,Seqs!$A:$B,2,0),E157,1),"")</f>
        <v>A</v>
      </c>
      <c r="E157" s="3">
        <v>46</v>
      </c>
      <c r="F157" s="3" t="str">
        <f>IFERROR(MID(VLOOKUP($B157,Seqs!$A:$B,2,0),G157,1),"")</f>
        <v>Q</v>
      </c>
      <c r="G157" s="3">
        <v>72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V</v>
      </c>
      <c r="M157" s="3">
        <v>78</v>
      </c>
      <c r="N157" s="3" t="str">
        <f>IFERROR(MID(VLOOKUP($B157,Seqs!$A:$B,2,0),O157,1),"")</f>
        <v>Y</v>
      </c>
      <c r="O157" s="3">
        <v>106</v>
      </c>
      <c r="P157" s="3" t="str">
        <f>IFERROR(MID(VLOOKUP($B157,Seqs!$A:$B,2,0),Q157,1),"")</f>
        <v>R</v>
      </c>
      <c r="Q157" s="3">
        <v>107</v>
      </c>
      <c r="R157" s="3" t="str">
        <f>IFERROR(MID(VLOOKUP($B157,Seqs!$A:$B,2,0),S157,1),"")</f>
        <v>F</v>
      </c>
      <c r="S157" s="3">
        <v>112</v>
      </c>
      <c r="T157" s="3" t="str">
        <f>IFERROR(MID(VLOOKUP($B157,Seqs!$A:$B,2,0),U157,1),"")</f>
        <v>G</v>
      </c>
      <c r="U157" s="3">
        <v>113</v>
      </c>
      <c r="V157" s="3" t="str">
        <f>IFERROR(MID(VLOOKUP($B157,Seqs!$A:$B,2,0),W157,1),"")</f>
        <v>Y</v>
      </c>
      <c r="W157" s="3">
        <v>148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W</v>
      </c>
      <c r="AC157" s="3">
        <v>158</v>
      </c>
      <c r="AD157" s="3" t="str">
        <f>IFERROR(MID(VLOOKUP($B157,Seqs!$A:$B,2,0),AE157,1),"")</f>
        <v>R</v>
      </c>
      <c r="AE157" s="3">
        <v>182</v>
      </c>
      <c r="AF157" s="3" t="str">
        <f>IFERROR(MID(VLOOKUP($B157,Seqs!$A:$B,2,0),AG157,1),"")</f>
        <v>C</v>
      </c>
      <c r="AG157" s="3">
        <v>195</v>
      </c>
      <c r="AH157" s="3" t="str">
        <f>IFERROR(MID(VLOOKUP($B157,Seqs!$A:$B,2,0),AI157,1),"")</f>
        <v>M</v>
      </c>
      <c r="AI157" s="3">
        <v>197</v>
      </c>
      <c r="AJ157" s="3" t="str">
        <f>IFERROR(MID(VLOOKUP($B157,Seqs!$A:$B,2,0),AK157,1),"")</f>
        <v>Y</v>
      </c>
      <c r="AK157" s="3">
        <v>204</v>
      </c>
      <c r="AL157" s="3" t="str">
        <f>IFERROR(MID(VLOOKUP($B157,Seqs!$A:$B,2,0),AM157,1),"")</f>
        <v>T</v>
      </c>
      <c r="AM157" s="3">
        <v>241</v>
      </c>
      <c r="AN157" s="3" t="str">
        <f>IFERROR(MID(VLOOKUP($B157,Seqs!$A:$B,2,0),AO157,1),"")</f>
        <v>G</v>
      </c>
      <c r="AO157" s="3">
        <v>245</v>
      </c>
      <c r="AP157" s="3" t="str">
        <f>IFERROR(MID(VLOOKUP($B157,Seqs!$A:$B,2,0),AQ157,1),"")</f>
        <v>G</v>
      </c>
      <c r="AQ157" s="3">
        <v>285</v>
      </c>
      <c r="AR157" s="3" t="str">
        <f>IFERROR(MID(VLOOKUP($B157,Seqs!$A:$B,2,0),AS157,1),"")</f>
        <v>C</v>
      </c>
      <c r="AS157" s="3">
        <v>290</v>
      </c>
      <c r="AT157" s="3" t="str">
        <f>IFERROR(MID(VLOOKUP($B157,Seqs!$A:$B,2,0),AU157,1),"")</f>
        <v>V</v>
      </c>
      <c r="AU157" s="3">
        <v>321</v>
      </c>
      <c r="AV157" s="3" t="str">
        <f>IFERROR(MID(VLOOKUP($B157,Seqs!$A:$B,2,0),AW157,1),"")</f>
        <v>G</v>
      </c>
      <c r="AW157" s="3">
        <v>322</v>
      </c>
      <c r="AX157" s="3" t="str">
        <f>IFERROR(MID(VLOOKUP($B157,Seqs!$A:$B,2,0),AY157,1),"")</f>
        <v>R</v>
      </c>
      <c r="AY157" s="3">
        <v>334</v>
      </c>
      <c r="AZ157" s="77"/>
      <c r="BA157" s="94" t="str">
        <f>VLOOKUP(B157,Classification!A:D,4,0)</f>
        <v>Angiotensin</v>
      </c>
      <c r="BB157" s="27" t="b">
        <f t="shared" si="1177"/>
        <v>1</v>
      </c>
      <c r="BC157" s="23">
        <f t="shared" si="1178"/>
        <v>252</v>
      </c>
      <c r="BD157" s="2" t="s">
        <v>23</v>
      </c>
      <c r="BE157" s="3" t="s">
        <v>1291</v>
      </c>
      <c r="BF157" s="118">
        <v>2.8</v>
      </c>
      <c r="BG157" s="49" t="s">
        <v>1377</v>
      </c>
      <c r="BH157" s="49" t="s">
        <v>1</v>
      </c>
      <c r="BI157" s="1"/>
      <c r="BJ157" s="70" t="s">
        <v>1287</v>
      </c>
      <c r="BK157" s="57" t="s">
        <v>1287</v>
      </c>
      <c r="BL157" s="57" t="s">
        <v>1287</v>
      </c>
      <c r="BM157" s="57" t="s">
        <v>1287</v>
      </c>
      <c r="BN157" s="57" t="s">
        <v>1287</v>
      </c>
      <c r="BO157" s="57" t="s">
        <v>1287</v>
      </c>
      <c r="BP157" s="57" t="s">
        <v>1287</v>
      </c>
      <c r="BQ157" s="57" t="s">
        <v>1287</v>
      </c>
      <c r="BR157" s="57" t="s">
        <v>1287</v>
      </c>
      <c r="BS157" s="57" t="s">
        <v>1287</v>
      </c>
      <c r="BT157" s="57" t="s">
        <v>1287</v>
      </c>
      <c r="BU157" s="57" t="s">
        <v>1287</v>
      </c>
      <c r="BV157" s="70">
        <f t="shared" si="1179"/>
        <v>46</v>
      </c>
      <c r="BW157" s="71" t="str">
        <f t="shared" si="1180"/>
        <v>-</v>
      </c>
      <c r="BX157" s="72">
        <f t="shared" si="1181"/>
        <v>78</v>
      </c>
      <c r="BY157" s="71">
        <f t="shared" si="1182"/>
        <v>107</v>
      </c>
      <c r="BZ157" s="72">
        <f t="shared" si="1183"/>
        <v>113</v>
      </c>
      <c r="CA157" s="71" t="str">
        <f t="shared" si="1184"/>
        <v>-</v>
      </c>
      <c r="CB157" s="72">
        <f t="shared" si="1185"/>
        <v>158</v>
      </c>
      <c r="CC157" s="71">
        <f t="shared" si="1186"/>
        <v>195</v>
      </c>
      <c r="CD157" s="72">
        <f t="shared" si="1187"/>
        <v>204</v>
      </c>
      <c r="CE157" s="71">
        <f t="shared" si="1188"/>
        <v>245</v>
      </c>
      <c r="CF157" s="72">
        <f t="shared" si="1189"/>
        <v>290</v>
      </c>
      <c r="CG157" s="71">
        <f t="shared" si="1190"/>
        <v>322</v>
      </c>
      <c r="CH157" s="70">
        <f t="shared" si="1191"/>
        <v>72</v>
      </c>
      <c r="CI157" s="71" t="str">
        <f t="shared" si="1192"/>
        <v>-</v>
      </c>
      <c r="CJ157" s="72">
        <f t="shared" si="1193"/>
        <v>106</v>
      </c>
      <c r="CK157" s="72">
        <f t="shared" si="1194"/>
        <v>112</v>
      </c>
      <c r="CL157" s="72">
        <f t="shared" si="1195"/>
        <v>148</v>
      </c>
      <c r="CM157" s="72" t="str">
        <f t="shared" si="1196"/>
        <v>-</v>
      </c>
      <c r="CN157" s="72">
        <f t="shared" si="1197"/>
        <v>182</v>
      </c>
      <c r="CO157" s="72">
        <f t="shared" si="1198"/>
        <v>197</v>
      </c>
      <c r="CP157" s="72">
        <f t="shared" si="1199"/>
        <v>241</v>
      </c>
      <c r="CQ157" s="72">
        <f t="shared" si="1200"/>
        <v>285</v>
      </c>
      <c r="CR157" s="72">
        <f t="shared" si="1201"/>
        <v>321</v>
      </c>
      <c r="CS157" s="72">
        <f t="shared" si="1202"/>
        <v>334</v>
      </c>
      <c r="CT157" s="23" t="e">
        <f t="shared" si="1203"/>
        <v>#VALUE!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 t="shared" si="1176"/>
        <v>agtr2_human_5UNG</v>
      </c>
      <c r="B158" s="3" t="s">
        <v>159</v>
      </c>
      <c r="C158" s="3" t="s">
        <v>1394</v>
      </c>
      <c r="D158" s="3" t="str">
        <f>IFERROR(MID(VLOOKUP($B158,Seqs!$A:$B,2,0),E158,1),"")</f>
        <v>D</v>
      </c>
      <c r="E158" s="3">
        <v>45</v>
      </c>
      <c r="F158" s="3" t="str">
        <f>IFERROR(MID(VLOOKUP($B158,Seqs!$A:$B,2,0),G158,1),"")</f>
        <v>C</v>
      </c>
      <c r="G158" s="3">
        <v>71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V</v>
      </c>
      <c r="M158" s="3">
        <v>78</v>
      </c>
      <c r="N158" s="3" t="str">
        <f>IFERROR(MID(VLOOKUP($B158,Seqs!$A:$B,2,0),O158,1),"")</f>
        <v>Y</v>
      </c>
      <c r="O158" s="3">
        <v>106</v>
      </c>
      <c r="P158" s="3" t="str">
        <f>IFERROR(MID(VLOOKUP($B158,Seqs!$A:$B,2,0),Q158,1),"")</f>
        <v>R</v>
      </c>
      <c r="Q158" s="3">
        <v>107</v>
      </c>
      <c r="R158" s="3" t="str">
        <f>IFERROR(MID(VLOOKUP($B158,Seqs!$A:$B,2,0),S158,1),"")</f>
        <v>F</v>
      </c>
      <c r="S158" s="3">
        <v>112</v>
      </c>
      <c r="T158" s="3" t="str">
        <f>IFERROR(MID(VLOOKUP($B158,Seqs!$A:$B,2,0),U158,1),"")</f>
        <v>G</v>
      </c>
      <c r="U158" s="3">
        <v>113</v>
      </c>
      <c r="V158" s="3" t="str">
        <f>IFERROR(MID(VLOOKUP($B158,Seqs!$A:$B,2,0),W158,1),"")</f>
        <v>Y</v>
      </c>
      <c r="W158" s="3">
        <v>148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Q</v>
      </c>
      <c r="AC158" s="3">
        <v>159</v>
      </c>
      <c r="AD158" s="3" t="str">
        <f>IFERROR(MID(VLOOKUP($B158,Seqs!$A:$B,2,0),AE158,1),"")</f>
        <v>R</v>
      </c>
      <c r="AE158" s="3">
        <v>182</v>
      </c>
      <c r="AF158" s="3" t="str">
        <f>IFERROR(MID(VLOOKUP($B158,Seqs!$A:$B,2,0),AG158,1),"")</f>
        <v>C</v>
      </c>
      <c r="AG158" s="3">
        <v>195</v>
      </c>
      <c r="AH158" s="3" t="str">
        <f>IFERROR(MID(VLOOKUP($B158,Seqs!$A:$B,2,0),AI158,1),"")</f>
        <v>M</v>
      </c>
      <c r="AI158" s="3">
        <v>197</v>
      </c>
      <c r="AJ158" s="3" t="str">
        <f>IFERROR(MID(VLOOKUP($B158,Seqs!$A:$B,2,0),AK158,1),"")</f>
        <v>K</v>
      </c>
      <c r="AK158" s="3">
        <v>203</v>
      </c>
      <c r="AL158" s="3" t="str">
        <f>IFERROR(MID(VLOOKUP($B158,Seqs!$A:$B,2,0),AM158,1),"")</f>
        <v>T</v>
      </c>
      <c r="AM158" s="3">
        <v>241</v>
      </c>
      <c r="AN158" s="3" t="str">
        <f>IFERROR(MID(VLOOKUP($B158,Seqs!$A:$B,2,0),AO158,1),"")</f>
        <v>G</v>
      </c>
      <c r="AO158" s="3">
        <v>245</v>
      </c>
      <c r="AP158" s="3" t="str">
        <f>IFERROR(MID(VLOOKUP($B158,Seqs!$A:$B,2,0),AQ158,1),"")</f>
        <v>G</v>
      </c>
      <c r="AQ158" s="3">
        <v>285</v>
      </c>
      <c r="AR158" s="3" t="str">
        <f>IFERROR(MID(VLOOKUP($B158,Seqs!$A:$B,2,0),AS158,1),"")</f>
        <v>S</v>
      </c>
      <c r="AS158" s="3">
        <v>289</v>
      </c>
      <c r="AT158" s="3" t="str">
        <f>IFERROR(MID(VLOOKUP($B158,Seqs!$A:$B,2,0),AU158,1),"")</f>
        <v>V</v>
      </c>
      <c r="AU158" s="3">
        <v>321</v>
      </c>
      <c r="AV158" s="3" t="str">
        <f>IFERROR(MID(VLOOKUP($B158,Seqs!$A:$B,2,0),AW158,1),"")</f>
        <v>G</v>
      </c>
      <c r="AW158" s="3">
        <v>322</v>
      </c>
      <c r="AX158" s="3" t="str">
        <f>IFERROR(MID(VLOOKUP($B158,Seqs!$A:$B,2,0),AY158,1),"")</f>
        <v>R</v>
      </c>
      <c r="AY158" s="3">
        <v>334</v>
      </c>
      <c r="AZ158" s="77" t="str">
        <f>VLOOKUP(B158,Classification!A:D,2,0)</f>
        <v>A</v>
      </c>
      <c r="BA158" s="94" t="str">
        <f>VLOOKUP(B158,Classification!A:D,4,0)</f>
        <v>Angiotensin</v>
      </c>
      <c r="BB158" s="27" t="b">
        <f t="shared" si="1177"/>
        <v>1</v>
      </c>
      <c r="BC158" s="23">
        <f t="shared" si="1178"/>
        <v>253</v>
      </c>
      <c r="BD158" s="2" t="s">
        <v>23</v>
      </c>
      <c r="BE158" s="3" t="s">
        <v>1291</v>
      </c>
      <c r="BF158" s="118">
        <v>2.8</v>
      </c>
      <c r="BG158" s="49" t="s">
        <v>1377</v>
      </c>
      <c r="BH158" s="49" t="s">
        <v>1281</v>
      </c>
      <c r="BI158" s="1"/>
      <c r="BJ158" s="70" t="s">
        <v>1287</v>
      </c>
      <c r="BK158" s="57" t="s">
        <v>1287</v>
      </c>
      <c r="BL158" s="57" t="s">
        <v>1287</v>
      </c>
      <c r="BM158" s="57" t="s">
        <v>1287</v>
      </c>
      <c r="BN158" s="57" t="s">
        <v>1287</v>
      </c>
      <c r="BO158" s="57" t="s">
        <v>1287</v>
      </c>
      <c r="BP158" s="57" t="s">
        <v>1287</v>
      </c>
      <c r="BQ158" s="57" t="s">
        <v>1287</v>
      </c>
      <c r="BR158" s="57" t="s">
        <v>1287</v>
      </c>
      <c r="BS158" s="57" t="s">
        <v>1287</v>
      </c>
      <c r="BT158" s="57" t="s">
        <v>1287</v>
      </c>
      <c r="BU158" s="57" t="s">
        <v>1287</v>
      </c>
      <c r="BV158" s="70">
        <f t="shared" si="1179"/>
        <v>45</v>
      </c>
      <c r="BW158" s="71" t="str">
        <f t="shared" si="1180"/>
        <v>-</v>
      </c>
      <c r="BX158" s="72">
        <f t="shared" si="1181"/>
        <v>78</v>
      </c>
      <c r="BY158" s="71">
        <f t="shared" si="1182"/>
        <v>107</v>
      </c>
      <c r="BZ158" s="72">
        <f t="shared" si="1183"/>
        <v>113</v>
      </c>
      <c r="CA158" s="71" t="str">
        <f t="shared" si="1184"/>
        <v>-</v>
      </c>
      <c r="CB158" s="72">
        <f t="shared" si="1185"/>
        <v>159</v>
      </c>
      <c r="CC158" s="71">
        <f t="shared" si="1186"/>
        <v>195</v>
      </c>
      <c r="CD158" s="72">
        <f t="shared" si="1187"/>
        <v>203</v>
      </c>
      <c r="CE158" s="71">
        <f t="shared" si="1188"/>
        <v>245</v>
      </c>
      <c r="CF158" s="72">
        <f t="shared" si="1189"/>
        <v>289</v>
      </c>
      <c r="CG158" s="71">
        <f t="shared" si="1190"/>
        <v>322</v>
      </c>
      <c r="CH158" s="70">
        <f t="shared" si="1191"/>
        <v>71</v>
      </c>
      <c r="CI158" s="71" t="str">
        <f t="shared" si="1192"/>
        <v>-</v>
      </c>
      <c r="CJ158" s="72">
        <f t="shared" si="1193"/>
        <v>106</v>
      </c>
      <c r="CK158" s="72">
        <f t="shared" si="1194"/>
        <v>112</v>
      </c>
      <c r="CL158" s="72">
        <f t="shared" si="1195"/>
        <v>148</v>
      </c>
      <c r="CM158" s="72" t="str">
        <f t="shared" si="1196"/>
        <v>-</v>
      </c>
      <c r="CN158" s="72">
        <f t="shared" si="1197"/>
        <v>182</v>
      </c>
      <c r="CO158" s="72">
        <f t="shared" si="1198"/>
        <v>197</v>
      </c>
      <c r="CP158" s="72">
        <f t="shared" si="1199"/>
        <v>241</v>
      </c>
      <c r="CQ158" s="72">
        <f t="shared" si="1200"/>
        <v>285</v>
      </c>
      <c r="CR158" s="72">
        <f t="shared" si="1201"/>
        <v>321</v>
      </c>
      <c r="CS158" s="72">
        <f t="shared" si="1202"/>
        <v>334</v>
      </c>
      <c r="CT158" s="23" t="e">
        <f t="shared" si="1203"/>
        <v>#VALUE!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 t="shared" si="1176"/>
        <v>agtr2_human_5UNH</v>
      </c>
      <c r="B159" s="3" t="s">
        <v>159</v>
      </c>
      <c r="C159" s="3" t="s">
        <v>1395</v>
      </c>
      <c r="D159" s="3" t="str">
        <f>IFERROR(MID(VLOOKUP($B159,Seqs!$A:$B,2,0),E159,1),"")</f>
        <v>D</v>
      </c>
      <c r="E159" s="3">
        <v>45</v>
      </c>
      <c r="F159" s="3" t="str">
        <f>IFERROR(MID(VLOOKUP($B159,Seqs!$A:$B,2,0),G159,1),"")</f>
        <v>C</v>
      </c>
      <c r="G159" s="3">
        <v>70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K</v>
      </c>
      <c r="M159" s="3">
        <v>77</v>
      </c>
      <c r="N159" s="3" t="str">
        <f>IFERROR(MID(VLOOKUP($B159,Seqs!$A:$B,2,0),O159,1),"")</f>
        <v>Y</v>
      </c>
      <c r="O159" s="3">
        <v>106</v>
      </c>
      <c r="P159" s="3" t="str">
        <f>IFERROR(MID(VLOOKUP($B159,Seqs!$A:$B,2,0),Q159,1),"")</f>
        <v>R</v>
      </c>
      <c r="Q159" s="3">
        <v>107</v>
      </c>
      <c r="R159" s="3" t="str">
        <f>IFERROR(MID(VLOOKUP($B159,Seqs!$A:$B,2,0),S159,1),"")</f>
        <v>F</v>
      </c>
      <c r="S159" s="3">
        <v>112</v>
      </c>
      <c r="T159" s="3" t="str">
        <f>IFERROR(MID(VLOOKUP($B159,Seqs!$A:$B,2,0),U159,1),"")</f>
        <v>G</v>
      </c>
      <c r="U159" s="3">
        <v>113</v>
      </c>
      <c r="V159" s="3" t="str">
        <f>IFERROR(MID(VLOOKUP($B159,Seqs!$A:$B,2,0),W159,1),"")</f>
        <v>Y</v>
      </c>
      <c r="W159" s="3">
        <v>148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Y</v>
      </c>
      <c r="AC159" s="3">
        <v>162</v>
      </c>
      <c r="AD159" s="3" t="str">
        <f>IFERROR(MID(VLOOKUP($B159,Seqs!$A:$B,2,0),AE159,1),"")</f>
        <v>R</v>
      </c>
      <c r="AE159" s="3">
        <v>182</v>
      </c>
      <c r="AF159" s="3" t="str">
        <f>IFERROR(MID(VLOOKUP($B159,Seqs!$A:$B,2,0),AG159,1),"")</f>
        <v>C</v>
      </c>
      <c r="AG159" s="3">
        <v>195</v>
      </c>
      <c r="AH159" s="3" t="str">
        <f>IFERROR(MID(VLOOKUP($B159,Seqs!$A:$B,2,0),AI159,1),"")</f>
        <v>M</v>
      </c>
      <c r="AI159" s="3">
        <v>197</v>
      </c>
      <c r="AJ159" s="3" t="str">
        <f>IFERROR(MID(VLOOKUP($B159,Seqs!$A:$B,2,0),AK159,1),"")</f>
        <v>Y</v>
      </c>
      <c r="AK159" s="3">
        <v>204</v>
      </c>
      <c r="AL159" s="3" t="str">
        <f>IFERROR(MID(VLOOKUP($B159,Seqs!$A:$B,2,0),AM159,1),"")</f>
        <v>T</v>
      </c>
      <c r="AM159" s="3">
        <v>241</v>
      </c>
      <c r="AN159" s="3" t="str">
        <f>IFERROR(MID(VLOOKUP($B159,Seqs!$A:$B,2,0),AO159,1),"")</f>
        <v>G</v>
      </c>
      <c r="AO159" s="3">
        <v>245</v>
      </c>
      <c r="AP159" s="3" t="str">
        <f>IFERROR(MID(VLOOKUP($B159,Seqs!$A:$B,2,0),AQ159,1),"")</f>
        <v>G</v>
      </c>
      <c r="AQ159" s="3">
        <v>285</v>
      </c>
      <c r="AR159" s="3" t="str">
        <f>IFERROR(MID(VLOOKUP($B159,Seqs!$A:$B,2,0),AS159,1),"")</f>
        <v>S</v>
      </c>
      <c r="AS159" s="3">
        <v>289</v>
      </c>
      <c r="AT159" s="3" t="str">
        <f>IFERROR(MID(VLOOKUP($B159,Seqs!$A:$B,2,0),AU159,1),"")</f>
        <v>V</v>
      </c>
      <c r="AU159" s="3">
        <v>321</v>
      </c>
      <c r="AV159" s="3" t="str">
        <f>IFERROR(MID(VLOOKUP($B159,Seqs!$A:$B,2,0),AW159,1),"")</f>
        <v>G</v>
      </c>
      <c r="AW159" s="3">
        <v>322</v>
      </c>
      <c r="AX159" s="3" t="str">
        <f>IFERROR(MID(VLOOKUP($B159,Seqs!$A:$B,2,0),AY159,1),"")</f>
        <v>V</v>
      </c>
      <c r="AY159" s="3">
        <v>332</v>
      </c>
      <c r="AZ159" s="77" t="str">
        <f>VLOOKUP(B159,Classification!A:D,2,0)</f>
        <v>A</v>
      </c>
      <c r="BA159" s="94" t="str">
        <f>VLOOKUP(B159,Classification!A:D,4,0)</f>
        <v>Angiotensin</v>
      </c>
      <c r="BB159" s="27" t="b">
        <f t="shared" si="1177"/>
        <v>1</v>
      </c>
      <c r="BC159" s="23">
        <f t="shared" si="1178"/>
        <v>247</v>
      </c>
      <c r="BD159" s="2" t="s">
        <v>23</v>
      </c>
      <c r="BE159" s="3" t="s">
        <v>1291</v>
      </c>
      <c r="BF159" s="118">
        <v>2.9</v>
      </c>
      <c r="BG159" s="49" t="s">
        <v>1377</v>
      </c>
      <c r="BH159" s="49" t="s">
        <v>1281</v>
      </c>
      <c r="BI159" s="1"/>
      <c r="BJ159" s="70" t="s">
        <v>1287</v>
      </c>
      <c r="BK159" s="57" t="s">
        <v>1287</v>
      </c>
      <c r="BL159" s="57" t="s">
        <v>1287</v>
      </c>
      <c r="BM159" s="57" t="s">
        <v>1287</v>
      </c>
      <c r="BN159" s="57" t="s">
        <v>1287</v>
      </c>
      <c r="BO159" s="57" t="s">
        <v>1287</v>
      </c>
      <c r="BP159" s="57" t="s">
        <v>1287</v>
      </c>
      <c r="BQ159" s="57" t="s">
        <v>1287</v>
      </c>
      <c r="BR159" s="57" t="s">
        <v>1287</v>
      </c>
      <c r="BS159" s="57" t="s">
        <v>1287</v>
      </c>
      <c r="BT159" s="57" t="s">
        <v>1287</v>
      </c>
      <c r="BU159" s="57" t="s">
        <v>1287</v>
      </c>
      <c r="BV159" s="70">
        <f t="shared" si="1179"/>
        <v>45</v>
      </c>
      <c r="BW159" s="71" t="str">
        <f t="shared" si="1180"/>
        <v>-</v>
      </c>
      <c r="BX159" s="72">
        <f t="shared" si="1181"/>
        <v>77</v>
      </c>
      <c r="BY159" s="71">
        <f t="shared" si="1182"/>
        <v>107</v>
      </c>
      <c r="BZ159" s="72">
        <f t="shared" si="1183"/>
        <v>113</v>
      </c>
      <c r="CA159" s="71" t="str">
        <f t="shared" si="1184"/>
        <v>-</v>
      </c>
      <c r="CB159" s="72">
        <f t="shared" si="1185"/>
        <v>162</v>
      </c>
      <c r="CC159" s="71">
        <f t="shared" si="1186"/>
        <v>195</v>
      </c>
      <c r="CD159" s="72">
        <f t="shared" si="1187"/>
        <v>204</v>
      </c>
      <c r="CE159" s="71">
        <f t="shared" si="1188"/>
        <v>245</v>
      </c>
      <c r="CF159" s="72">
        <f t="shared" si="1189"/>
        <v>289</v>
      </c>
      <c r="CG159" s="71">
        <f t="shared" si="1190"/>
        <v>322</v>
      </c>
      <c r="CH159" s="70">
        <f t="shared" si="1191"/>
        <v>70</v>
      </c>
      <c r="CI159" s="71" t="str">
        <f t="shared" si="1192"/>
        <v>-</v>
      </c>
      <c r="CJ159" s="72">
        <f t="shared" si="1193"/>
        <v>106</v>
      </c>
      <c r="CK159" s="72">
        <f t="shared" si="1194"/>
        <v>112</v>
      </c>
      <c r="CL159" s="72">
        <f t="shared" si="1195"/>
        <v>148</v>
      </c>
      <c r="CM159" s="72" t="str">
        <f t="shared" si="1196"/>
        <v>-</v>
      </c>
      <c r="CN159" s="72">
        <f t="shared" si="1197"/>
        <v>182</v>
      </c>
      <c r="CO159" s="72">
        <f t="shared" si="1198"/>
        <v>197</v>
      </c>
      <c r="CP159" s="72">
        <f t="shared" si="1199"/>
        <v>241</v>
      </c>
      <c r="CQ159" s="72">
        <f t="shared" si="1200"/>
        <v>285</v>
      </c>
      <c r="CR159" s="72">
        <f t="shared" si="1201"/>
        <v>321</v>
      </c>
      <c r="CS159" s="72">
        <f t="shared" si="1202"/>
        <v>332</v>
      </c>
      <c r="CT159" s="23" t="e">
        <f t="shared" si="1203"/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 t="shared" ref="A160" si="1204">CONCATENATE(B160,"_",C160)</f>
        <v>agtr2_human_5XJM</v>
      </c>
      <c r="B160" s="3" t="s">
        <v>159</v>
      </c>
      <c r="C160" s="3" t="s">
        <v>1511</v>
      </c>
      <c r="D160" s="3" t="str">
        <f>IFERROR(MID(VLOOKUP($B160,Seqs!$A:$B,2,0),E160,1),"")</f>
        <v>A</v>
      </c>
      <c r="E160" s="3">
        <v>46</v>
      </c>
      <c r="F160" s="3" t="str">
        <f>IFERROR(MID(VLOOKUP($B160,Seqs!$A:$B,2,0),G160,1),"")</f>
        <v>K</v>
      </c>
      <c r="G160" s="3">
        <v>73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V</v>
      </c>
      <c r="M160" s="3">
        <v>78</v>
      </c>
      <c r="N160" s="3" t="str">
        <f>IFERROR(MID(VLOOKUP($B160,Seqs!$A:$B,2,0),O160,1),"")</f>
        <v>Y</v>
      </c>
      <c r="O160" s="3">
        <v>106</v>
      </c>
      <c r="P160" s="3" t="str">
        <f>IFERROR(MID(VLOOKUP($B160,Seqs!$A:$B,2,0),Q160,1),"")</f>
        <v>R</v>
      </c>
      <c r="Q160" s="3">
        <v>107</v>
      </c>
      <c r="R160" s="3" t="str">
        <f>IFERROR(MID(VLOOKUP($B160,Seqs!$A:$B,2,0),S160,1),"")</f>
        <v>F</v>
      </c>
      <c r="S160" s="3">
        <v>112</v>
      </c>
      <c r="T160" s="3" t="str">
        <f>IFERROR(MID(VLOOKUP($B160,Seqs!$A:$B,2,0),U160,1),"")</f>
        <v>G</v>
      </c>
      <c r="U160" s="3">
        <v>113</v>
      </c>
      <c r="V160" s="3" t="str">
        <f>IFERROR(MID(VLOOKUP($B160,Seqs!$A:$B,2,0),W160,1),"")</f>
        <v>Y</v>
      </c>
      <c r="W160" s="3">
        <v>148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R</v>
      </c>
      <c r="AC160" s="3">
        <v>155</v>
      </c>
      <c r="AD160" s="3" t="str">
        <f>IFERROR(MID(VLOOKUP($B160,Seqs!$A:$B,2,0),AE160,1),"")</f>
        <v>F</v>
      </c>
      <c r="AE160" s="3">
        <v>181</v>
      </c>
      <c r="AF160" s="3" t="str">
        <f>IFERROR(MID(VLOOKUP($B160,Seqs!$A:$B,2,0),AG160,1),"")</f>
        <v>C</v>
      </c>
      <c r="AG160" s="3">
        <v>195</v>
      </c>
      <c r="AH160" s="3" t="str">
        <f>IFERROR(MID(VLOOKUP($B160,Seqs!$A:$B,2,0),AI160,1),"")</f>
        <v>M</v>
      </c>
      <c r="AI160" s="3">
        <v>197</v>
      </c>
      <c r="AJ160" s="3" t="str">
        <f>IFERROR(MID(VLOOKUP($B160,Seqs!$A:$B,2,0),AK160,1),"")</f>
        <v>K</v>
      </c>
      <c r="AK160" s="3">
        <v>203</v>
      </c>
      <c r="AL160" s="3" t="str">
        <f>IFERROR(MID(VLOOKUP($B160,Seqs!$A:$B,2,0),AM160,1),"")</f>
        <v>N</v>
      </c>
      <c r="AM160" s="3">
        <v>242</v>
      </c>
      <c r="AN160" s="3" t="str">
        <f>IFERROR(MID(VLOOKUP($B160,Seqs!$A:$B,2,0),AO160,1),"")</f>
        <v>N</v>
      </c>
      <c r="AO160" s="3">
        <v>247</v>
      </c>
      <c r="AP160" s="3" t="str">
        <f>IFERROR(MID(VLOOKUP($B160,Seqs!$A:$B,2,0),AQ160,1),"")</f>
        <v>G</v>
      </c>
      <c r="AQ160" s="3">
        <v>285</v>
      </c>
      <c r="AR160" s="3" t="str">
        <f>IFERROR(MID(VLOOKUP($B160,Seqs!$A:$B,2,0),AS160,1),"")</f>
        <v>S</v>
      </c>
      <c r="AS160" s="3">
        <v>289</v>
      </c>
      <c r="AT160" s="3" t="str">
        <f>IFERROR(MID(VLOOKUP($B160,Seqs!$A:$B,2,0),AU160,1),"")</f>
        <v>F</v>
      </c>
      <c r="AU160" s="3">
        <v>320</v>
      </c>
      <c r="AV160" s="3" t="str">
        <f>IFERROR(MID(VLOOKUP($B160,Seqs!$A:$B,2,0),AW160,1),"")</f>
        <v/>
      </c>
      <c r="AW160" s="3" t="s">
        <v>23</v>
      </c>
      <c r="AX160" s="3" t="str">
        <f>IFERROR(MID(VLOOKUP($B160,Seqs!$A:$B,2,0),AY160,1),"")</f>
        <v/>
      </c>
      <c r="AY160" s="3" t="s">
        <v>23</v>
      </c>
      <c r="AZ160" s="77" t="str">
        <f>VLOOKUP(B160,Classification!A:D,2,0)</f>
        <v>A</v>
      </c>
      <c r="BA160" s="94" t="str">
        <f>VLOOKUP(B160,Classification!A:D,4,0)</f>
        <v>Angiotensin</v>
      </c>
      <c r="BB160" s="27" t="b">
        <f t="shared" ref="BB160" si="1205"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23">
        <f t="shared" ref="BC160" si="1206">_xlfn.AGGREGATE(9,6,CH160:CS160)-_xlfn.AGGREGATE(9,6,BV160:CG160)+12</f>
        <v>243</v>
      </c>
      <c r="BD160" s="2" t="s">
        <v>23</v>
      </c>
      <c r="BE160" s="3" t="s">
        <v>1291</v>
      </c>
      <c r="BF160" s="118">
        <v>3.2</v>
      </c>
      <c r="BG160" s="49" t="s">
        <v>1</v>
      </c>
      <c r="BH160" s="49" t="s">
        <v>1</v>
      </c>
      <c r="BI160" s="1"/>
      <c r="BJ160" s="70" t="s">
        <v>1287</v>
      </c>
      <c r="BK160" s="57" t="s">
        <v>1287</v>
      </c>
      <c r="BL160" s="57" t="s">
        <v>1287</v>
      </c>
      <c r="BM160" s="57" t="s">
        <v>1287</v>
      </c>
      <c r="BN160" s="57" t="s">
        <v>1287</v>
      </c>
      <c r="BO160" s="57" t="s">
        <v>1287</v>
      </c>
      <c r="BP160" s="57" t="s">
        <v>1287</v>
      </c>
      <c r="BQ160" s="57" t="s">
        <v>1287</v>
      </c>
      <c r="BR160" s="57" t="s">
        <v>1287</v>
      </c>
      <c r="BS160" s="57" t="s">
        <v>1287</v>
      </c>
      <c r="BT160" s="57" t="s">
        <v>1287</v>
      </c>
      <c r="BU160" s="57" t="s">
        <v>1287</v>
      </c>
      <c r="BV160" s="70">
        <f t="shared" ref="BV160" si="1207">E160</f>
        <v>46</v>
      </c>
      <c r="BW160" s="71" t="str">
        <f t="shared" ref="BW160" si="1208">I160</f>
        <v>-</v>
      </c>
      <c r="BX160" s="72">
        <f t="shared" ref="BX160" si="1209">M160</f>
        <v>78</v>
      </c>
      <c r="BY160" s="71">
        <f t="shared" ref="BY160" si="1210">Q160</f>
        <v>107</v>
      </c>
      <c r="BZ160" s="72">
        <f t="shared" ref="BZ160" si="1211">U160</f>
        <v>113</v>
      </c>
      <c r="CA160" s="71" t="str">
        <f t="shared" ref="CA160" si="1212">Y160</f>
        <v>-</v>
      </c>
      <c r="CB160" s="72">
        <f t="shared" ref="CB160" si="1213">AC160</f>
        <v>155</v>
      </c>
      <c r="CC160" s="71">
        <f t="shared" ref="CC160" si="1214">AG160</f>
        <v>195</v>
      </c>
      <c r="CD160" s="72">
        <f t="shared" ref="CD160" si="1215">AK160</f>
        <v>203</v>
      </c>
      <c r="CE160" s="71">
        <f t="shared" ref="CE160" si="1216">AO160</f>
        <v>247</v>
      </c>
      <c r="CF160" s="72">
        <f t="shared" ref="CF160" si="1217">AS160</f>
        <v>289</v>
      </c>
      <c r="CG160" s="71" t="str">
        <f t="shared" ref="CG160" si="1218">AW160</f>
        <v>-</v>
      </c>
      <c r="CH160" s="70">
        <f t="shared" ref="CH160" si="1219">G160</f>
        <v>73</v>
      </c>
      <c r="CI160" s="71" t="str">
        <f t="shared" ref="CI160" si="1220">K160</f>
        <v>-</v>
      </c>
      <c r="CJ160" s="72">
        <f t="shared" ref="CJ160" si="1221">O160</f>
        <v>106</v>
      </c>
      <c r="CK160" s="72">
        <f t="shared" ref="CK160" si="1222">S160</f>
        <v>112</v>
      </c>
      <c r="CL160" s="72">
        <f t="shared" ref="CL160" si="1223">W160</f>
        <v>148</v>
      </c>
      <c r="CM160" s="72" t="str">
        <f t="shared" ref="CM160" si="1224">AA160</f>
        <v>-</v>
      </c>
      <c r="CN160" s="72">
        <f t="shared" ref="CN160" si="1225">AE160</f>
        <v>181</v>
      </c>
      <c r="CO160" s="72">
        <f t="shared" ref="CO160" si="1226">AI160</f>
        <v>197</v>
      </c>
      <c r="CP160" s="72">
        <f t="shared" ref="CP160" si="1227">AM160</f>
        <v>242</v>
      </c>
      <c r="CQ160" s="72">
        <f t="shared" ref="CQ160" si="1228">AQ160</f>
        <v>285</v>
      </c>
      <c r="CR160" s="72">
        <f t="shared" ref="CR160" si="1229">AU160</f>
        <v>320</v>
      </c>
      <c r="CS160" s="72" t="str">
        <f t="shared" ref="CS160" si="1230">AY160</f>
        <v>-</v>
      </c>
      <c r="CT160" s="23" t="e">
        <f t="shared" ref="CT160" si="1231">M160-K160</f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s="12" customFormat="1" x14ac:dyDescent="0.2">
      <c r="A161" s="9" t="str">
        <f t="shared" ref="A161" si="1232">CONCATENATE(B161,"_",C161)</f>
        <v>agtr2_human_6JOD</v>
      </c>
      <c r="B161" s="9" t="s">
        <v>159</v>
      </c>
      <c r="C161" s="9" t="s">
        <v>1634</v>
      </c>
      <c r="D161" s="9" t="str">
        <f>IFERROR(MID(VLOOKUP($B161,Seqs!$A:$B,2,0),E161,1),"")</f>
        <v>A</v>
      </c>
      <c r="E161" s="9">
        <v>46</v>
      </c>
      <c r="F161" s="9" t="str">
        <f>IFERROR(MID(VLOOKUP($B161,Seqs!$A:$B,2,0),G161,1),"")</f>
        <v>C</v>
      </c>
      <c r="G161" s="9">
        <v>70</v>
      </c>
      <c r="H161" s="9" t="str">
        <f>IFERROR(MID(VLOOKUP($B161,Seqs!$A:$B,2,0),I161,1),"")</f>
        <v/>
      </c>
      <c r="I161" s="109" t="s">
        <v>23</v>
      </c>
      <c r="J161" s="9" t="str">
        <f>IFERROR(MID(VLOOKUP($B161,Seqs!$A:$B,2,0),K161,1),"")</f>
        <v/>
      </c>
      <c r="K161" s="109" t="s">
        <v>23</v>
      </c>
      <c r="L161" s="9" t="str">
        <f>IFERROR(MID(VLOOKUP($B161,Seqs!$A:$B,2,0),M161,1),"")</f>
        <v>K</v>
      </c>
      <c r="M161" s="9">
        <v>77</v>
      </c>
      <c r="N161" s="9" t="str">
        <f>IFERROR(MID(VLOOKUP($B161,Seqs!$A:$B,2,0),O161,1),"")</f>
        <v>Y</v>
      </c>
      <c r="O161" s="9">
        <v>106</v>
      </c>
      <c r="P161" s="9" t="str">
        <f>IFERROR(MID(VLOOKUP($B161,Seqs!$A:$B,2,0),Q161,1),"")</f>
        <v>R</v>
      </c>
      <c r="Q161" s="9">
        <v>107</v>
      </c>
      <c r="R161" s="9" t="str">
        <f>IFERROR(MID(VLOOKUP($B161,Seqs!$A:$B,2,0),S161,1),"")</f>
        <v>F</v>
      </c>
      <c r="S161" s="9">
        <v>112</v>
      </c>
      <c r="T161" s="9" t="str">
        <f>IFERROR(MID(VLOOKUP($B161,Seqs!$A:$B,2,0),U161,1),"")</f>
        <v>G</v>
      </c>
      <c r="U161" s="9">
        <v>113</v>
      </c>
      <c r="V161" s="9" t="str">
        <f>IFERROR(MID(VLOOKUP($B161,Seqs!$A:$B,2,0),W161,1),"")</f>
        <v>Y</v>
      </c>
      <c r="W161" s="9">
        <v>148</v>
      </c>
      <c r="X161" s="9" t="str">
        <f>IFERROR(MID(VLOOKUP($B161,Seqs!$A:$B,2,0),Y161,1),"")</f>
        <v/>
      </c>
      <c r="Y161" s="9" t="s">
        <v>23</v>
      </c>
      <c r="Z161" s="9" t="str">
        <f>IFERROR(MID(VLOOKUP($B161,Seqs!$A:$B,2,0),AA161,1),"")</f>
        <v/>
      </c>
      <c r="AA161" s="9" t="s">
        <v>23</v>
      </c>
      <c r="AB161" s="9" t="str">
        <f>IFERROR(MID(VLOOKUP($B161,Seqs!$A:$B,2,0),AC161,1),"")</f>
        <v>N</v>
      </c>
      <c r="AC161" s="9">
        <v>156</v>
      </c>
      <c r="AD161" s="9" t="str">
        <f>IFERROR(MID(VLOOKUP($B161,Seqs!$A:$B,2,0),AE161,1),"")</f>
        <v>R</v>
      </c>
      <c r="AE161" s="9">
        <v>182</v>
      </c>
      <c r="AF161" s="9" t="str">
        <f>IFERROR(MID(VLOOKUP($B161,Seqs!$A:$B,2,0),AG161,1),"")</f>
        <v>C</v>
      </c>
      <c r="AG161" s="9">
        <v>195</v>
      </c>
      <c r="AH161" s="9" t="str">
        <f>IFERROR(MID(VLOOKUP($B161,Seqs!$A:$B,2,0),AI161,1),"")</f>
        <v>M</v>
      </c>
      <c r="AI161" s="9">
        <v>197</v>
      </c>
      <c r="AJ161" s="9" t="str">
        <f>IFERROR(MID(VLOOKUP($B161,Seqs!$A:$B,2,0),AK161,1),"")</f>
        <v>K</v>
      </c>
      <c r="AK161" s="9">
        <v>203</v>
      </c>
      <c r="AL161" s="9" t="str">
        <f>IFERROR(MID(VLOOKUP($B161,Seqs!$A:$B,2,0),AM161,1),"")</f>
        <v>N</v>
      </c>
      <c r="AM161" s="9">
        <v>242</v>
      </c>
      <c r="AN161" s="9" t="str">
        <f>IFERROR(MID(VLOOKUP($B161,Seqs!$A:$B,2,0),AO161,1),"")</f>
        <v>G</v>
      </c>
      <c r="AO161" s="9">
        <v>245</v>
      </c>
      <c r="AP161" s="9" t="str">
        <f>IFERROR(MID(VLOOKUP($B161,Seqs!$A:$B,2,0),AQ161,1),"")</f>
        <v>G</v>
      </c>
      <c r="AQ161" s="9">
        <v>285</v>
      </c>
      <c r="AR161" s="9" t="str">
        <f>IFERROR(MID(VLOOKUP($B161,Seqs!$A:$B,2,0),AS161,1),"")</f>
        <v>S</v>
      </c>
      <c r="AS161" s="9">
        <v>289</v>
      </c>
      <c r="AT161" s="9" t="str">
        <f>IFERROR(MID(VLOOKUP($B161,Seqs!$A:$B,2,0),AU161,1),"")</f>
        <v>V</v>
      </c>
      <c r="AU161" s="9">
        <v>321</v>
      </c>
      <c r="AV161" s="9" t="str">
        <f>IFERROR(MID(VLOOKUP($B161,Seqs!$A:$B,2,0),AW161,1),"")</f>
        <v>G</v>
      </c>
      <c r="AW161" s="9">
        <v>322</v>
      </c>
      <c r="AX161" s="9" t="str">
        <f>IFERROR(MID(VLOOKUP($B161,Seqs!$A:$B,2,0),AY161,1),"")</f>
        <v>R</v>
      </c>
      <c r="AY161" s="9">
        <v>334</v>
      </c>
      <c r="AZ161" s="110" t="str">
        <f>VLOOKUP(B161,Classification!A:D,2,0)</f>
        <v>A</v>
      </c>
      <c r="BA161" s="98" t="str">
        <f>VLOOKUP(B161,Classification!A:D,4,0)</f>
        <v>Angiotensin</v>
      </c>
      <c r="BB161" s="36" t="b">
        <f t="shared" ref="BB161" si="1233"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109">
        <f t="shared" ref="BC161" si="1234">_xlfn.AGGREGATE(9,6,CH161:CS161)-_xlfn.AGGREGATE(9,6,BV161:CG161)+12</f>
        <v>256</v>
      </c>
      <c r="BD161" s="40" t="s">
        <v>1375</v>
      </c>
      <c r="BE161" s="9" t="s">
        <v>1291</v>
      </c>
      <c r="BF161" s="119">
        <v>3.2</v>
      </c>
      <c r="BG161" s="51" t="s">
        <v>1</v>
      </c>
      <c r="BH161" s="51" t="s">
        <v>1</v>
      </c>
      <c r="BJ161" s="111" t="s">
        <v>1287</v>
      </c>
      <c r="BK161" s="112" t="s">
        <v>1287</v>
      </c>
      <c r="BL161" s="112" t="s">
        <v>1287</v>
      </c>
      <c r="BM161" s="112" t="s">
        <v>1287</v>
      </c>
      <c r="BN161" s="112" t="s">
        <v>1287</v>
      </c>
      <c r="BO161" s="112" t="s">
        <v>1287</v>
      </c>
      <c r="BP161" s="112" t="s">
        <v>1287</v>
      </c>
      <c r="BQ161" s="112" t="s">
        <v>1287</v>
      </c>
      <c r="BR161" s="112" t="s">
        <v>1287</v>
      </c>
      <c r="BS161" s="112" t="s">
        <v>1287</v>
      </c>
      <c r="BT161" s="112" t="s">
        <v>1287</v>
      </c>
      <c r="BU161" s="112" t="s">
        <v>1287</v>
      </c>
      <c r="BV161" s="111">
        <f t="shared" ref="BV161" si="1235">E161</f>
        <v>46</v>
      </c>
      <c r="BW161" s="113" t="str">
        <f t="shared" ref="BW161" si="1236">I161</f>
        <v>-</v>
      </c>
      <c r="BX161" s="114">
        <f t="shared" ref="BX161" si="1237">M161</f>
        <v>77</v>
      </c>
      <c r="BY161" s="113">
        <f t="shared" ref="BY161" si="1238">Q161</f>
        <v>107</v>
      </c>
      <c r="BZ161" s="114">
        <f t="shared" ref="BZ161" si="1239">U161</f>
        <v>113</v>
      </c>
      <c r="CA161" s="113" t="str">
        <f t="shared" ref="CA161" si="1240">Y161</f>
        <v>-</v>
      </c>
      <c r="CB161" s="114">
        <f t="shared" ref="CB161" si="1241">AC161</f>
        <v>156</v>
      </c>
      <c r="CC161" s="113">
        <f t="shared" ref="CC161" si="1242">AG161</f>
        <v>195</v>
      </c>
      <c r="CD161" s="114">
        <f t="shared" ref="CD161" si="1243">AK161</f>
        <v>203</v>
      </c>
      <c r="CE161" s="113">
        <f t="shared" ref="CE161" si="1244">AO161</f>
        <v>245</v>
      </c>
      <c r="CF161" s="114">
        <f t="shared" ref="CF161" si="1245">AS161</f>
        <v>289</v>
      </c>
      <c r="CG161" s="113">
        <f t="shared" ref="CG161" si="1246">AW161</f>
        <v>322</v>
      </c>
      <c r="CH161" s="111">
        <f t="shared" ref="CH161" si="1247">G161</f>
        <v>70</v>
      </c>
      <c r="CI161" s="113" t="str">
        <f t="shared" ref="CI161" si="1248">K161</f>
        <v>-</v>
      </c>
      <c r="CJ161" s="114">
        <f t="shared" ref="CJ161" si="1249">O161</f>
        <v>106</v>
      </c>
      <c r="CK161" s="114">
        <f t="shared" ref="CK161" si="1250">S161</f>
        <v>112</v>
      </c>
      <c r="CL161" s="114">
        <f t="shared" ref="CL161" si="1251">W161</f>
        <v>148</v>
      </c>
      <c r="CM161" s="114" t="str">
        <f t="shared" ref="CM161" si="1252">AA161</f>
        <v>-</v>
      </c>
      <c r="CN161" s="114">
        <f t="shared" ref="CN161" si="1253">AE161</f>
        <v>182</v>
      </c>
      <c r="CO161" s="114">
        <f t="shared" ref="CO161" si="1254">AI161</f>
        <v>197</v>
      </c>
      <c r="CP161" s="114">
        <f t="shared" ref="CP161" si="1255">AM161</f>
        <v>242</v>
      </c>
      <c r="CQ161" s="114">
        <f t="shared" ref="CQ161" si="1256">AQ161</f>
        <v>285</v>
      </c>
      <c r="CR161" s="114">
        <f t="shared" ref="CR161" si="1257">AU161</f>
        <v>321</v>
      </c>
      <c r="CS161" s="114">
        <f t="shared" ref="CS161" si="1258">AY161</f>
        <v>334</v>
      </c>
      <c r="CT161" s="109" t="e">
        <f t="shared" ref="CT161" si="1259">M161-K161</f>
        <v>#VALUE!</v>
      </c>
    </row>
    <row r="162" spans="1:1030" x14ac:dyDescent="0.2">
      <c r="A162" s="3" t="str">
        <f t="shared" si="1176"/>
        <v>apj_human__wt</v>
      </c>
      <c r="B162" s="3" t="s">
        <v>160</v>
      </c>
      <c r="C162" s="3" t="s">
        <v>100</v>
      </c>
      <c r="D162" s="3" t="str">
        <f>IFERROR(MID(VLOOKUP($B162,Seqs!$A:$B,2,0),E162,1),"")</f>
        <v>A</v>
      </c>
      <c r="E162" s="3">
        <v>29</v>
      </c>
      <c r="F162" s="3" t="str">
        <f>IFERROR(MID(VLOOKUP($B162,Seqs!$A:$B,2,0),G162,1),"")</f>
        <v>S</v>
      </c>
      <c r="G162" s="3">
        <v>56</v>
      </c>
      <c r="H162" s="3" t="str">
        <f>IFERROR(MID(VLOOKUP($B162,Seqs!$A:$B,2,0),I162,1),"")</f>
        <v>S</v>
      </c>
      <c r="I162" s="23">
        <v>57</v>
      </c>
      <c r="J162" s="3" t="str">
        <f>IFERROR(MID(VLOOKUP($B162,Seqs!$A:$B,2,0),K162,1),"")</f>
        <v>R</v>
      </c>
      <c r="K162" s="23">
        <v>61</v>
      </c>
      <c r="L162" s="3" t="str">
        <f>IFERROR(MID(VLOOKUP($B162,Seqs!$A:$B,2,0),M162,1),"")</f>
        <v>R</v>
      </c>
      <c r="M162" s="3">
        <v>62</v>
      </c>
      <c r="N162" s="3" t="str">
        <f>IFERROR(MID(VLOOKUP($B162,Seqs!$A:$B,2,0),O162,1),"")</f>
        <v>D</v>
      </c>
      <c r="O162" s="3">
        <v>92</v>
      </c>
      <c r="P162" s="3" t="str">
        <f>IFERROR(MID(VLOOKUP($B162,Seqs!$A:$B,2,0),Q162,1),"")</f>
        <v>D</v>
      </c>
      <c r="Q162" s="3">
        <v>94</v>
      </c>
      <c r="R162" s="3" t="str">
        <f>IFERROR(MID(VLOOKUP($B162,Seqs!$A:$B,2,0),S162,1),"")</f>
        <v>F</v>
      </c>
      <c r="S162" s="3">
        <v>97</v>
      </c>
      <c r="T162" s="3" t="str">
        <f>IFERROR(MID(VLOOKUP($B162,Seqs!$A:$B,2,0),U162,1),"")</f>
        <v>G</v>
      </c>
      <c r="U162" s="3">
        <v>98</v>
      </c>
      <c r="V162" s="3" t="str">
        <f>IFERROR(MID(VLOOKUP($B162,Seqs!$A:$B,2,0),W162,1),"")</f>
        <v>R</v>
      </c>
      <c r="W162" s="3">
        <v>133</v>
      </c>
      <c r="X162" s="3" t="str">
        <f>IFERROR(MID(VLOOKUP($B162,Seqs!$A:$B,2,0),Y162,1),"")</f>
        <v>P</v>
      </c>
      <c r="Y162" s="3">
        <v>134</v>
      </c>
      <c r="Z162" s="3" t="str">
        <f>IFERROR(MID(VLOOKUP($B162,Seqs!$A:$B,2,0),AA162,1),"")</f>
        <v>R</v>
      </c>
      <c r="AA162" s="3">
        <v>141</v>
      </c>
      <c r="AB162" s="3" t="str">
        <f>IFERROR(MID(VLOOKUP($B162,Seqs!$A:$B,2,0),AC162,1),"")</f>
        <v>L</v>
      </c>
      <c r="AC162" s="3">
        <v>142</v>
      </c>
      <c r="AD162" s="3" t="str">
        <f>IFERROR(MID(VLOOKUP($B162,Seqs!$A:$B,2,0),AE162,1),"")</f>
        <v>R</v>
      </c>
      <c r="AE162" s="3">
        <v>168</v>
      </c>
      <c r="AF162" s="3" t="str">
        <f>IFERROR(MID(VLOOKUP($B162,Seqs!$A:$B,2,0),AG162,1),"")</f>
        <v>C</v>
      </c>
      <c r="AG162" s="3">
        <v>181</v>
      </c>
      <c r="AH162" s="3" t="str">
        <f>IFERROR(MID(VLOOKUP($B162,Seqs!$A:$B,2,0),AI162,1),"")</f>
        <v>M</v>
      </c>
      <c r="AI162" s="3">
        <v>183</v>
      </c>
      <c r="AJ162" s="3" t="str">
        <f>IFERROR(MID(VLOOKUP($B162,Seqs!$A:$B,2,0),AK162,1),"")</f>
        <v>S</v>
      </c>
      <c r="AK162" s="3">
        <v>193</v>
      </c>
      <c r="AL162" s="3" t="str">
        <f>IFERROR(MID(VLOOKUP($B162,Seqs!$A:$B,2,0),AM162,1),"")</f>
        <v>E</v>
      </c>
      <c r="AM162" s="3">
        <v>235</v>
      </c>
      <c r="AN162" s="3" t="str">
        <f>IFERROR(MID(VLOOKUP($B162,Seqs!$A:$B,2,0),AO162,1),"")</f>
        <v>K</v>
      </c>
      <c r="AO162" s="3">
        <v>242</v>
      </c>
      <c r="AP162" s="3" t="str">
        <f>IFERROR(MID(VLOOKUP($B162,Seqs!$A:$B,2,0),AQ162,1),"")</f>
        <v>L</v>
      </c>
      <c r="AQ162" s="3">
        <v>276</v>
      </c>
      <c r="AR162" s="3" t="str">
        <f>IFERROR(MID(VLOOKUP($B162,Seqs!$A:$B,2,0),AS162,1),"")</f>
        <v>P</v>
      </c>
      <c r="AS162" s="3">
        <v>280</v>
      </c>
      <c r="AT162" s="3" t="str">
        <f>IFERROR(MID(VLOOKUP($B162,Seqs!$A:$B,2,0),AU162,1),"")</f>
        <v>F</v>
      </c>
      <c r="AU162" s="3">
        <v>312</v>
      </c>
      <c r="AV162" s="3" t="str">
        <f>IFERROR(MID(VLOOKUP($B162,Seqs!$A:$B,2,0),AW162,1),"")</f>
        <v>D</v>
      </c>
      <c r="AW162" s="3">
        <v>313</v>
      </c>
      <c r="AX162" s="3" t="str">
        <f>IFERROR(MID(VLOOKUP($B162,Seqs!$A:$B,2,0),AY162,1),"")</f>
        <v>G</v>
      </c>
      <c r="AY162" s="3">
        <v>327</v>
      </c>
      <c r="AZ162" s="77" t="str">
        <f>VLOOKUP(B162,Classification!A:D,2,0)</f>
        <v>A</v>
      </c>
      <c r="BA162" s="94" t="str">
        <f>VLOOKUP(B162,Classification!A:D,4,0)</f>
        <v>Apelin</v>
      </c>
      <c r="BB162" s="27" t="b">
        <f t="shared" si="1177"/>
        <v>1</v>
      </c>
      <c r="BC162" s="23">
        <f t="shared" si="1178"/>
        <v>268</v>
      </c>
      <c r="BD162" s="2"/>
      <c r="BE162" s="3" t="s">
        <v>23</v>
      </c>
      <c r="BF162" s="118" t="s">
        <v>23</v>
      </c>
      <c r="BG162" s="49" t="s">
        <v>1281</v>
      </c>
      <c r="BH162" s="49" t="s">
        <v>1281</v>
      </c>
      <c r="BI162" s="1"/>
      <c r="BJ162" s="70" t="s">
        <v>1287</v>
      </c>
      <c r="BK162" s="57" t="s">
        <v>1287</v>
      </c>
      <c r="BL162" s="57" t="s">
        <v>1287</v>
      </c>
      <c r="BM162" s="57" t="s">
        <v>1287</v>
      </c>
      <c r="BN162" s="57" t="s">
        <v>1287</v>
      </c>
      <c r="BO162" s="57" t="s">
        <v>1287</v>
      </c>
      <c r="BP162" s="57" t="s">
        <v>1287</v>
      </c>
      <c r="BQ162" s="57" t="s">
        <v>1287</v>
      </c>
      <c r="BR162" s="57" t="s">
        <v>1287</v>
      </c>
      <c r="BS162" s="57" t="s">
        <v>1287</v>
      </c>
      <c r="BT162" s="57" t="s">
        <v>1287</v>
      </c>
      <c r="BU162" s="57" t="s">
        <v>1287</v>
      </c>
      <c r="BV162" s="70">
        <f t="shared" si="1179"/>
        <v>29</v>
      </c>
      <c r="BW162" s="71">
        <f t="shared" si="1180"/>
        <v>57</v>
      </c>
      <c r="BX162" s="72">
        <f t="shared" si="1181"/>
        <v>62</v>
      </c>
      <c r="BY162" s="71">
        <f t="shared" si="1182"/>
        <v>94</v>
      </c>
      <c r="BZ162" s="72">
        <f t="shared" si="1183"/>
        <v>98</v>
      </c>
      <c r="CA162" s="71">
        <f t="shared" si="1184"/>
        <v>134</v>
      </c>
      <c r="CB162" s="72">
        <f t="shared" si="1185"/>
        <v>142</v>
      </c>
      <c r="CC162" s="71">
        <f t="shared" si="1186"/>
        <v>181</v>
      </c>
      <c r="CD162" s="72">
        <f t="shared" si="1187"/>
        <v>193</v>
      </c>
      <c r="CE162" s="71">
        <f t="shared" si="1188"/>
        <v>242</v>
      </c>
      <c r="CF162" s="72">
        <f t="shared" si="1189"/>
        <v>280</v>
      </c>
      <c r="CG162" s="71">
        <f t="shared" si="1190"/>
        <v>313</v>
      </c>
      <c r="CH162" s="70">
        <f t="shared" si="1191"/>
        <v>56</v>
      </c>
      <c r="CI162" s="71">
        <f t="shared" si="1192"/>
        <v>61</v>
      </c>
      <c r="CJ162" s="72">
        <f t="shared" si="1193"/>
        <v>92</v>
      </c>
      <c r="CK162" s="72">
        <f t="shared" si="1194"/>
        <v>97</v>
      </c>
      <c r="CL162" s="72">
        <f t="shared" si="1195"/>
        <v>133</v>
      </c>
      <c r="CM162" s="72">
        <f t="shared" si="1196"/>
        <v>141</v>
      </c>
      <c r="CN162" s="72">
        <f t="shared" si="1197"/>
        <v>168</v>
      </c>
      <c r="CO162" s="72">
        <f t="shared" si="1198"/>
        <v>183</v>
      </c>
      <c r="CP162" s="72">
        <f t="shared" si="1199"/>
        <v>235</v>
      </c>
      <c r="CQ162" s="72">
        <f t="shared" si="1200"/>
        <v>276</v>
      </c>
      <c r="CR162" s="72">
        <f t="shared" si="1201"/>
        <v>312</v>
      </c>
      <c r="CS162" s="72">
        <f t="shared" si="1202"/>
        <v>327</v>
      </c>
      <c r="CT162" s="23">
        <f t="shared" si="1203"/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si="1176"/>
        <v>apj_human_5VBL</v>
      </c>
      <c r="B163" s="3" t="s">
        <v>160</v>
      </c>
      <c r="C163" s="3" t="s">
        <v>1414</v>
      </c>
      <c r="D163" s="3" t="str">
        <f>IFERROR(MID(VLOOKUP($B163,Seqs!$A:$B,2,0),E163,1),"")</f>
        <v>A</v>
      </c>
      <c r="E163" s="3">
        <v>29</v>
      </c>
      <c r="F163" s="3" t="str">
        <f>IFERROR(MID(VLOOKUP($B163,Seqs!$A:$B,2,0),G163,1),"")</f>
        <v>S</v>
      </c>
      <c r="G163" s="3">
        <v>56</v>
      </c>
      <c r="H163" s="3" t="str">
        <f>IFERROR(MID(VLOOKUP($B163,Seqs!$A:$B,2,0),I163,1),"")</f>
        <v>S</v>
      </c>
      <c r="I163" s="23">
        <v>57</v>
      </c>
      <c r="J163" s="3" t="str">
        <f>IFERROR(MID(VLOOKUP($B163,Seqs!$A:$B,2,0),K163,1),"")</f>
        <v>R</v>
      </c>
      <c r="K163" s="23">
        <v>61</v>
      </c>
      <c r="L163" s="3" t="str">
        <f>IFERROR(MID(VLOOKUP($B163,Seqs!$A:$B,2,0),M163,1),"")</f>
        <v>R</v>
      </c>
      <c r="M163" s="3">
        <v>62</v>
      </c>
      <c r="N163" s="3" t="str">
        <f>IFERROR(MID(VLOOKUP($B163,Seqs!$A:$B,2,0),O163,1),"")</f>
        <v>D</v>
      </c>
      <c r="O163" s="3">
        <v>92</v>
      </c>
      <c r="P163" s="3" t="str">
        <f>IFERROR(MID(VLOOKUP($B163,Seqs!$A:$B,2,0),Q163,1),"")</f>
        <v>D</v>
      </c>
      <c r="Q163" s="3">
        <v>94</v>
      </c>
      <c r="R163" s="3" t="str">
        <f>IFERROR(MID(VLOOKUP($B163,Seqs!$A:$B,2,0),S163,1),"")</f>
        <v>F</v>
      </c>
      <c r="S163" s="3">
        <v>97</v>
      </c>
      <c r="T163" s="3" t="str">
        <f>IFERROR(MID(VLOOKUP($B163,Seqs!$A:$B,2,0),U163,1),"")</f>
        <v>G</v>
      </c>
      <c r="U163" s="3">
        <v>98</v>
      </c>
      <c r="V163" s="3" t="str">
        <f>IFERROR(MID(VLOOKUP($B163,Seqs!$A:$B,2,0),W163,1),"")</f>
        <v>R</v>
      </c>
      <c r="W163" s="3">
        <v>133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R</v>
      </c>
      <c r="AC163" s="3">
        <v>141</v>
      </c>
      <c r="AD163" s="3" t="str">
        <f>IFERROR(MID(VLOOKUP($B163,Seqs!$A:$B,2,0),AE163,1),"")</f>
        <v>R</v>
      </c>
      <c r="AE163" s="3">
        <v>168</v>
      </c>
      <c r="AF163" s="3" t="str">
        <f>IFERROR(MID(VLOOKUP($B163,Seqs!$A:$B,2,0),AG163,1),"")</f>
        <v>C</v>
      </c>
      <c r="AG163" s="3">
        <v>181</v>
      </c>
      <c r="AH163" s="3" t="str">
        <f>IFERROR(MID(VLOOKUP($B163,Seqs!$A:$B,2,0),AI163,1),"")</f>
        <v>M</v>
      </c>
      <c r="AI163" s="3">
        <v>183</v>
      </c>
      <c r="AJ163" s="3" t="str">
        <f>IFERROR(MID(VLOOKUP($B163,Seqs!$A:$B,2,0),AK163,1),"")</f>
        <v>S</v>
      </c>
      <c r="AK163" s="3">
        <v>193</v>
      </c>
      <c r="AL163" s="3" t="str">
        <f>IFERROR(MID(VLOOKUP($B163,Seqs!$A:$B,2,0),AM163,1),"")</f>
        <v>A</v>
      </c>
      <c r="AM163" s="3">
        <v>229</v>
      </c>
      <c r="AN163" s="3" t="str">
        <f>IFERROR(MID(VLOOKUP($B163,Seqs!$A:$B,2,0),AO163,1),"")</f>
        <v>R</v>
      </c>
      <c r="AO163" s="3">
        <v>244</v>
      </c>
      <c r="AP163" s="3" t="str">
        <f>IFERROR(MID(VLOOKUP($B163,Seqs!$A:$B,2,0),AQ163,1),"")</f>
        <v>L</v>
      </c>
      <c r="AQ163" s="3">
        <v>276</v>
      </c>
      <c r="AR163" s="3" t="str">
        <f>IFERROR(MID(VLOOKUP($B163,Seqs!$A:$B,2,0),AS163,1),"")</f>
        <v>P</v>
      </c>
      <c r="AS163" s="3">
        <v>280</v>
      </c>
      <c r="AT163" s="3" t="str">
        <f>IFERROR(MID(VLOOKUP($B163,Seqs!$A:$B,2,0),AU163,1),"")</f>
        <v>F</v>
      </c>
      <c r="AU163" s="3">
        <v>312</v>
      </c>
      <c r="AV163" s="3" t="str">
        <f>IFERROR(MID(VLOOKUP($B163,Seqs!$A:$B,2,0),AW163,1),"")</f>
        <v>D</v>
      </c>
      <c r="AW163" s="3">
        <v>313</v>
      </c>
      <c r="AX163" s="3" t="str">
        <f>IFERROR(MID(VLOOKUP($B163,Seqs!$A:$B,2,0),AY163,1),"")</f>
        <v>G</v>
      </c>
      <c r="AY163" s="3">
        <v>327</v>
      </c>
      <c r="AZ163" s="77" t="str">
        <f>VLOOKUP(B163,Classification!A:D,2,0)</f>
        <v>A</v>
      </c>
      <c r="BA163" s="94" t="str">
        <f>VLOOKUP(B163,Classification!A:D,4,0)</f>
        <v>Apelin</v>
      </c>
      <c r="BB163" s="27" t="b">
        <f t="shared" si="1177"/>
        <v>1</v>
      </c>
      <c r="BC163" s="23">
        <f t="shared" si="1178"/>
        <v>254</v>
      </c>
      <c r="BD163" s="2" t="s">
        <v>1376</v>
      </c>
      <c r="BE163" s="3" t="s">
        <v>1374</v>
      </c>
      <c r="BF163" s="118">
        <v>2.6</v>
      </c>
      <c r="BG163" s="49" t="s">
        <v>1281</v>
      </c>
      <c r="BH163" s="49" t="s">
        <v>1281</v>
      </c>
      <c r="BI163" s="1"/>
      <c r="BJ163" s="70" t="s">
        <v>1287</v>
      </c>
      <c r="BK163" s="57" t="s">
        <v>1287</v>
      </c>
      <c r="BL163" s="57" t="s">
        <v>1287</v>
      </c>
      <c r="BM163" s="57" t="s">
        <v>1287</v>
      </c>
      <c r="BN163" s="57" t="s">
        <v>1287</v>
      </c>
      <c r="BO163" s="57" t="s">
        <v>1287</v>
      </c>
      <c r="BP163" s="57" t="s">
        <v>1287</v>
      </c>
      <c r="BQ163" s="57" t="s">
        <v>1287</v>
      </c>
      <c r="BR163" s="57" t="s">
        <v>1287</v>
      </c>
      <c r="BS163" s="57" t="s">
        <v>1287</v>
      </c>
      <c r="BT163" s="57" t="s">
        <v>1287</v>
      </c>
      <c r="BU163" s="57" t="s">
        <v>1287</v>
      </c>
      <c r="BV163" s="70">
        <f t="shared" si="1179"/>
        <v>29</v>
      </c>
      <c r="BW163" s="71">
        <f t="shared" si="1180"/>
        <v>57</v>
      </c>
      <c r="BX163" s="72">
        <f t="shared" si="1181"/>
        <v>62</v>
      </c>
      <c r="BY163" s="71">
        <f t="shared" si="1182"/>
        <v>94</v>
      </c>
      <c r="BZ163" s="72">
        <f t="shared" si="1183"/>
        <v>98</v>
      </c>
      <c r="CA163" s="71" t="str">
        <f t="shared" si="1184"/>
        <v>-</v>
      </c>
      <c r="CB163" s="72">
        <f t="shared" si="1185"/>
        <v>141</v>
      </c>
      <c r="CC163" s="71">
        <f t="shared" si="1186"/>
        <v>181</v>
      </c>
      <c r="CD163" s="72">
        <f t="shared" si="1187"/>
        <v>193</v>
      </c>
      <c r="CE163" s="71">
        <f t="shared" si="1188"/>
        <v>244</v>
      </c>
      <c r="CF163" s="72">
        <f t="shared" si="1189"/>
        <v>280</v>
      </c>
      <c r="CG163" s="71">
        <f t="shared" si="1190"/>
        <v>313</v>
      </c>
      <c r="CH163" s="70">
        <f t="shared" si="1191"/>
        <v>56</v>
      </c>
      <c r="CI163" s="71">
        <f t="shared" si="1192"/>
        <v>61</v>
      </c>
      <c r="CJ163" s="72">
        <f t="shared" si="1193"/>
        <v>92</v>
      </c>
      <c r="CK163" s="72">
        <f t="shared" si="1194"/>
        <v>97</v>
      </c>
      <c r="CL163" s="72">
        <f t="shared" si="1195"/>
        <v>133</v>
      </c>
      <c r="CM163" s="72" t="str">
        <f t="shared" si="1196"/>
        <v>-</v>
      </c>
      <c r="CN163" s="72">
        <f t="shared" si="1197"/>
        <v>168</v>
      </c>
      <c r="CO163" s="72">
        <f t="shared" si="1198"/>
        <v>183</v>
      </c>
      <c r="CP163" s="72">
        <f t="shared" si="1199"/>
        <v>229</v>
      </c>
      <c r="CQ163" s="72">
        <f t="shared" si="1200"/>
        <v>276</v>
      </c>
      <c r="CR163" s="72">
        <f t="shared" si="1201"/>
        <v>312</v>
      </c>
      <c r="CS163" s="72">
        <f t="shared" si="1202"/>
        <v>327</v>
      </c>
      <c r="CT163" s="23">
        <f t="shared" si="1203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s="12" customFormat="1" x14ac:dyDescent="0.2">
      <c r="A164" s="9" t="str">
        <f t="shared" ref="A164" si="1260">CONCATENATE(B164,"_",C164)</f>
        <v>apj_human_6KNM</v>
      </c>
      <c r="B164" s="9" t="s">
        <v>160</v>
      </c>
      <c r="C164" s="9" t="s">
        <v>1644</v>
      </c>
      <c r="D164" s="9" t="str">
        <f>IFERROR(MID(VLOOKUP($B164,Seqs!$A:$B,2,0),E164,1),"")</f>
        <v>A</v>
      </c>
      <c r="E164" s="9">
        <v>29</v>
      </c>
      <c r="F164" s="9" t="str">
        <f>IFERROR(MID(VLOOKUP($B164,Seqs!$A:$B,2,0),G164,1),"")</f>
        <v>R</v>
      </c>
      <c r="G164" s="9">
        <v>55</v>
      </c>
      <c r="H164" s="9" t="str">
        <f>IFERROR(MID(VLOOKUP($B164,Seqs!$A:$B,2,0),I164,1),"")</f>
        <v/>
      </c>
      <c r="I164" s="109" t="s">
        <v>23</v>
      </c>
      <c r="J164" s="9" t="str">
        <f>IFERROR(MID(VLOOKUP($B164,Seqs!$A:$B,2,0),K164,1),"")</f>
        <v/>
      </c>
      <c r="K164" s="109" t="s">
        <v>23</v>
      </c>
      <c r="L164" s="9" t="str">
        <f>IFERROR(MID(VLOOKUP($B164,Seqs!$A:$B,2,0),M164,1),"")</f>
        <v>D</v>
      </c>
      <c r="M164" s="9">
        <v>65</v>
      </c>
      <c r="N164" s="9" t="str">
        <f>IFERROR(MID(VLOOKUP($B164,Seqs!$A:$B,2,0),O164,1),"")</f>
        <v>D</v>
      </c>
      <c r="O164" s="9">
        <v>92</v>
      </c>
      <c r="P164" s="9" t="str">
        <f>IFERROR(MID(VLOOKUP($B164,Seqs!$A:$B,2,0),Q164,1),"")</f>
        <v>D</v>
      </c>
      <c r="Q164" s="9">
        <v>94</v>
      </c>
      <c r="R164" s="9" t="str">
        <f>IFERROR(MID(VLOOKUP($B164,Seqs!$A:$B,2,0),S164,1),"")</f>
        <v>F</v>
      </c>
      <c r="S164" s="9">
        <v>97</v>
      </c>
      <c r="T164" s="9" t="str">
        <f>IFERROR(MID(VLOOKUP($B164,Seqs!$A:$B,2,0),U164,1),"")</f>
        <v>G</v>
      </c>
      <c r="U164" s="9">
        <v>98</v>
      </c>
      <c r="V164" s="9" t="str">
        <f>IFERROR(MID(VLOOKUP($B164,Seqs!$A:$B,2,0),W164,1),"")</f>
        <v>R</v>
      </c>
      <c r="W164" s="9">
        <v>133</v>
      </c>
      <c r="X164" s="9" t="str">
        <f>IFERROR(MID(VLOOKUP($B164,Seqs!$A:$B,2,0),Y164,1),"")</f>
        <v/>
      </c>
      <c r="Y164" s="9" t="s">
        <v>23</v>
      </c>
      <c r="Z164" s="9" t="str">
        <f>IFERROR(MID(VLOOKUP($B164,Seqs!$A:$B,2,0),AA164,1),"")</f>
        <v/>
      </c>
      <c r="AA164" s="9" t="s">
        <v>23</v>
      </c>
      <c r="AB164" s="9" t="str">
        <f>IFERROR(MID(VLOOKUP($B164,Seqs!$A:$B,2,0),AC164,1),"")</f>
        <v>R</v>
      </c>
      <c r="AC164" s="9">
        <v>141</v>
      </c>
      <c r="AD164" s="9" t="str">
        <f>IFERROR(MID(VLOOKUP($B164,Seqs!$A:$B,2,0),AE164,1),"")</f>
        <v>R</v>
      </c>
      <c r="AE164" s="9">
        <v>168</v>
      </c>
      <c r="AF164" s="9" t="str">
        <f>IFERROR(MID(VLOOKUP($B164,Seqs!$A:$B,2,0),AG164,1),"")</f>
        <v>C</v>
      </c>
      <c r="AG164" s="9">
        <v>181</v>
      </c>
      <c r="AH164" s="9" t="str">
        <f>IFERROR(MID(VLOOKUP($B164,Seqs!$A:$B,2,0),AI164,1),"")</f>
        <v>M</v>
      </c>
      <c r="AI164" s="9">
        <v>183</v>
      </c>
      <c r="AJ164" s="9" t="str">
        <f>IFERROR(MID(VLOOKUP($B164,Seqs!$A:$B,2,0),AK164,1),"")</f>
        <v>S</v>
      </c>
      <c r="AK164" s="9">
        <v>193</v>
      </c>
      <c r="AL164" s="9" t="str">
        <f>IFERROR(MID(VLOOKUP($B164,Seqs!$A:$B,2,0),AM164,1),"")</f>
        <v>I</v>
      </c>
      <c r="AM164" s="9">
        <v>228</v>
      </c>
      <c r="AN164" s="9" t="str">
        <f>IFERROR(MID(VLOOKUP($B164,Seqs!$A:$B,2,0),AO164,1),"")</f>
        <v>R</v>
      </c>
      <c r="AO164" s="9">
        <v>245</v>
      </c>
      <c r="AP164" s="9" t="str">
        <f>IFERROR(MID(VLOOKUP($B164,Seqs!$A:$B,2,0),AQ164,1),"")</f>
        <v>L</v>
      </c>
      <c r="AQ164" s="9">
        <v>276</v>
      </c>
      <c r="AR164" s="9" t="str">
        <f>IFERROR(MID(VLOOKUP($B164,Seqs!$A:$B,2,0),AS164,1),"")</f>
        <v>P</v>
      </c>
      <c r="AS164" s="9">
        <v>280</v>
      </c>
      <c r="AT164" s="9" t="str">
        <f>IFERROR(MID(VLOOKUP($B164,Seqs!$A:$B,2,0),AU164,1),"")</f>
        <v>F</v>
      </c>
      <c r="AU164" s="9">
        <v>312</v>
      </c>
      <c r="AV164" s="9" t="str">
        <f>IFERROR(MID(VLOOKUP($B164,Seqs!$A:$B,2,0),AW164,1),"")</f>
        <v>D</v>
      </c>
      <c r="AW164" s="9">
        <v>313</v>
      </c>
      <c r="AX164" s="9" t="str">
        <f>IFERROR(MID(VLOOKUP($B164,Seqs!$A:$B,2,0),AY164,1),"")</f>
        <v>C</v>
      </c>
      <c r="AY164" s="9">
        <v>326</v>
      </c>
      <c r="AZ164" s="110" t="str">
        <f>VLOOKUP(B164,Classification!A:D,2,0)</f>
        <v>A</v>
      </c>
      <c r="BA164" s="98" t="str">
        <f>VLOOKUP(B164,Classification!A:D,4,0)</f>
        <v>Apelin</v>
      </c>
      <c r="BB164" s="36" t="b">
        <f t="shared" ref="BB164" si="1261"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109">
        <f t="shared" ref="BC164" si="1262">_xlfn.AGGREGATE(9,6,CH164:CS164)-_xlfn.AGGREGATE(9,6,BV164:CG164)+12</f>
        <v>243</v>
      </c>
      <c r="BD164" s="40" t="s">
        <v>23</v>
      </c>
      <c r="BE164" s="9" t="s">
        <v>1374</v>
      </c>
      <c r="BF164" s="119">
        <v>3.2</v>
      </c>
      <c r="BG164" s="51" t="s">
        <v>1281</v>
      </c>
      <c r="BH164" s="51" t="s">
        <v>1281</v>
      </c>
      <c r="BJ164" s="111" t="s">
        <v>1287</v>
      </c>
      <c r="BK164" s="112" t="s">
        <v>1287</v>
      </c>
      <c r="BL164" s="112" t="s">
        <v>1287</v>
      </c>
      <c r="BM164" s="112" t="s">
        <v>1287</v>
      </c>
      <c r="BN164" s="112" t="s">
        <v>1287</v>
      </c>
      <c r="BO164" s="112" t="s">
        <v>1287</v>
      </c>
      <c r="BP164" s="112" t="s">
        <v>1287</v>
      </c>
      <c r="BQ164" s="112" t="s">
        <v>1287</v>
      </c>
      <c r="BR164" s="112" t="s">
        <v>1287</v>
      </c>
      <c r="BS164" s="112" t="s">
        <v>1287</v>
      </c>
      <c r="BT164" s="112" t="s">
        <v>1287</v>
      </c>
      <c r="BU164" s="112" t="s">
        <v>1287</v>
      </c>
      <c r="BV164" s="111">
        <f t="shared" ref="BV164" si="1263">E164</f>
        <v>29</v>
      </c>
      <c r="BW164" s="113" t="str">
        <f t="shared" ref="BW164" si="1264">I164</f>
        <v>-</v>
      </c>
      <c r="BX164" s="114">
        <f t="shared" ref="BX164" si="1265">M164</f>
        <v>65</v>
      </c>
      <c r="BY164" s="113">
        <f t="shared" ref="BY164" si="1266">Q164</f>
        <v>94</v>
      </c>
      <c r="BZ164" s="114">
        <f t="shared" ref="BZ164" si="1267">U164</f>
        <v>98</v>
      </c>
      <c r="CA164" s="113" t="str">
        <f t="shared" ref="CA164" si="1268">Y164</f>
        <v>-</v>
      </c>
      <c r="CB164" s="114">
        <f t="shared" ref="CB164" si="1269">AC164</f>
        <v>141</v>
      </c>
      <c r="CC164" s="113">
        <f t="shared" ref="CC164" si="1270">AG164</f>
        <v>181</v>
      </c>
      <c r="CD164" s="114">
        <f t="shared" ref="CD164" si="1271">AK164</f>
        <v>193</v>
      </c>
      <c r="CE164" s="113">
        <f t="shared" ref="CE164" si="1272">AO164</f>
        <v>245</v>
      </c>
      <c r="CF164" s="114">
        <f t="shared" ref="CF164" si="1273">AS164</f>
        <v>280</v>
      </c>
      <c r="CG164" s="113">
        <f t="shared" ref="CG164" si="1274">AW164</f>
        <v>313</v>
      </c>
      <c r="CH164" s="111">
        <f t="shared" ref="CH164" si="1275">G164</f>
        <v>55</v>
      </c>
      <c r="CI164" s="113" t="str">
        <f t="shared" ref="CI164" si="1276">K164</f>
        <v>-</v>
      </c>
      <c r="CJ164" s="114">
        <f t="shared" ref="CJ164" si="1277">O164</f>
        <v>92</v>
      </c>
      <c r="CK164" s="114">
        <f t="shared" ref="CK164" si="1278">S164</f>
        <v>97</v>
      </c>
      <c r="CL164" s="114">
        <f t="shared" ref="CL164" si="1279">W164</f>
        <v>133</v>
      </c>
      <c r="CM164" s="114" t="str">
        <f t="shared" ref="CM164" si="1280">AA164</f>
        <v>-</v>
      </c>
      <c r="CN164" s="114">
        <f t="shared" ref="CN164" si="1281">AE164</f>
        <v>168</v>
      </c>
      <c r="CO164" s="114">
        <f t="shared" ref="CO164" si="1282">AI164</f>
        <v>183</v>
      </c>
      <c r="CP164" s="114">
        <f t="shared" ref="CP164" si="1283">AM164</f>
        <v>228</v>
      </c>
      <c r="CQ164" s="114">
        <f t="shared" ref="CQ164" si="1284">AQ164</f>
        <v>276</v>
      </c>
      <c r="CR164" s="114">
        <f t="shared" ref="CR164" si="1285">AU164</f>
        <v>312</v>
      </c>
      <c r="CS164" s="114">
        <f t="shared" ref="CS164" si="1286">AY164</f>
        <v>326</v>
      </c>
      <c r="CT164" s="109" t="e">
        <f t="shared" ref="CT164" si="1287">M164-K164</f>
        <v>#VALUE!</v>
      </c>
    </row>
    <row r="165" spans="1:1030" x14ac:dyDescent="0.2">
      <c r="A165" s="3" t="str">
        <f t="shared" si="1176"/>
        <v>c5ar1_human__wt</v>
      </c>
      <c r="B165" s="3" t="s">
        <v>165</v>
      </c>
      <c r="C165" s="3" t="s">
        <v>100</v>
      </c>
      <c r="D165" s="3" t="str">
        <f>IFERROR(MID(VLOOKUP($B165,Seqs!$A:$B,2,0),E165,1),"")</f>
        <v>R</v>
      </c>
      <c r="E165" s="3">
        <v>34</v>
      </c>
      <c r="F165" s="3" t="str">
        <f>IFERROR(MID(VLOOKUP($B165,Seqs!$A:$B,2,0),G165,1),"")</f>
        <v>E</v>
      </c>
      <c r="G165" s="3">
        <v>65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T</v>
      </c>
      <c r="M165" s="3">
        <v>69</v>
      </c>
      <c r="N165" s="3" t="str">
        <f>IFERROR(MID(VLOOKUP($B165,Seqs!$A:$B,2,0),O165,1),"")</f>
        <v>H</v>
      </c>
      <c r="O165" s="3">
        <v>99</v>
      </c>
      <c r="P165" s="3" t="str">
        <f>IFERROR(MID(VLOOKUP($B165,Seqs!$A:$B,2,0),Q165,1),"")</f>
        <v>H</v>
      </c>
      <c r="Q165" s="3">
        <v>101</v>
      </c>
      <c r="R165" s="3" t="str">
        <f>IFERROR(MID(VLOOKUP($B165,Seqs!$A:$B,2,0),S165,1),"")</f>
        <v>F</v>
      </c>
      <c r="S165" s="3">
        <v>104</v>
      </c>
      <c r="T165" s="3" t="str">
        <f>IFERROR(MID(VLOOKUP($B165,Seqs!$A:$B,2,0),U165,1),"")</f>
        <v>G</v>
      </c>
      <c r="U165" s="3">
        <v>105</v>
      </c>
      <c r="V165" s="3" t="str">
        <f>IFERROR(MID(VLOOKUP($B165,Seqs!$A:$B,2,0),W165,1),"")</f>
        <v>K</v>
      </c>
      <c r="W165" s="3">
        <v>140</v>
      </c>
      <c r="X165" s="3" t="str">
        <f>IFERROR(MID(VLOOKUP($B165,Seqs!$A:$B,2,0),Y165,1),"")</f>
        <v>P</v>
      </c>
      <c r="Y165" s="3">
        <v>141</v>
      </c>
      <c r="Z165" s="3" t="str">
        <f>IFERROR(MID(VLOOKUP($B165,Seqs!$A:$B,2,0),AA165,1),"")</f>
        <v>R</v>
      </c>
      <c r="AA165" s="3">
        <v>148</v>
      </c>
      <c r="AB165" s="3" t="str">
        <f>IFERROR(MID(VLOOKUP($B165,Seqs!$A:$B,2,0),AC165,1),"")</f>
        <v>G</v>
      </c>
      <c r="AC165" s="3">
        <v>149</v>
      </c>
      <c r="AD165" s="3" t="str">
        <f>IFERROR(MID(VLOOKUP($B165,Seqs!$A:$B,2,0),AE165,1),"")</f>
        <v>R</v>
      </c>
      <c r="AE165" s="3">
        <v>175</v>
      </c>
      <c r="AF165" s="3" t="str">
        <f>IFERROR(MID(VLOOKUP($B165,Seqs!$A:$B,2,0),AG165,1),"")</f>
        <v>C</v>
      </c>
      <c r="AG165" s="3">
        <v>188</v>
      </c>
      <c r="AH165" s="3" t="str">
        <f>IFERROR(MID(VLOOKUP($B165,Seqs!$A:$B,2,0),AI165,1),"")</f>
        <v>V</v>
      </c>
      <c r="AI165" s="3">
        <v>190</v>
      </c>
      <c r="AJ165" s="3" t="str">
        <f>IFERROR(MID(VLOOKUP($B165,Seqs!$A:$B,2,0),AK165,1),"")</f>
        <v>D</v>
      </c>
      <c r="AK165" s="3">
        <v>195</v>
      </c>
      <c r="AL165" s="3" t="str">
        <f>IFERROR(MID(VLOOKUP($B165,Seqs!$A:$B,2,0),AM165,1),"")</f>
        <v>R</v>
      </c>
      <c r="AM165" s="3">
        <v>232</v>
      </c>
      <c r="AN165" s="3" t="str">
        <f>IFERROR(MID(VLOOKUP($B165,Seqs!$A:$B,2,0),AO165,1),"")</f>
        <v>T</v>
      </c>
      <c r="AO165" s="3">
        <v>238</v>
      </c>
      <c r="AP165" s="3" t="str">
        <f>IFERROR(MID(VLOOKUP($B165,Seqs!$A:$B,2,0),AQ165,1),"")</f>
        <v>L</v>
      </c>
      <c r="AQ165" s="3">
        <v>268</v>
      </c>
      <c r="AR165" s="3" t="str">
        <f>IFERROR(MID(VLOOKUP($B165,Seqs!$A:$B,2,0),AS165,1),"")</f>
        <v>S</v>
      </c>
      <c r="AS165" s="3">
        <v>272</v>
      </c>
      <c r="AT165" s="3" t="str">
        <f>IFERROR(MID(VLOOKUP($B165,Seqs!$A:$B,2,0),AU165,1),"")</f>
        <v>A</v>
      </c>
      <c r="AU165" s="3">
        <v>303</v>
      </c>
      <c r="AV165" s="3" t="str">
        <f>IFERROR(MID(VLOOKUP($B165,Seqs!$A:$B,2,0),AW165,1),"")</f>
        <v>G</v>
      </c>
      <c r="AW165" s="3">
        <v>304</v>
      </c>
      <c r="AX165" s="3" t="str">
        <f>IFERROR(MID(VLOOKUP($B165,Seqs!$A:$B,2,0),AY165,1),"")</f>
        <v>K</v>
      </c>
      <c r="AY165" s="3">
        <v>313</v>
      </c>
      <c r="AZ165" s="77" t="str">
        <f>VLOOKUP(B165,Classification!A:D,2,0)</f>
        <v>A</v>
      </c>
      <c r="BA165" s="94" t="str">
        <f>VLOOKUP(B165,Classification!A:D,4,0)</f>
        <v>Complementpeptide</v>
      </c>
      <c r="BB165" s="27" t="b">
        <f t="shared" si="1177"/>
        <v>1</v>
      </c>
      <c r="BC165" s="23">
        <f t="shared" si="1178"/>
        <v>253</v>
      </c>
      <c r="BD165" s="2" t="s">
        <v>23</v>
      </c>
      <c r="BE165" s="3" t="s">
        <v>1374</v>
      </c>
      <c r="BF165" s="118" t="s">
        <v>23</v>
      </c>
      <c r="BI165" s="1"/>
      <c r="BJ165" s="70" t="s">
        <v>1287</v>
      </c>
      <c r="BK165" s="57" t="s">
        <v>1287</v>
      </c>
      <c r="BL165" s="57" t="s">
        <v>1287</v>
      </c>
      <c r="BM165" s="57" t="s">
        <v>1287</v>
      </c>
      <c r="BN165" s="57" t="s">
        <v>1287</v>
      </c>
      <c r="BO165" s="57" t="s">
        <v>1287</v>
      </c>
      <c r="BP165" s="57" t="s">
        <v>1287</v>
      </c>
      <c r="BQ165" s="57" t="s">
        <v>1287</v>
      </c>
      <c r="BR165" s="57" t="s">
        <v>1287</v>
      </c>
      <c r="BS165" s="57" t="s">
        <v>1287</v>
      </c>
      <c r="BT165" s="57" t="s">
        <v>1287</v>
      </c>
      <c r="BU165" s="57" t="s">
        <v>1287</v>
      </c>
      <c r="BV165" s="70">
        <f t="shared" si="1179"/>
        <v>34</v>
      </c>
      <c r="BW165" s="71" t="str">
        <f t="shared" si="1180"/>
        <v>-</v>
      </c>
      <c r="BX165" s="72">
        <f t="shared" si="1181"/>
        <v>69</v>
      </c>
      <c r="BY165" s="71">
        <f t="shared" si="1182"/>
        <v>101</v>
      </c>
      <c r="BZ165" s="72">
        <f t="shared" si="1183"/>
        <v>105</v>
      </c>
      <c r="CA165" s="71">
        <f t="shared" si="1184"/>
        <v>141</v>
      </c>
      <c r="CB165" s="72">
        <f t="shared" si="1185"/>
        <v>149</v>
      </c>
      <c r="CC165" s="71">
        <f t="shared" si="1186"/>
        <v>188</v>
      </c>
      <c r="CD165" s="72">
        <f t="shared" si="1187"/>
        <v>195</v>
      </c>
      <c r="CE165" s="71">
        <f t="shared" si="1188"/>
        <v>238</v>
      </c>
      <c r="CF165" s="72">
        <f t="shared" si="1189"/>
        <v>272</v>
      </c>
      <c r="CG165" s="71">
        <f t="shared" si="1190"/>
        <v>304</v>
      </c>
      <c r="CH165" s="70">
        <f t="shared" si="1191"/>
        <v>65</v>
      </c>
      <c r="CI165" s="71" t="str">
        <f t="shared" si="1192"/>
        <v>-</v>
      </c>
      <c r="CJ165" s="72">
        <f t="shared" si="1193"/>
        <v>99</v>
      </c>
      <c r="CK165" s="72">
        <f t="shared" si="1194"/>
        <v>104</v>
      </c>
      <c r="CL165" s="72">
        <f t="shared" si="1195"/>
        <v>140</v>
      </c>
      <c r="CM165" s="72">
        <f t="shared" si="1196"/>
        <v>148</v>
      </c>
      <c r="CN165" s="72">
        <f t="shared" si="1197"/>
        <v>175</v>
      </c>
      <c r="CO165" s="72">
        <f t="shared" si="1198"/>
        <v>190</v>
      </c>
      <c r="CP165" s="72">
        <f t="shared" si="1199"/>
        <v>232</v>
      </c>
      <c r="CQ165" s="72">
        <f t="shared" si="1200"/>
        <v>268</v>
      </c>
      <c r="CR165" s="72">
        <f t="shared" si="1201"/>
        <v>303</v>
      </c>
      <c r="CS165" s="72">
        <f t="shared" si="1202"/>
        <v>313</v>
      </c>
      <c r="CT165" s="23" t="e">
        <f t="shared" si="1203"/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1176"/>
        <v>c5ar1_human_5O9H</v>
      </c>
      <c r="B166" s="3" t="s">
        <v>165</v>
      </c>
      <c r="C166" s="3" t="s">
        <v>1479</v>
      </c>
      <c r="D166" s="3" t="str">
        <f>IFERROR(MID(VLOOKUP($B166,Seqs!$A:$B,2,0),E166,1),"")</f>
        <v>R</v>
      </c>
      <c r="E166" s="3">
        <v>34</v>
      </c>
      <c r="F166" s="3" t="str">
        <f>IFERROR(MID(VLOOKUP($B166,Seqs!$A:$B,2,0),G166,1),"")</f>
        <v>E</v>
      </c>
      <c r="G166" s="3">
        <v>65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69</v>
      </c>
      <c r="N166" s="3" t="str">
        <f>IFERROR(MID(VLOOKUP($B166,Seqs!$A:$B,2,0),O166,1),"")</f>
        <v>H</v>
      </c>
      <c r="O166" s="3">
        <v>99</v>
      </c>
      <c r="P166" s="3" t="str">
        <f>IFERROR(MID(VLOOKUP($B166,Seqs!$A:$B,2,0),Q166,1),"")</f>
        <v>H</v>
      </c>
      <c r="Q166" s="3">
        <v>101</v>
      </c>
      <c r="R166" s="3" t="str">
        <f>IFERROR(MID(VLOOKUP($B166,Seqs!$A:$B,2,0),S166,1),"")</f>
        <v>F</v>
      </c>
      <c r="S166" s="3">
        <v>104</v>
      </c>
      <c r="T166" s="3" t="str">
        <f>IFERROR(MID(VLOOKUP($B166,Seqs!$A:$B,2,0),U166,1),"")</f>
        <v>G</v>
      </c>
      <c r="U166" s="3">
        <v>105</v>
      </c>
      <c r="V166" s="3" t="str">
        <f>IFERROR(MID(VLOOKUP($B166,Seqs!$A:$B,2,0),W166,1),"")</f>
        <v>K</v>
      </c>
      <c r="W166" s="3">
        <v>140</v>
      </c>
      <c r="X166" s="3" t="str">
        <f>IFERROR(MID(VLOOKUP($B166,Seqs!$A:$B,2,0),Y166,1),"")</f>
        <v>P</v>
      </c>
      <c r="Y166" s="3">
        <v>141</v>
      </c>
      <c r="Z166" s="3" t="str">
        <f>IFERROR(MID(VLOOKUP($B166,Seqs!$A:$B,2,0),AA166,1),"")</f>
        <v>R</v>
      </c>
      <c r="AA166" s="3">
        <v>148</v>
      </c>
      <c r="AB166" s="3" t="str">
        <f>IFERROR(MID(VLOOKUP($B166,Seqs!$A:$B,2,0),AC166,1),"")</f>
        <v>G</v>
      </c>
      <c r="AC166" s="3">
        <v>149</v>
      </c>
      <c r="AD166" s="3" t="str">
        <f>IFERROR(MID(VLOOKUP($B166,Seqs!$A:$B,2,0),AE166,1),"")</f>
        <v>R</v>
      </c>
      <c r="AE166" s="3">
        <v>175</v>
      </c>
      <c r="AF166" s="3" t="str">
        <f>IFERROR(MID(VLOOKUP($B166,Seqs!$A:$B,2,0),AG166,1),"")</f>
        <v>C</v>
      </c>
      <c r="AG166" s="3">
        <v>188</v>
      </c>
      <c r="AH166" s="3" t="str">
        <f>IFERROR(MID(VLOOKUP($B166,Seqs!$A:$B,2,0),AI166,1),"")</f>
        <v>V</v>
      </c>
      <c r="AI166" s="3">
        <v>190</v>
      </c>
      <c r="AJ166" s="3" t="str">
        <f>IFERROR(MID(VLOOKUP($B166,Seqs!$A:$B,2,0),AK166,1),"")</f>
        <v>D</v>
      </c>
      <c r="AK166" s="3">
        <v>195</v>
      </c>
      <c r="AL166" s="3" t="str">
        <f>IFERROR(MID(VLOOKUP($B166,Seqs!$A:$B,2,0),AM166,1),"")</f>
        <v>R</v>
      </c>
      <c r="AM166" s="3">
        <v>232</v>
      </c>
      <c r="AN166" s="3" t="str">
        <f>IFERROR(MID(VLOOKUP($B166,Seqs!$A:$B,2,0),AO166,1),"")</f>
        <v>T</v>
      </c>
      <c r="AO166" s="3">
        <v>238</v>
      </c>
      <c r="AP166" s="3" t="str">
        <f>IFERROR(MID(VLOOKUP($B166,Seqs!$A:$B,2,0),AQ166,1),"")</f>
        <v>L</v>
      </c>
      <c r="AQ166" s="3">
        <v>268</v>
      </c>
      <c r="AR166" s="3" t="str">
        <f>IFERROR(MID(VLOOKUP($B166,Seqs!$A:$B,2,0),AS166,1),"")</f>
        <v>S</v>
      </c>
      <c r="AS166" s="3">
        <v>272</v>
      </c>
      <c r="AT166" s="3" t="str">
        <f>IFERROR(MID(VLOOKUP($B166,Seqs!$A:$B,2,0),AU166,1),"")</f>
        <v>F</v>
      </c>
      <c r="AU166" s="3">
        <v>307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7" t="str">
        <f>VLOOKUP(B166,Classification!A:D,2,0)</f>
        <v>A</v>
      </c>
      <c r="BA166" s="94" t="str">
        <f>VLOOKUP(B166,Classification!A:D,4,0)</f>
        <v>Complementpeptide</v>
      </c>
      <c r="BB166" s="27" t="b">
        <f t="shared" si="1177"/>
        <v>1</v>
      </c>
      <c r="BC166" s="23">
        <f t="shared" si="1178"/>
        <v>248</v>
      </c>
      <c r="BD166" s="2" t="s">
        <v>1376</v>
      </c>
      <c r="BE166" s="3" t="s">
        <v>1374</v>
      </c>
      <c r="BF166" s="118">
        <v>2.7</v>
      </c>
      <c r="BG166" s="49" t="s">
        <v>1</v>
      </c>
      <c r="BH166" s="49" t="s">
        <v>1</v>
      </c>
      <c r="BI166" s="1"/>
      <c r="BJ166" s="70" t="s">
        <v>1287</v>
      </c>
      <c r="BK166" s="57" t="s">
        <v>1287</v>
      </c>
      <c r="BL166" s="57" t="s">
        <v>1287</v>
      </c>
      <c r="BM166" s="57" t="s">
        <v>1287</v>
      </c>
      <c r="BN166" s="57" t="s">
        <v>1287</v>
      </c>
      <c r="BO166" s="57" t="s">
        <v>1287</v>
      </c>
      <c r="BP166" s="57" t="s">
        <v>1287</v>
      </c>
      <c r="BQ166" s="57" t="s">
        <v>1287</v>
      </c>
      <c r="BR166" s="57" t="s">
        <v>1287</v>
      </c>
      <c r="BS166" s="57" t="s">
        <v>1287</v>
      </c>
      <c r="BT166" s="57" t="s">
        <v>1287</v>
      </c>
      <c r="BU166" s="57" t="s">
        <v>1287</v>
      </c>
      <c r="BV166" s="70">
        <f t="shared" si="1179"/>
        <v>34</v>
      </c>
      <c r="BW166" s="71" t="str">
        <f t="shared" si="1180"/>
        <v>-</v>
      </c>
      <c r="BX166" s="72">
        <f t="shared" si="1181"/>
        <v>69</v>
      </c>
      <c r="BY166" s="71">
        <f t="shared" si="1182"/>
        <v>101</v>
      </c>
      <c r="BZ166" s="72">
        <f t="shared" si="1183"/>
        <v>105</v>
      </c>
      <c r="CA166" s="71">
        <f t="shared" si="1184"/>
        <v>141</v>
      </c>
      <c r="CB166" s="72">
        <f t="shared" si="1185"/>
        <v>149</v>
      </c>
      <c r="CC166" s="71">
        <f t="shared" si="1186"/>
        <v>188</v>
      </c>
      <c r="CD166" s="72">
        <f t="shared" si="1187"/>
        <v>195</v>
      </c>
      <c r="CE166" s="71">
        <f t="shared" si="1188"/>
        <v>238</v>
      </c>
      <c r="CF166" s="72">
        <f t="shared" si="1189"/>
        <v>272</v>
      </c>
      <c r="CG166" s="71" t="str">
        <f t="shared" si="1190"/>
        <v>-</v>
      </c>
      <c r="CH166" s="70">
        <f t="shared" si="1191"/>
        <v>65</v>
      </c>
      <c r="CI166" s="71" t="str">
        <f t="shared" si="1192"/>
        <v>-</v>
      </c>
      <c r="CJ166" s="72">
        <f t="shared" si="1193"/>
        <v>99</v>
      </c>
      <c r="CK166" s="72">
        <f t="shared" si="1194"/>
        <v>104</v>
      </c>
      <c r="CL166" s="72">
        <f t="shared" si="1195"/>
        <v>140</v>
      </c>
      <c r="CM166" s="72">
        <f t="shared" si="1196"/>
        <v>148</v>
      </c>
      <c r="CN166" s="72">
        <f t="shared" si="1197"/>
        <v>175</v>
      </c>
      <c r="CO166" s="72">
        <f t="shared" si="1198"/>
        <v>190</v>
      </c>
      <c r="CP166" s="72">
        <f t="shared" si="1199"/>
        <v>232</v>
      </c>
      <c r="CQ166" s="72">
        <f t="shared" si="1200"/>
        <v>268</v>
      </c>
      <c r="CR166" s="72">
        <f t="shared" si="1201"/>
        <v>307</v>
      </c>
      <c r="CS166" s="72" t="str">
        <f t="shared" si="1202"/>
        <v>-</v>
      </c>
      <c r="CT166" s="23" t="e">
        <f t="shared" si="1203"/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1176"/>
        <v>c5ar1_human_6C1Q</v>
      </c>
      <c r="B167" s="3" t="s">
        <v>165</v>
      </c>
      <c r="C167" s="3" t="s">
        <v>1498</v>
      </c>
      <c r="D167" s="3" t="str">
        <f>IFERROR(MID(VLOOKUP($B167,Seqs!$A:$B,2,0),E167,1),"")</f>
        <v>M</v>
      </c>
      <c r="E167" s="3">
        <v>120</v>
      </c>
      <c r="F167" s="3" t="str">
        <f>IFERROR(MID(VLOOKUP($B167,Seqs!$A:$B,2,0),G167,1),"")</f>
        <v>G</v>
      </c>
      <c r="G167" s="3">
        <v>151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I</v>
      </c>
      <c r="M167" s="3">
        <v>155</v>
      </c>
      <c r="N167" s="3" t="str">
        <f>IFERROR(MID(VLOOKUP($B167,Seqs!$A:$B,2,0),O167,1),"")</f>
        <v>K</v>
      </c>
      <c r="O167" s="3">
        <v>185</v>
      </c>
      <c r="P167" s="3" t="str">
        <f>IFERROR(MID(VLOOKUP($B167,Seqs!$A:$B,2,0),Q167,1),"")</f>
        <v>L</v>
      </c>
      <c r="Q167" s="3">
        <v>187</v>
      </c>
      <c r="R167" s="3" t="str">
        <f>IFERROR(MID(VLOOKUP($B167,Seqs!$A:$B,2,0),S167,1),"")</f>
        <v>V</v>
      </c>
      <c r="S167" s="3">
        <v>190</v>
      </c>
      <c r="T167" s="3" t="str">
        <f>IFERROR(MID(VLOOKUP($B167,Seqs!$A:$B,2,0),U167,1),"")</f>
        <v>D</v>
      </c>
      <c r="U167" s="3">
        <v>191</v>
      </c>
      <c r="V167" s="3" t="str">
        <f>IFERROR(MID(VLOOKUP($B167,Seqs!$A:$B,2,0),W167,1),"")</f>
        <v>L</v>
      </c>
      <c r="W167" s="3">
        <v>226</v>
      </c>
      <c r="X167" s="3" t="str">
        <f>IFERROR(MID(VLOOKUP($B167,Seqs!$A:$B,2,0),Y167,1),"")</f>
        <v>L</v>
      </c>
      <c r="Y167" s="3">
        <v>227</v>
      </c>
      <c r="Z167" s="3" t="str">
        <f>IFERROR(MID(VLOOKUP($B167,Seqs!$A:$B,2,0),AA167,1),"")</f>
        <v>A</v>
      </c>
      <c r="AA167" s="3">
        <v>234</v>
      </c>
      <c r="AB167" s="3" t="str">
        <f>IFERROR(MID(VLOOKUP($B167,Seqs!$A:$B,2,0),AC167,1),"")</f>
        <v>T</v>
      </c>
      <c r="AC167" s="3">
        <v>235</v>
      </c>
      <c r="AD167" s="3" t="str">
        <f>IFERROR(MID(VLOOKUP($B167,Seqs!$A:$B,2,0),AE167,1),"")</f>
        <v>T</v>
      </c>
      <c r="AE167" s="3">
        <v>261</v>
      </c>
      <c r="AF167" s="3" t="str">
        <f>IFERROR(MID(VLOOKUP($B167,Seqs!$A:$B,2,0),AG167,1),"")</f>
        <v>T</v>
      </c>
      <c r="AG167" s="3">
        <v>274</v>
      </c>
      <c r="AH167" s="3" t="str">
        <f>IFERROR(MID(VLOOKUP($B167,Seqs!$A:$B,2,0),AI167,1),"")</f>
        <v>L</v>
      </c>
      <c r="AI167" s="3">
        <v>276</v>
      </c>
      <c r="AJ167" s="3" t="str">
        <f>IFERROR(MID(VLOOKUP($B167,Seqs!$A:$B,2,0),AK167,1),"")</f>
        <v>L</v>
      </c>
      <c r="AK167" s="3">
        <v>281</v>
      </c>
      <c r="AL167" s="3" t="str">
        <f>IFERROR(MID(VLOOKUP($B167,Seqs!$A:$B,2,0),AM167,1),"")</f>
        <v>L</v>
      </c>
      <c r="AM167" s="3">
        <v>318</v>
      </c>
      <c r="AN167" s="3" t="str">
        <f>IFERROR(MID(VLOOKUP($B167,Seqs!$A:$B,2,0),AO167,1),"")</f>
        <v>L</v>
      </c>
      <c r="AO167" s="3">
        <v>323</v>
      </c>
      <c r="AP167" s="3" t="str">
        <f>IFERROR(MID(VLOOKUP($B167,Seqs!$A:$B,2,0),AQ167,1),"")</f>
        <v/>
      </c>
      <c r="AQ167" s="3">
        <v>354</v>
      </c>
      <c r="AR167" s="3" t="str">
        <f>IFERROR(MID(VLOOKUP($B167,Seqs!$A:$B,2,0),AS167,1),"")</f>
        <v/>
      </c>
      <c r="AS167" s="3">
        <v>358</v>
      </c>
      <c r="AT167" s="3" t="str">
        <f>IFERROR(MID(VLOOKUP($B167,Seqs!$A:$B,2,0),AU167,1),"")</f>
        <v/>
      </c>
      <c r="AU167" s="3">
        <v>394</v>
      </c>
      <c r="AV167" s="3" t="str">
        <f>IFERROR(MID(VLOOKUP($B167,Seqs!$A:$B,2,0),AW167,1),"")</f>
        <v/>
      </c>
      <c r="AW167" s="3" t="s">
        <v>23</v>
      </c>
      <c r="AX167" s="3" t="str">
        <f>IFERROR(MID(VLOOKUP($B167,Seqs!$A:$B,2,0),AY167,1),"")</f>
        <v/>
      </c>
      <c r="AY167" s="3" t="s">
        <v>23</v>
      </c>
      <c r="AZ167" s="77" t="str">
        <f>VLOOKUP(B167,Classification!A:D,2,0)</f>
        <v>A</v>
      </c>
      <c r="BA167" s="94" t="str">
        <f>VLOOKUP(B167,Classification!A:D,4,0)</f>
        <v>Complementpeptide</v>
      </c>
      <c r="BB167" s="27" t="b">
        <f t="shared" si="1177"/>
        <v>1</v>
      </c>
      <c r="BC167" s="23">
        <f t="shared" si="1178"/>
        <v>250</v>
      </c>
      <c r="BD167" s="2" t="s">
        <v>23</v>
      </c>
      <c r="BE167" s="3" t="s">
        <v>1374</v>
      </c>
      <c r="BF167" s="118">
        <v>2.9</v>
      </c>
      <c r="BG167" s="49" t="s">
        <v>1281</v>
      </c>
      <c r="BH167" s="49" t="s">
        <v>1281</v>
      </c>
      <c r="BI167" s="1"/>
      <c r="BJ167" s="70" t="s">
        <v>1287</v>
      </c>
      <c r="BK167" s="57" t="s">
        <v>1287</v>
      </c>
      <c r="BL167" s="57" t="s">
        <v>1287</v>
      </c>
      <c r="BM167" s="57" t="s">
        <v>1287</v>
      </c>
      <c r="BN167" s="57" t="s">
        <v>1287</v>
      </c>
      <c r="BO167" s="57" t="s">
        <v>1287</v>
      </c>
      <c r="BP167" s="57" t="s">
        <v>1287</v>
      </c>
      <c r="BQ167" s="57" t="s">
        <v>1287</v>
      </c>
      <c r="BR167" s="57" t="s">
        <v>1287</v>
      </c>
      <c r="BS167" s="57" t="s">
        <v>1287</v>
      </c>
      <c r="BT167" s="57" t="s">
        <v>1287</v>
      </c>
      <c r="BU167" s="57" t="s">
        <v>1287</v>
      </c>
      <c r="BV167" s="70">
        <f t="shared" si="1179"/>
        <v>120</v>
      </c>
      <c r="BW167" s="71" t="str">
        <f t="shared" si="1180"/>
        <v>-</v>
      </c>
      <c r="BX167" s="72">
        <f t="shared" si="1181"/>
        <v>155</v>
      </c>
      <c r="BY167" s="71">
        <f t="shared" si="1182"/>
        <v>187</v>
      </c>
      <c r="BZ167" s="72">
        <f t="shared" si="1183"/>
        <v>191</v>
      </c>
      <c r="CA167" s="71">
        <f t="shared" si="1184"/>
        <v>227</v>
      </c>
      <c r="CB167" s="72">
        <f t="shared" si="1185"/>
        <v>235</v>
      </c>
      <c r="CC167" s="71">
        <f t="shared" si="1186"/>
        <v>274</v>
      </c>
      <c r="CD167" s="72">
        <f t="shared" si="1187"/>
        <v>281</v>
      </c>
      <c r="CE167" s="71">
        <f t="shared" si="1188"/>
        <v>323</v>
      </c>
      <c r="CF167" s="72">
        <f t="shared" si="1189"/>
        <v>358</v>
      </c>
      <c r="CG167" s="71" t="str">
        <f t="shared" si="1190"/>
        <v>-</v>
      </c>
      <c r="CH167" s="70">
        <f t="shared" si="1191"/>
        <v>151</v>
      </c>
      <c r="CI167" s="71" t="str">
        <f t="shared" si="1192"/>
        <v>-</v>
      </c>
      <c r="CJ167" s="72">
        <f t="shared" si="1193"/>
        <v>185</v>
      </c>
      <c r="CK167" s="72">
        <f t="shared" si="1194"/>
        <v>190</v>
      </c>
      <c r="CL167" s="72">
        <f t="shared" si="1195"/>
        <v>226</v>
      </c>
      <c r="CM167" s="72">
        <f t="shared" si="1196"/>
        <v>234</v>
      </c>
      <c r="CN167" s="72">
        <f t="shared" si="1197"/>
        <v>261</v>
      </c>
      <c r="CO167" s="72">
        <f t="shared" si="1198"/>
        <v>276</v>
      </c>
      <c r="CP167" s="72">
        <f t="shared" si="1199"/>
        <v>318</v>
      </c>
      <c r="CQ167" s="72">
        <f t="shared" si="1200"/>
        <v>354</v>
      </c>
      <c r="CR167" s="72">
        <f t="shared" si="1201"/>
        <v>394</v>
      </c>
      <c r="CS167" s="72" t="str">
        <f t="shared" si="1202"/>
        <v>-</v>
      </c>
      <c r="CT167" s="23" t="e">
        <f t="shared" si="1203"/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si="1176"/>
        <v>c5ar1_human_6C1R</v>
      </c>
      <c r="B168" s="3" t="s">
        <v>165</v>
      </c>
      <c r="C168" s="3" t="s">
        <v>1499</v>
      </c>
      <c r="D168" s="3" t="str">
        <f>IFERROR(MID(VLOOKUP($B168,Seqs!$A:$B,2,0),E168,1),"")</f>
        <v>M</v>
      </c>
      <c r="E168" s="3">
        <v>120</v>
      </c>
      <c r="F168" s="3" t="str">
        <f>IFERROR(MID(VLOOKUP($B168,Seqs!$A:$B,2,0),G168,1),"")</f>
        <v>G</v>
      </c>
      <c r="G168" s="3">
        <v>151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I</v>
      </c>
      <c r="M168" s="3">
        <v>155</v>
      </c>
      <c r="N168" s="3" t="str">
        <f>IFERROR(MID(VLOOKUP($B168,Seqs!$A:$B,2,0),O168,1),"")</f>
        <v>K</v>
      </c>
      <c r="O168" s="3">
        <v>185</v>
      </c>
      <c r="P168" s="3" t="str">
        <f>IFERROR(MID(VLOOKUP($B168,Seqs!$A:$B,2,0),Q168,1),"")</f>
        <v>L</v>
      </c>
      <c r="Q168" s="3">
        <v>187</v>
      </c>
      <c r="R168" s="3" t="str">
        <f>IFERROR(MID(VLOOKUP($B168,Seqs!$A:$B,2,0),S168,1),"")</f>
        <v>V</v>
      </c>
      <c r="S168" s="3">
        <v>190</v>
      </c>
      <c r="T168" s="3" t="str">
        <f>IFERROR(MID(VLOOKUP($B168,Seqs!$A:$B,2,0),U168,1),"")</f>
        <v>D</v>
      </c>
      <c r="U168" s="3">
        <v>191</v>
      </c>
      <c r="V168" s="3" t="str">
        <f>IFERROR(MID(VLOOKUP($B168,Seqs!$A:$B,2,0),W168,1),"")</f>
        <v>L</v>
      </c>
      <c r="W168" s="3">
        <v>226</v>
      </c>
      <c r="X168" s="3" t="str">
        <f>IFERROR(MID(VLOOKUP($B168,Seqs!$A:$B,2,0),Y168,1),"")</f>
        <v>L</v>
      </c>
      <c r="Y168" s="3">
        <v>227</v>
      </c>
      <c r="Z168" s="3" t="str">
        <f>IFERROR(MID(VLOOKUP($B168,Seqs!$A:$B,2,0),AA168,1),"")</f>
        <v>A</v>
      </c>
      <c r="AA168" s="3">
        <v>234</v>
      </c>
      <c r="AB168" s="3" t="str">
        <f>IFERROR(MID(VLOOKUP($B168,Seqs!$A:$B,2,0),AC168,1),"")</f>
        <v>T</v>
      </c>
      <c r="AC168" s="3">
        <v>235</v>
      </c>
      <c r="AD168" s="3" t="str">
        <f>IFERROR(MID(VLOOKUP($B168,Seqs!$A:$B,2,0),AE168,1),"")</f>
        <v>T</v>
      </c>
      <c r="AE168" s="3">
        <v>261</v>
      </c>
      <c r="AF168" s="3" t="str">
        <f>IFERROR(MID(VLOOKUP($B168,Seqs!$A:$B,2,0),AG168,1),"")</f>
        <v>T</v>
      </c>
      <c r="AG168" s="3">
        <v>274</v>
      </c>
      <c r="AH168" s="3" t="str">
        <f>IFERROR(MID(VLOOKUP($B168,Seqs!$A:$B,2,0),AI168,1),"")</f>
        <v>L</v>
      </c>
      <c r="AI168" s="3">
        <v>276</v>
      </c>
      <c r="AJ168" s="3" t="str">
        <f>IFERROR(MID(VLOOKUP($B168,Seqs!$A:$B,2,0),AK168,1),"")</f>
        <v>L</v>
      </c>
      <c r="AK168" s="3">
        <v>281</v>
      </c>
      <c r="AL168" s="3" t="str">
        <f>IFERROR(MID(VLOOKUP($B168,Seqs!$A:$B,2,0),AM168,1),"")</f>
        <v>L</v>
      </c>
      <c r="AM168" s="3">
        <v>318</v>
      </c>
      <c r="AN168" s="3" t="str">
        <f>IFERROR(MID(VLOOKUP($B168,Seqs!$A:$B,2,0),AO168,1),"")</f>
        <v>L</v>
      </c>
      <c r="AO168" s="3">
        <v>323</v>
      </c>
      <c r="AP168" s="3" t="str">
        <f>IFERROR(MID(VLOOKUP($B168,Seqs!$A:$B,2,0),AQ168,1),"")</f>
        <v/>
      </c>
      <c r="AQ168" s="3">
        <v>354</v>
      </c>
      <c r="AR168" s="3" t="str">
        <f>IFERROR(MID(VLOOKUP($B168,Seqs!$A:$B,2,0),AS168,1),"")</f>
        <v/>
      </c>
      <c r="AS168" s="3">
        <v>358</v>
      </c>
      <c r="AT168" s="3" t="str">
        <f>IFERROR(MID(VLOOKUP($B168,Seqs!$A:$B,2,0),AU168,1),"")</f>
        <v/>
      </c>
      <c r="AU168" s="3">
        <v>394</v>
      </c>
      <c r="AV168" s="3" t="str">
        <f>IFERROR(MID(VLOOKUP($B168,Seqs!$A:$B,2,0),AW168,1),"")</f>
        <v/>
      </c>
      <c r="AW168" s="3" t="s">
        <v>23</v>
      </c>
      <c r="AX168" s="3" t="str">
        <f>IFERROR(MID(VLOOKUP($B168,Seqs!$A:$B,2,0),AY168,1),"")</f>
        <v/>
      </c>
      <c r="AY168" s="3" t="s">
        <v>23</v>
      </c>
      <c r="AZ168" s="77" t="str">
        <f>VLOOKUP(B168,Classification!A:D,2,0)</f>
        <v>A</v>
      </c>
      <c r="BA168" s="94" t="str">
        <f>VLOOKUP(B168,Classification!A:D,4,0)</f>
        <v>Complementpeptide</v>
      </c>
      <c r="BB168" s="27" t="b">
        <f t="shared" si="1177"/>
        <v>1</v>
      </c>
      <c r="BC168" s="23">
        <f t="shared" si="1178"/>
        <v>250</v>
      </c>
      <c r="BD168" s="2" t="s">
        <v>23</v>
      </c>
      <c r="BE168" s="3" t="s">
        <v>1374</v>
      </c>
      <c r="BF168" s="118">
        <v>2.2000000000000002</v>
      </c>
      <c r="BG168" s="49" t="s">
        <v>1281</v>
      </c>
      <c r="BH168" s="49" t="s">
        <v>1281</v>
      </c>
      <c r="BI168" s="1"/>
      <c r="BJ168" s="70" t="s">
        <v>1287</v>
      </c>
      <c r="BK168" s="57" t="s">
        <v>1287</v>
      </c>
      <c r="BL168" s="57" t="s">
        <v>1287</v>
      </c>
      <c r="BM168" s="57" t="s">
        <v>1287</v>
      </c>
      <c r="BN168" s="57" t="s">
        <v>1287</v>
      </c>
      <c r="BO168" s="57" t="s">
        <v>1287</v>
      </c>
      <c r="BP168" s="57" t="s">
        <v>1287</v>
      </c>
      <c r="BQ168" s="57" t="s">
        <v>1287</v>
      </c>
      <c r="BR168" s="57" t="s">
        <v>1287</v>
      </c>
      <c r="BS168" s="57" t="s">
        <v>1287</v>
      </c>
      <c r="BT168" s="57" t="s">
        <v>1287</v>
      </c>
      <c r="BU168" s="57" t="s">
        <v>1287</v>
      </c>
      <c r="BV168" s="70">
        <f t="shared" si="1179"/>
        <v>120</v>
      </c>
      <c r="BW168" s="71" t="str">
        <f t="shared" si="1180"/>
        <v>-</v>
      </c>
      <c r="BX168" s="72">
        <f t="shared" si="1181"/>
        <v>155</v>
      </c>
      <c r="BY168" s="71">
        <f t="shared" si="1182"/>
        <v>187</v>
      </c>
      <c r="BZ168" s="72">
        <f t="shared" si="1183"/>
        <v>191</v>
      </c>
      <c r="CA168" s="71">
        <f t="shared" si="1184"/>
        <v>227</v>
      </c>
      <c r="CB168" s="72">
        <f t="shared" si="1185"/>
        <v>235</v>
      </c>
      <c r="CC168" s="71">
        <f t="shared" si="1186"/>
        <v>274</v>
      </c>
      <c r="CD168" s="72">
        <f t="shared" si="1187"/>
        <v>281</v>
      </c>
      <c r="CE168" s="71">
        <f t="shared" si="1188"/>
        <v>323</v>
      </c>
      <c r="CF168" s="72">
        <f t="shared" si="1189"/>
        <v>358</v>
      </c>
      <c r="CG168" s="71" t="str">
        <f t="shared" si="1190"/>
        <v>-</v>
      </c>
      <c r="CH168" s="70">
        <f t="shared" si="1191"/>
        <v>151</v>
      </c>
      <c r="CI168" s="71" t="str">
        <f t="shared" si="1192"/>
        <v>-</v>
      </c>
      <c r="CJ168" s="72">
        <f t="shared" si="1193"/>
        <v>185</v>
      </c>
      <c r="CK168" s="72">
        <f t="shared" si="1194"/>
        <v>190</v>
      </c>
      <c r="CL168" s="72">
        <f t="shared" si="1195"/>
        <v>226</v>
      </c>
      <c r="CM168" s="72">
        <f t="shared" si="1196"/>
        <v>234</v>
      </c>
      <c r="CN168" s="72">
        <f t="shared" si="1197"/>
        <v>261</v>
      </c>
      <c r="CO168" s="72">
        <f t="shared" si="1198"/>
        <v>276</v>
      </c>
      <c r="CP168" s="72">
        <f t="shared" si="1199"/>
        <v>318</v>
      </c>
      <c r="CQ168" s="72">
        <f t="shared" si="1200"/>
        <v>354</v>
      </c>
      <c r="CR168" s="72">
        <f t="shared" si="1201"/>
        <v>394</v>
      </c>
      <c r="CS168" s="72" t="str">
        <f t="shared" si="1202"/>
        <v>-</v>
      </c>
      <c r="CT168" s="23" t="e">
        <f t="shared" si="1203"/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 t="shared" si="1007"/>
        <v>ccr2_human__wt</v>
      </c>
      <c r="B169" s="3" t="s">
        <v>170</v>
      </c>
      <c r="C169" s="3" t="s">
        <v>100</v>
      </c>
      <c r="D169" s="3" t="str">
        <f>IFERROR(MID(VLOOKUP($B169,Seqs!$A:$B,2,0),E169,1),"")</f>
        <v>V</v>
      </c>
      <c r="E169" s="3">
        <v>37</v>
      </c>
      <c r="F169" s="3" t="str">
        <f>IFERROR(MID(VLOOKUP($B169,Seqs!$A:$B,2,0),G169,1),"")</f>
        <v>C</v>
      </c>
      <c r="G169" s="3">
        <v>70</v>
      </c>
      <c r="H169" s="3" t="str">
        <f>IFERROR(MID(VLOOKUP($B169,Seqs!$A:$B,2,0),I169,1),"")</f>
        <v>K</v>
      </c>
      <c r="I169" s="23">
        <v>71</v>
      </c>
      <c r="J169" s="3" t="str">
        <f>IFERROR(MID(VLOOKUP($B169,Seqs!$A:$B,2,0),K169,1),"")</f>
        <v>K</v>
      </c>
      <c r="K169" s="23">
        <v>74</v>
      </c>
      <c r="L169" s="3" t="str">
        <f>IFERROR(MID(VLOOKUP($B169,Seqs!$A:$B,2,0),M169,1),"")</f>
        <v>C</v>
      </c>
      <c r="M169" s="3">
        <v>75</v>
      </c>
      <c r="N169" s="3" t="str">
        <f>IFERROR(MID(VLOOKUP($B169,Seqs!$A:$B,2,0),O169,1),"")</f>
        <v>N</v>
      </c>
      <c r="O169" s="3">
        <v>104</v>
      </c>
      <c r="P169" s="3" t="str">
        <f>IFERROR(MID(VLOOKUP($B169,Seqs!$A:$B,2,0),Q169,1),"")</f>
        <v>E</v>
      </c>
      <c r="Q169" s="3">
        <v>105</v>
      </c>
      <c r="R169" s="3" t="str">
        <f>IFERROR(MID(VLOOKUP($B169,Seqs!$A:$B,2,0),S169,1),"")</f>
        <v>F</v>
      </c>
      <c r="S169" s="3">
        <v>108</v>
      </c>
      <c r="T169" s="3" t="str">
        <f>IFERROR(MID(VLOOKUP($B169,Seqs!$A:$B,2,0),U169,1),"")</f>
        <v>G</v>
      </c>
      <c r="U169" s="3">
        <v>109</v>
      </c>
      <c r="V169" s="3" t="str">
        <f>IFERROR(MID(VLOOKUP($B169,Seqs!$A:$B,2,0),W169,1),"")</f>
        <v>H</v>
      </c>
      <c r="W169" s="3">
        <v>144</v>
      </c>
      <c r="X169" s="3" t="str">
        <f>IFERROR(MID(VLOOKUP($B169,Seqs!$A:$B,2,0),Y169,1),"")</f>
        <v>A</v>
      </c>
      <c r="Y169" s="3">
        <v>145</v>
      </c>
      <c r="Z169" s="3" t="str">
        <f>IFERROR(MID(VLOOKUP($B169,Seqs!$A:$B,2,0),AA169,1),"")</f>
        <v>R</v>
      </c>
      <c r="AA169" s="3">
        <v>152</v>
      </c>
      <c r="AB169" s="3" t="str">
        <f>IFERROR(MID(VLOOKUP($B169,Seqs!$A:$B,2,0),AC169,1),"")</f>
        <v>T</v>
      </c>
      <c r="AC169" s="9">
        <v>153</v>
      </c>
      <c r="AD169" s="3" t="str">
        <f>IFERROR(MID(VLOOKUP($B169,Seqs!$A:$B,2,0),AE169,1),"")</f>
        <v>T</v>
      </c>
      <c r="AE169" s="3">
        <v>179</v>
      </c>
      <c r="AF169" s="3" t="str">
        <f>IFERROR(MID(VLOOKUP($B169,Seqs!$A:$B,2,0),AG169,1),"")</f>
        <v>C</v>
      </c>
      <c r="AG169" s="3">
        <v>190</v>
      </c>
      <c r="AH169" s="3" t="str">
        <f>IFERROR(MID(VLOOKUP($B169,Seqs!$A:$B,2,0),AI169,1),"")</f>
        <v>P</v>
      </c>
      <c r="AI169" s="3">
        <v>192</v>
      </c>
      <c r="AJ169" s="3" t="str">
        <f>IFERROR(MID(VLOOKUP($B169,Seqs!$A:$B,2,0),AK169,1),"")</f>
        <v>P</v>
      </c>
      <c r="AK169" s="3">
        <v>195</v>
      </c>
      <c r="AL169" s="3" t="str">
        <f>IFERROR(MID(VLOOKUP($B169,Seqs!$A:$B,2,0),AM169,1),"")</f>
        <v>C</v>
      </c>
      <c r="AM169" s="3">
        <v>232</v>
      </c>
      <c r="AN169" s="3" t="str">
        <f>IFERROR(MID(VLOOKUP($B169,Seqs!$A:$B,2,0),AO169,1),"")</f>
        <v>K</v>
      </c>
      <c r="AO169" s="3">
        <v>236</v>
      </c>
      <c r="AP169" s="3" t="str">
        <f>IFERROR(MID(VLOOKUP($B169,Seqs!$A:$B,2,0),AQ169,1),"")</f>
        <v>G</v>
      </c>
      <c r="AQ169" s="3">
        <v>273</v>
      </c>
      <c r="AR169" s="3" t="str">
        <f>IFERROR(MID(VLOOKUP($B169,Seqs!$A:$B,2,0),AS169,1),"")</f>
        <v>E</v>
      </c>
      <c r="AS169" s="3">
        <v>278</v>
      </c>
      <c r="AT169" s="3" t="str">
        <f>IFERROR(MID(VLOOKUP($B169,Seqs!$A:$B,2,0),AU169,1),"")</f>
        <v>V</v>
      </c>
      <c r="AU169" s="3">
        <v>308</v>
      </c>
      <c r="AV169" s="3" t="str">
        <f>IFERROR(MID(VLOOKUP($B169,Seqs!$A:$B,2,0),AW169,1),"")</f>
        <v>G</v>
      </c>
      <c r="AW169" s="3">
        <v>309</v>
      </c>
      <c r="AX169" s="3" t="str">
        <f>IFERROR(MID(VLOOKUP($B169,Seqs!$A:$B,2,0),AY169,1),"")</f>
        <v>L</v>
      </c>
      <c r="AY169" s="3">
        <v>320</v>
      </c>
      <c r="AZ169" s="77" t="str">
        <f>VLOOKUP(B169,Classification!A:D,2,0)</f>
        <v>A</v>
      </c>
      <c r="BA169" s="94" t="str">
        <f>VLOOKUP(B169,Classification!A:D,4,0)</f>
        <v>Chemokine</v>
      </c>
      <c r="BB169" s="27" t="b">
        <f t="shared" si="1008"/>
        <v>1</v>
      </c>
      <c r="BC169" s="23">
        <f t="shared" si="785"/>
        <v>265</v>
      </c>
      <c r="BD169" s="2" t="s">
        <v>23</v>
      </c>
      <c r="BE169" s="3" t="s">
        <v>23</v>
      </c>
      <c r="BF169" s="118" t="s">
        <v>23</v>
      </c>
      <c r="BG169" s="49" t="s">
        <v>1372</v>
      </c>
      <c r="BH169" s="49" t="s">
        <v>1377</v>
      </c>
      <c r="BI169" s="1"/>
      <c r="BJ169" s="70" t="s">
        <v>1287</v>
      </c>
      <c r="BK169" s="57" t="s">
        <v>1287</v>
      </c>
      <c r="BL169" s="57" t="s">
        <v>1287</v>
      </c>
      <c r="BM169" s="57" t="s">
        <v>1287</v>
      </c>
      <c r="BN169" s="57" t="s">
        <v>1287</v>
      </c>
      <c r="BO169" s="57" t="s">
        <v>1287</v>
      </c>
      <c r="BP169" s="57" t="s">
        <v>1287</v>
      </c>
      <c r="BQ169" s="57" t="s">
        <v>1287</v>
      </c>
      <c r="BR169" s="57" t="s">
        <v>1287</v>
      </c>
      <c r="BS169" s="57" t="s">
        <v>1287</v>
      </c>
      <c r="BT169" s="57" t="s">
        <v>1287</v>
      </c>
      <c r="BU169" s="57" t="s">
        <v>1287</v>
      </c>
      <c r="BV169" s="70">
        <f t="shared" si="786"/>
        <v>37</v>
      </c>
      <c r="BW169" s="71">
        <f t="shared" si="787"/>
        <v>71</v>
      </c>
      <c r="BX169" s="72">
        <f t="shared" si="788"/>
        <v>75</v>
      </c>
      <c r="BY169" s="71">
        <f t="shared" si="789"/>
        <v>105</v>
      </c>
      <c r="BZ169" s="72">
        <f t="shared" si="790"/>
        <v>109</v>
      </c>
      <c r="CA169" s="71">
        <f t="shared" si="791"/>
        <v>145</v>
      </c>
      <c r="CB169" s="72">
        <f t="shared" si="792"/>
        <v>153</v>
      </c>
      <c r="CC169" s="71">
        <f t="shared" si="793"/>
        <v>190</v>
      </c>
      <c r="CD169" s="72">
        <f t="shared" si="794"/>
        <v>195</v>
      </c>
      <c r="CE169" s="71">
        <f t="shared" si="795"/>
        <v>236</v>
      </c>
      <c r="CF169" s="72">
        <f t="shared" si="796"/>
        <v>278</v>
      </c>
      <c r="CG169" s="71">
        <f t="shared" si="797"/>
        <v>309</v>
      </c>
      <c r="CH169" s="70">
        <f t="shared" si="798"/>
        <v>70</v>
      </c>
      <c r="CI169" s="71">
        <f t="shared" si="799"/>
        <v>74</v>
      </c>
      <c r="CJ169" s="72">
        <f t="shared" si="800"/>
        <v>104</v>
      </c>
      <c r="CK169" s="72">
        <f t="shared" si="801"/>
        <v>108</v>
      </c>
      <c r="CL169" s="72">
        <f t="shared" si="802"/>
        <v>144</v>
      </c>
      <c r="CM169" s="72">
        <f t="shared" si="803"/>
        <v>152</v>
      </c>
      <c r="CN169" s="72">
        <f t="shared" si="804"/>
        <v>179</v>
      </c>
      <c r="CO169" s="72">
        <f t="shared" si="805"/>
        <v>192</v>
      </c>
      <c r="CP169" s="72">
        <f t="shared" si="806"/>
        <v>232</v>
      </c>
      <c r="CQ169" s="72">
        <f t="shared" si="807"/>
        <v>273</v>
      </c>
      <c r="CR169" s="72">
        <f t="shared" si="808"/>
        <v>308</v>
      </c>
      <c r="CS169" s="72">
        <f t="shared" si="809"/>
        <v>320</v>
      </c>
      <c r="CT169" s="23">
        <f t="shared" si="810"/>
        <v>1</v>
      </c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6"/>
      <c r="KB169" s="6"/>
      <c r="KC169" s="6"/>
      <c r="KD169" s="6"/>
      <c r="KE169" s="6"/>
      <c r="KF169" s="6"/>
      <c r="KG169" s="6"/>
      <c r="KH169" s="6"/>
      <c r="KI169" s="6"/>
      <c r="KJ169" s="6"/>
      <c r="KK169" s="6"/>
      <c r="KL169" s="6"/>
      <c r="KM169" s="6"/>
      <c r="KN169" s="6"/>
      <c r="KO169" s="6"/>
      <c r="KP169" s="6"/>
      <c r="KQ169" s="6"/>
      <c r="KR169" s="6"/>
      <c r="KS169" s="6"/>
      <c r="KT169" s="6"/>
      <c r="KU169" s="6"/>
      <c r="KV169" s="6"/>
      <c r="KW169" s="6"/>
      <c r="KX169" s="6"/>
      <c r="KY169" s="6"/>
      <c r="KZ169" s="6"/>
      <c r="LA169" s="6"/>
      <c r="LB169" s="6"/>
      <c r="LC169" s="6"/>
      <c r="LD169" s="6"/>
      <c r="LE169" s="6"/>
      <c r="LF169" s="6"/>
      <c r="LG169" s="6"/>
      <c r="LH169" s="6"/>
      <c r="LI169" s="6"/>
      <c r="LJ169" s="6"/>
      <c r="LK169" s="6"/>
      <c r="LL169" s="6"/>
      <c r="LM169" s="6"/>
      <c r="LN169" s="6"/>
      <c r="LO169" s="6"/>
      <c r="LP169" s="6"/>
      <c r="LQ169" s="6"/>
      <c r="LR169" s="6"/>
      <c r="LS169" s="6"/>
      <c r="LT169" s="6"/>
      <c r="LU169" s="6"/>
      <c r="LV169" s="6"/>
      <c r="LW169" s="6"/>
      <c r="LX169" s="6"/>
      <c r="LY169" s="6"/>
      <c r="LZ169" s="6"/>
      <c r="MA169" s="6"/>
      <c r="MB169" s="6"/>
      <c r="MC169" s="6"/>
      <c r="MD169" s="6"/>
      <c r="ME169" s="6"/>
      <c r="MF169" s="6"/>
      <c r="MG169" s="6"/>
      <c r="MH169" s="6"/>
      <c r="MI169" s="6"/>
      <c r="MJ169" s="6"/>
      <c r="MK169" s="6"/>
      <c r="ML169" s="6"/>
      <c r="MM169" s="6"/>
      <c r="MN169" s="6"/>
      <c r="MO169" s="6"/>
      <c r="MP169" s="6"/>
      <c r="MQ169" s="6"/>
      <c r="MR169" s="6"/>
      <c r="MS169" s="6"/>
      <c r="MT169" s="6"/>
      <c r="MU169" s="6"/>
      <c r="MV169" s="6"/>
      <c r="MW169" s="6"/>
      <c r="MX169" s="6"/>
      <c r="MY169" s="6"/>
      <c r="MZ169" s="6"/>
      <c r="NA169" s="6"/>
      <c r="NB169" s="6"/>
      <c r="NC169" s="6"/>
      <c r="ND169" s="6"/>
      <c r="NE169" s="6"/>
      <c r="NF169" s="6"/>
      <c r="NG169" s="6"/>
      <c r="NH169" s="6"/>
      <c r="NI169" s="6"/>
      <c r="NJ169" s="6"/>
      <c r="NK169" s="6"/>
      <c r="NL169" s="6"/>
      <c r="NM169" s="6"/>
      <c r="NN169" s="6"/>
      <c r="NO169" s="6"/>
      <c r="NP169" s="6"/>
      <c r="NQ169" s="6"/>
      <c r="NR169" s="6"/>
      <c r="NS169" s="6"/>
      <c r="NT169" s="6"/>
      <c r="NU169" s="6"/>
      <c r="NV169" s="6"/>
      <c r="NW169" s="6"/>
      <c r="NX169" s="6"/>
      <c r="NY169" s="6"/>
      <c r="NZ169" s="6"/>
      <c r="OA169" s="6"/>
      <c r="OB169" s="6"/>
      <c r="OC169" s="6"/>
      <c r="OD169" s="6"/>
      <c r="OE169" s="6"/>
      <c r="OF169" s="6"/>
      <c r="OG169" s="6"/>
      <c r="OH169" s="6"/>
      <c r="OI169" s="6"/>
      <c r="OJ169" s="6"/>
      <c r="OK169" s="6"/>
      <c r="OL169" s="6"/>
      <c r="OM169" s="6"/>
      <c r="ON169" s="6"/>
      <c r="OO169" s="6"/>
      <c r="OP169" s="6"/>
      <c r="OQ169" s="6"/>
      <c r="OR169" s="6"/>
      <c r="OS169" s="6"/>
      <c r="OT169" s="6"/>
      <c r="OU169" s="6"/>
      <c r="OV169" s="6"/>
      <c r="OW169" s="6"/>
      <c r="OX169" s="6"/>
      <c r="OY169" s="6"/>
      <c r="OZ169" s="6"/>
      <c r="PA169" s="6"/>
      <c r="PB169" s="6"/>
      <c r="PC169" s="6"/>
      <c r="PD169" s="6"/>
      <c r="PE169" s="6"/>
      <c r="PF169" s="6"/>
      <c r="PG169" s="6"/>
      <c r="PH169" s="6"/>
      <c r="PI169" s="6"/>
      <c r="PJ169" s="6"/>
      <c r="PK169" s="6"/>
      <c r="PL169" s="6"/>
      <c r="PM169" s="6"/>
      <c r="PN169" s="6"/>
      <c r="PO169" s="6"/>
      <c r="PP169" s="6"/>
      <c r="PQ169" s="6"/>
      <c r="PR169" s="6"/>
      <c r="PS169" s="6"/>
      <c r="PT169" s="6"/>
      <c r="PU169" s="6"/>
      <c r="PV169" s="6"/>
      <c r="PW169" s="6"/>
      <c r="PX169" s="6"/>
      <c r="PY169" s="6"/>
      <c r="PZ169" s="6"/>
      <c r="QA169" s="6"/>
      <c r="QB169" s="6"/>
      <c r="QC169" s="6"/>
      <c r="QD169" s="6"/>
      <c r="QE169" s="6"/>
      <c r="QF169" s="6"/>
      <c r="QG169" s="6"/>
      <c r="QH169" s="6"/>
      <c r="QI169" s="6"/>
      <c r="QJ169" s="6"/>
      <c r="QK169" s="6"/>
      <c r="QL169" s="6"/>
      <c r="QM169" s="6"/>
      <c r="QN169" s="6"/>
      <c r="QO169" s="6"/>
      <c r="QP169" s="6"/>
      <c r="QQ169" s="6"/>
      <c r="QR169" s="6"/>
      <c r="QS169" s="6"/>
      <c r="QT169" s="6"/>
      <c r="QU169" s="6"/>
      <c r="QV169" s="6"/>
      <c r="QW169" s="6"/>
      <c r="QX169" s="6"/>
      <c r="QY169" s="6"/>
      <c r="QZ169" s="6"/>
      <c r="RA169" s="6"/>
      <c r="RB169" s="6"/>
      <c r="RC169" s="6"/>
      <c r="RD169" s="6"/>
      <c r="RE169" s="6"/>
      <c r="RF169" s="6"/>
      <c r="RG169" s="6"/>
      <c r="RH169" s="6"/>
      <c r="RI169" s="6"/>
      <c r="RJ169" s="6"/>
      <c r="RK169" s="6"/>
      <c r="RL169" s="6"/>
      <c r="RM169" s="6"/>
      <c r="RN169" s="6"/>
      <c r="RO169" s="6"/>
      <c r="RP169" s="6"/>
      <c r="RQ169" s="6"/>
      <c r="RR169" s="6"/>
      <c r="RS169" s="6"/>
      <c r="RT169" s="6"/>
      <c r="RU169" s="6"/>
      <c r="RV169" s="6"/>
      <c r="RW169" s="6"/>
      <c r="RX169" s="6"/>
      <c r="RY169" s="6"/>
      <c r="RZ169" s="6"/>
      <c r="SA169" s="6"/>
      <c r="SB169" s="6"/>
      <c r="SC169" s="6"/>
      <c r="SD169" s="6"/>
      <c r="SE169" s="6"/>
      <c r="SF169" s="6"/>
      <c r="SG169" s="6"/>
      <c r="SH169" s="6"/>
      <c r="SI169" s="6"/>
      <c r="SJ169" s="6"/>
      <c r="SK169" s="6"/>
      <c r="SL169" s="6"/>
      <c r="SM169" s="6"/>
      <c r="SN169" s="6"/>
      <c r="SO169" s="6"/>
      <c r="SP169" s="6"/>
      <c r="SQ169" s="6"/>
      <c r="SR169" s="6"/>
      <c r="SS169" s="6"/>
      <c r="ST169" s="6"/>
      <c r="SU169" s="6"/>
      <c r="SV169" s="6"/>
      <c r="SW169" s="6"/>
      <c r="SX169" s="6"/>
      <c r="SY169" s="6"/>
      <c r="SZ169" s="6"/>
      <c r="TA169" s="6"/>
      <c r="TB169" s="6"/>
      <c r="TC169" s="6"/>
      <c r="TD169" s="6"/>
      <c r="TE169" s="6"/>
      <c r="TF169" s="6"/>
      <c r="TG169" s="6"/>
      <c r="TH169" s="6"/>
      <c r="TI169" s="6"/>
      <c r="TJ169" s="6"/>
      <c r="TK169" s="6"/>
      <c r="TL169" s="6"/>
      <c r="TM169" s="6"/>
      <c r="TN169" s="6"/>
      <c r="TO169" s="6"/>
      <c r="TP169" s="6"/>
      <c r="TQ169" s="6"/>
      <c r="TR169" s="6"/>
      <c r="TS169" s="6"/>
      <c r="TT169" s="6"/>
      <c r="TU169" s="6"/>
      <c r="TV169" s="6"/>
      <c r="TW169" s="6"/>
      <c r="TX169" s="6"/>
      <c r="TY169" s="6"/>
      <c r="TZ169" s="6"/>
      <c r="UA169" s="6"/>
      <c r="UB169" s="6"/>
      <c r="UC169" s="6"/>
      <c r="UD169" s="6"/>
      <c r="UE169" s="6"/>
      <c r="UF169" s="6"/>
      <c r="UG169" s="6"/>
      <c r="UH169" s="6"/>
      <c r="UI169" s="6"/>
      <c r="UJ169" s="6"/>
      <c r="UK169" s="6"/>
      <c r="UL169" s="6"/>
      <c r="UM169" s="6"/>
      <c r="UN169" s="6"/>
      <c r="UO169" s="6"/>
      <c r="UP169" s="6"/>
      <c r="UQ169" s="6"/>
      <c r="UR169" s="6"/>
      <c r="US169" s="6"/>
      <c r="UT169" s="6"/>
      <c r="UU169" s="6"/>
      <c r="UV169" s="6"/>
      <c r="UW169" s="6"/>
      <c r="UX169" s="6"/>
      <c r="UY169" s="6"/>
      <c r="UZ169" s="6"/>
      <c r="VA169" s="6"/>
      <c r="VB169" s="6"/>
      <c r="VC169" s="6"/>
      <c r="VD169" s="6"/>
      <c r="VE169" s="6"/>
      <c r="VF169" s="6"/>
      <c r="VG169" s="6"/>
      <c r="VH169" s="6"/>
      <c r="VI169" s="6"/>
      <c r="VJ169" s="6"/>
      <c r="VK169" s="6"/>
      <c r="VL169" s="6"/>
      <c r="VM169" s="6"/>
      <c r="VN169" s="6"/>
      <c r="VO169" s="6"/>
      <c r="VP169" s="6"/>
      <c r="VQ169" s="6"/>
      <c r="VR169" s="6"/>
      <c r="VS169" s="6"/>
      <c r="VT169" s="6"/>
      <c r="VU169" s="6"/>
      <c r="VV169" s="6"/>
      <c r="VW169" s="6"/>
      <c r="VX169" s="6"/>
      <c r="VY169" s="6"/>
      <c r="VZ169" s="6"/>
      <c r="WA169" s="6"/>
      <c r="WB169" s="6"/>
      <c r="WC169" s="6"/>
      <c r="WD169" s="6"/>
      <c r="WE169" s="6"/>
      <c r="WF169" s="6"/>
      <c r="WG169" s="6"/>
      <c r="WH169" s="6"/>
      <c r="WI169" s="6"/>
      <c r="WJ169" s="6"/>
      <c r="WK169" s="6"/>
      <c r="WL169" s="6"/>
      <c r="WM169" s="6"/>
      <c r="WN169" s="6"/>
      <c r="WO169" s="6"/>
      <c r="WP169" s="6"/>
      <c r="WQ169" s="6"/>
      <c r="WR169" s="6"/>
      <c r="WS169" s="6"/>
      <c r="WT169" s="6"/>
      <c r="WU169" s="6"/>
      <c r="WV169" s="6"/>
      <c r="WW169" s="6"/>
      <c r="WX169" s="6"/>
      <c r="WY169" s="6"/>
      <c r="WZ169" s="6"/>
      <c r="XA169" s="6"/>
      <c r="XB169" s="6"/>
      <c r="XC169" s="6"/>
      <c r="XD169" s="6"/>
      <c r="XE169" s="6"/>
      <c r="XF169" s="6"/>
      <c r="XG169" s="6"/>
      <c r="XH169" s="6"/>
      <c r="XI169" s="6"/>
      <c r="XJ169" s="6"/>
      <c r="XK169" s="6"/>
      <c r="XL169" s="6"/>
      <c r="XM169" s="6"/>
      <c r="XN169" s="6"/>
      <c r="XO169" s="6"/>
      <c r="XP169" s="6"/>
      <c r="XQ169" s="6"/>
      <c r="XR169" s="6"/>
      <c r="XS169" s="6"/>
      <c r="XT169" s="6"/>
      <c r="XU169" s="6"/>
      <c r="XV169" s="6"/>
      <c r="XW169" s="6"/>
      <c r="XX169" s="6"/>
      <c r="XY169" s="6"/>
      <c r="XZ169" s="6"/>
      <c r="YA169" s="6"/>
      <c r="YB169" s="6"/>
      <c r="YC169" s="6"/>
      <c r="YD169" s="6"/>
      <c r="YE169" s="6"/>
      <c r="YF169" s="6"/>
      <c r="YG169" s="6"/>
      <c r="YH169" s="6"/>
      <c r="YI169" s="6"/>
      <c r="YJ169" s="6"/>
      <c r="YK169" s="6"/>
      <c r="YL169" s="6"/>
      <c r="YM169" s="6"/>
      <c r="YN169" s="6"/>
      <c r="YO169" s="6"/>
      <c r="YP169" s="6"/>
      <c r="YQ169" s="6"/>
      <c r="YR169" s="6"/>
      <c r="YS169" s="6"/>
      <c r="YT169" s="6"/>
      <c r="YU169" s="6"/>
      <c r="YV169" s="6"/>
      <c r="YW169" s="6"/>
      <c r="YX169" s="6"/>
      <c r="YY169" s="6"/>
      <c r="YZ169" s="6"/>
      <c r="ZA169" s="6"/>
      <c r="ZB169" s="6"/>
      <c r="ZC169" s="6"/>
      <c r="ZD169" s="6"/>
      <c r="ZE169" s="6"/>
      <c r="ZF169" s="6"/>
      <c r="ZG169" s="6"/>
      <c r="ZH169" s="6"/>
      <c r="ZI169" s="6"/>
      <c r="ZJ169" s="6"/>
      <c r="ZK169" s="6"/>
      <c r="ZL169" s="6"/>
      <c r="ZM169" s="6"/>
      <c r="ZN169" s="6"/>
      <c r="ZO169" s="6"/>
      <c r="ZP169" s="6"/>
      <c r="ZQ169" s="6"/>
      <c r="ZR169" s="6"/>
      <c r="ZS169" s="6"/>
      <c r="ZT169" s="6"/>
      <c r="ZU169" s="6"/>
      <c r="ZV169" s="6"/>
      <c r="ZW169" s="6"/>
      <c r="ZX169" s="6"/>
      <c r="ZY169" s="6"/>
      <c r="ZZ169" s="6"/>
      <c r="AAA169" s="6"/>
      <c r="AAB169" s="6"/>
      <c r="AAC169" s="6"/>
      <c r="AAD169" s="6"/>
      <c r="AAE169" s="6"/>
      <c r="AAF169" s="6"/>
      <c r="AAG169" s="6"/>
      <c r="AAH169" s="6"/>
      <c r="AAI169" s="6"/>
      <c r="AAJ169" s="6"/>
      <c r="AAK169" s="6"/>
      <c r="AAL169" s="6"/>
      <c r="AAM169" s="6"/>
      <c r="AAN169" s="6"/>
      <c r="AAO169" s="6"/>
      <c r="AAP169" s="6"/>
      <c r="AAQ169" s="6"/>
      <c r="AAR169" s="6"/>
      <c r="AAS169" s="6"/>
      <c r="AAT169" s="6"/>
      <c r="AAU169" s="6"/>
      <c r="AAV169" s="6"/>
      <c r="AAW169" s="6"/>
      <c r="AAX169" s="6"/>
      <c r="AAY169" s="6"/>
      <c r="AAZ169" s="6"/>
      <c r="ABA169" s="6"/>
      <c r="ABB169" s="6"/>
      <c r="ABC169" s="6"/>
      <c r="ABD169" s="6"/>
      <c r="ABE169" s="6"/>
      <c r="ABF169" s="6"/>
      <c r="ABG169" s="6"/>
      <c r="ABH169" s="6"/>
      <c r="ABI169" s="6"/>
      <c r="ABJ169" s="6"/>
      <c r="ABK169" s="6"/>
      <c r="ABL169" s="6"/>
      <c r="ABM169" s="6"/>
      <c r="ABN169" s="6"/>
      <c r="ABO169" s="6"/>
      <c r="ABP169" s="6"/>
      <c r="ABQ169" s="6"/>
      <c r="ABR169" s="6"/>
      <c r="ABS169" s="6"/>
      <c r="ABT169" s="6"/>
      <c r="ABU169" s="6"/>
      <c r="ABV169" s="6"/>
      <c r="ABW169" s="6"/>
      <c r="ABX169" s="6"/>
      <c r="ABY169" s="6"/>
      <c r="ABZ169" s="6"/>
      <c r="ACA169" s="6"/>
      <c r="ACB169" s="6"/>
      <c r="ACC169" s="6"/>
      <c r="ACD169" s="6"/>
      <c r="ACE169" s="6"/>
      <c r="ACF169" s="6"/>
      <c r="ACG169" s="6"/>
      <c r="ACH169" s="6"/>
      <c r="ACI169" s="6"/>
      <c r="ACJ169" s="6"/>
      <c r="ACK169" s="6"/>
      <c r="ACL169" s="6"/>
      <c r="ACM169" s="6"/>
      <c r="ACN169" s="6"/>
      <c r="ACO169" s="6"/>
      <c r="ACP169" s="6"/>
      <c r="ACQ169" s="6"/>
      <c r="ACR169" s="6"/>
      <c r="ACS169" s="6"/>
      <c r="ACT169" s="6"/>
      <c r="ACU169" s="6"/>
      <c r="ACV169" s="6"/>
      <c r="ACW169" s="6"/>
      <c r="ACX169" s="6"/>
      <c r="ACY169" s="6"/>
      <c r="ACZ169" s="6"/>
      <c r="ADA169" s="6"/>
      <c r="ADB169" s="6"/>
      <c r="ADC169" s="6"/>
      <c r="ADD169" s="6"/>
      <c r="ADE169" s="6"/>
      <c r="ADF169" s="6"/>
      <c r="ADG169" s="6"/>
      <c r="ADH169" s="6"/>
      <c r="ADI169" s="6"/>
      <c r="ADJ169" s="6"/>
      <c r="ADK169" s="6"/>
      <c r="ADL169" s="6"/>
      <c r="ADM169" s="6"/>
      <c r="ADN169" s="6"/>
      <c r="ADO169" s="6"/>
      <c r="ADP169" s="6"/>
      <c r="ADQ169" s="6"/>
      <c r="ADR169" s="6"/>
      <c r="ADS169" s="6"/>
      <c r="ADT169" s="6"/>
      <c r="ADU169" s="6"/>
      <c r="ADV169" s="6"/>
      <c r="ADW169" s="6"/>
      <c r="ADX169" s="6"/>
      <c r="ADY169" s="6"/>
      <c r="ADZ169" s="6"/>
      <c r="AEA169" s="6"/>
      <c r="AEB169" s="6"/>
      <c r="AEC169" s="6"/>
      <c r="AED169" s="6"/>
      <c r="AEE169" s="6"/>
      <c r="AEF169" s="6"/>
      <c r="AEG169" s="6"/>
      <c r="AEH169" s="6"/>
      <c r="AEI169" s="6"/>
      <c r="AEJ169" s="6"/>
      <c r="AEK169" s="6"/>
      <c r="AEL169" s="6"/>
      <c r="AEM169" s="6"/>
      <c r="AEN169" s="6"/>
      <c r="AEO169" s="6"/>
      <c r="AEP169" s="6"/>
      <c r="AEQ169" s="6"/>
      <c r="AER169" s="6"/>
      <c r="AES169" s="6"/>
      <c r="AET169" s="6"/>
      <c r="AEU169" s="6"/>
      <c r="AEV169" s="6"/>
      <c r="AEW169" s="6"/>
      <c r="AEX169" s="6"/>
      <c r="AEY169" s="6"/>
      <c r="AEZ169" s="6"/>
      <c r="AFA169" s="6"/>
      <c r="AFB169" s="6"/>
      <c r="AFC169" s="6"/>
      <c r="AFD169" s="6"/>
      <c r="AFE169" s="6"/>
      <c r="AFF169" s="6"/>
      <c r="AFG169" s="6"/>
      <c r="AFH169" s="6"/>
      <c r="AFI169" s="6"/>
      <c r="AFJ169" s="6"/>
      <c r="AFK169" s="6"/>
      <c r="AFL169" s="6"/>
      <c r="AFM169" s="6"/>
      <c r="AFN169" s="6"/>
      <c r="AFO169" s="6"/>
      <c r="AFP169" s="6"/>
      <c r="AFQ169" s="6"/>
      <c r="AFR169" s="6"/>
      <c r="AFS169" s="6"/>
      <c r="AFT169" s="6"/>
      <c r="AFU169" s="6"/>
      <c r="AFV169" s="6"/>
      <c r="AFW169" s="6"/>
      <c r="AFX169" s="6"/>
      <c r="AFY169" s="6"/>
      <c r="AFZ169" s="6"/>
      <c r="AGA169" s="6"/>
      <c r="AGB169" s="6"/>
      <c r="AGC169" s="6"/>
      <c r="AGD169" s="6"/>
      <c r="AGE169" s="6"/>
      <c r="AGF169" s="6"/>
      <c r="AGG169" s="6"/>
      <c r="AGH169" s="6"/>
      <c r="AGI169" s="6"/>
      <c r="AGJ169" s="6"/>
      <c r="AGK169" s="6"/>
      <c r="AGL169" s="6"/>
      <c r="AGM169" s="6"/>
      <c r="AGN169" s="6"/>
      <c r="AGO169" s="6"/>
      <c r="AGP169" s="6"/>
      <c r="AGQ169" s="6"/>
      <c r="AGR169" s="6"/>
      <c r="AGS169" s="6"/>
      <c r="AGT169" s="6"/>
      <c r="AGU169" s="6"/>
      <c r="AGV169" s="6"/>
      <c r="AGW169" s="6"/>
      <c r="AGX169" s="6"/>
      <c r="AGY169" s="6"/>
      <c r="AGZ169" s="6"/>
      <c r="AHA169" s="6"/>
      <c r="AHB169" s="6"/>
      <c r="AHC169" s="6"/>
      <c r="AHD169" s="6"/>
      <c r="AHE169" s="6"/>
      <c r="AHF169" s="6"/>
      <c r="AHG169" s="6"/>
      <c r="AHH169" s="6"/>
      <c r="AHI169" s="6"/>
      <c r="AHJ169" s="6"/>
      <c r="AHK169" s="6"/>
      <c r="AHL169" s="6"/>
      <c r="AHM169" s="6"/>
      <c r="AHN169" s="6"/>
      <c r="AHO169" s="6"/>
      <c r="AHP169" s="6"/>
      <c r="AHQ169" s="6"/>
      <c r="AHR169" s="6"/>
      <c r="AHS169" s="6"/>
      <c r="AHT169" s="6"/>
      <c r="AHU169" s="6"/>
      <c r="AHV169" s="6"/>
      <c r="AHW169" s="6"/>
      <c r="AHX169" s="6"/>
      <c r="AHY169" s="6"/>
      <c r="AHZ169" s="6"/>
      <c r="AIA169" s="6"/>
      <c r="AIB169" s="6"/>
      <c r="AIC169" s="6"/>
      <c r="AID169" s="6"/>
      <c r="AIE169" s="6"/>
      <c r="AIF169" s="6"/>
      <c r="AIG169" s="6"/>
      <c r="AIH169" s="6"/>
      <c r="AII169" s="6"/>
      <c r="AIJ169" s="6"/>
      <c r="AIK169" s="6"/>
      <c r="AIL169" s="6"/>
      <c r="AIM169" s="6"/>
      <c r="AIN169" s="6"/>
      <c r="AIO169" s="6"/>
      <c r="AIP169" s="6"/>
      <c r="AIQ169" s="6"/>
      <c r="AIR169" s="6"/>
      <c r="AIS169" s="6"/>
      <c r="AIT169" s="6"/>
      <c r="AIU169" s="6"/>
      <c r="AIV169" s="6"/>
      <c r="AIW169" s="6"/>
      <c r="AIX169" s="6"/>
      <c r="AIY169" s="6"/>
      <c r="AIZ169" s="6"/>
      <c r="AJA169" s="6"/>
      <c r="AJB169" s="6"/>
      <c r="AJC169" s="6"/>
      <c r="AJD169" s="6"/>
      <c r="AJE169" s="6"/>
      <c r="AJF169" s="6"/>
      <c r="AJG169" s="6"/>
      <c r="AJH169" s="6"/>
      <c r="AJI169" s="6"/>
      <c r="AJJ169" s="6"/>
      <c r="AJK169" s="6"/>
      <c r="AJL169" s="6"/>
      <c r="AJM169" s="6"/>
      <c r="AJN169" s="6"/>
      <c r="AJO169" s="6"/>
      <c r="AJP169" s="6"/>
      <c r="AJQ169" s="6"/>
      <c r="AJR169" s="6"/>
      <c r="AJS169" s="6"/>
      <c r="AJT169" s="6"/>
      <c r="AJU169" s="6"/>
      <c r="AJV169" s="6"/>
      <c r="AJW169" s="6"/>
      <c r="AJX169" s="6"/>
      <c r="AJY169" s="6"/>
      <c r="AJZ169" s="6"/>
      <c r="AKA169" s="6"/>
      <c r="AKB169" s="6"/>
      <c r="AKC169" s="6"/>
      <c r="AKD169" s="6"/>
      <c r="AKE169" s="6"/>
      <c r="AKF169" s="6"/>
      <c r="AKG169" s="6"/>
      <c r="AKH169" s="6"/>
      <c r="AKI169" s="6"/>
      <c r="AKJ169" s="6"/>
      <c r="AKK169" s="6"/>
      <c r="AKL169" s="6"/>
      <c r="AKM169" s="6"/>
      <c r="AKN169" s="6"/>
      <c r="AKO169" s="6"/>
      <c r="AKP169" s="6"/>
      <c r="AKQ169" s="6"/>
      <c r="AKR169" s="6"/>
      <c r="AKS169" s="6"/>
      <c r="AKT169" s="6"/>
      <c r="AKU169" s="6"/>
      <c r="AKV169" s="6"/>
      <c r="AKW169" s="6"/>
      <c r="AKX169" s="6"/>
      <c r="AKY169" s="6"/>
      <c r="AKZ169" s="6"/>
      <c r="ALA169" s="6"/>
      <c r="ALB169" s="6"/>
      <c r="ALC169" s="6"/>
      <c r="ALD169" s="6"/>
      <c r="ALE169" s="6"/>
      <c r="ALF169" s="6"/>
      <c r="ALG169" s="6"/>
      <c r="ALH169" s="6"/>
      <c r="ALI169" s="6"/>
      <c r="ALJ169" s="6"/>
      <c r="ALK169" s="6"/>
      <c r="ALL169" s="6"/>
      <c r="ALM169" s="6"/>
      <c r="ALN169" s="6"/>
      <c r="ALO169" s="6"/>
      <c r="ALP169" s="6"/>
      <c r="ALQ169" s="6"/>
      <c r="ALR169" s="6"/>
      <c r="ALS169" s="6"/>
      <c r="ALT169" s="6"/>
      <c r="ALU169" s="6"/>
      <c r="ALV169" s="6"/>
      <c r="ALW169" s="6"/>
      <c r="ALX169" s="6"/>
      <c r="ALY169" s="6"/>
      <c r="ALZ169" s="6"/>
      <c r="AMA169" s="6"/>
      <c r="AMB169" s="6"/>
      <c r="AMC169" s="6"/>
      <c r="AMD169" s="6"/>
      <c r="AME169" s="6"/>
      <c r="AMF169" s="6"/>
      <c r="AMG169" s="6"/>
      <c r="AMH169" s="6"/>
      <c r="AMI169" s="6"/>
      <c r="AMJ169" s="6"/>
      <c r="AMK169" s="6"/>
      <c r="AML169" s="6"/>
      <c r="AMM169" s="6"/>
      <c r="AMN169" s="6"/>
      <c r="AMO169" s="6"/>
      <c r="AMP169" s="6"/>
    </row>
    <row r="170" spans="1:1030" x14ac:dyDescent="0.2">
      <c r="A170" s="3" t="str">
        <f t="shared" si="1007"/>
        <v>ccr2_human_5T1A</v>
      </c>
      <c r="B170" s="3" t="s">
        <v>170</v>
      </c>
      <c r="C170" s="3" t="s">
        <v>1378</v>
      </c>
      <c r="D170" s="3" t="str">
        <f>IFERROR(MID(VLOOKUP($B170,Seqs!$A:$B,2,0),E170,1),"")</f>
        <v>V</v>
      </c>
      <c r="E170" s="3">
        <v>37</v>
      </c>
      <c r="F170" s="3" t="str">
        <f>IFERROR(MID(VLOOKUP($B170,Seqs!$A:$B,2,0),G170,1),"")</f>
        <v>C</v>
      </c>
      <c r="G170" s="3">
        <v>70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C</v>
      </c>
      <c r="M170" s="3">
        <v>75</v>
      </c>
      <c r="N170" s="3" t="str">
        <f>IFERROR(MID(VLOOKUP($B170,Seqs!$A:$B,2,0),O170,1),"")</f>
        <v>N</v>
      </c>
      <c r="O170" s="3">
        <v>104</v>
      </c>
      <c r="P170" s="3" t="str">
        <f>IFERROR(MID(VLOOKUP($B170,Seqs!$A:$B,2,0),Q170,1),"")</f>
        <v>E</v>
      </c>
      <c r="Q170" s="3">
        <v>105</v>
      </c>
      <c r="R170" s="3" t="str">
        <f>IFERROR(MID(VLOOKUP($B170,Seqs!$A:$B,2,0),S170,1),"")</f>
        <v>F</v>
      </c>
      <c r="S170" s="3">
        <v>108</v>
      </c>
      <c r="T170" s="3" t="str">
        <f>IFERROR(MID(VLOOKUP($B170,Seqs!$A:$B,2,0),U170,1),"")</f>
        <v>G</v>
      </c>
      <c r="U170" s="3">
        <v>109</v>
      </c>
      <c r="V170" s="3" t="str">
        <f>IFERROR(MID(VLOOKUP($B170,Seqs!$A:$B,2,0),W170,1),"")</f>
        <v>H</v>
      </c>
      <c r="W170" s="3">
        <v>144</v>
      </c>
      <c r="X170" s="3" t="str">
        <f>IFERROR(MID(VLOOKUP($B170,Seqs!$A:$B,2,0),Y170,1),"")</f>
        <v>A</v>
      </c>
      <c r="Y170" s="3">
        <v>145</v>
      </c>
      <c r="Z170" s="3" t="str">
        <f>IFERROR(MID(VLOOKUP($B170,Seqs!$A:$B,2,0),AA170,1),"")</f>
        <v>R</v>
      </c>
      <c r="AA170" s="3">
        <v>152</v>
      </c>
      <c r="AB170" s="3" t="str">
        <f>IFERROR(MID(VLOOKUP($B170,Seqs!$A:$B,2,0),AC170,1),"")</f>
        <v>T</v>
      </c>
      <c r="AC170" s="9">
        <v>153</v>
      </c>
      <c r="AD170" s="3" t="str">
        <f>IFERROR(MID(VLOOKUP($B170,Seqs!$A:$B,2,0),AE170,1),"")</f>
        <v>T</v>
      </c>
      <c r="AE170" s="3">
        <v>179</v>
      </c>
      <c r="AF170" s="3" t="str">
        <f>IFERROR(MID(VLOOKUP($B170,Seqs!$A:$B,2,0),AG170,1),"")</f>
        <v>C</v>
      </c>
      <c r="AG170" s="3">
        <v>190</v>
      </c>
      <c r="AH170" s="3" t="str">
        <f>IFERROR(MID(VLOOKUP($B170,Seqs!$A:$B,2,0),AI170,1),"")</f>
        <v>P</v>
      </c>
      <c r="AI170" s="3">
        <v>192</v>
      </c>
      <c r="AJ170" s="3" t="str">
        <f>IFERROR(MID(VLOOKUP($B170,Seqs!$A:$B,2,0),AK170,1),"")</f>
        <v>P</v>
      </c>
      <c r="AK170" s="3">
        <v>195</v>
      </c>
      <c r="AL170" s="3" t="str">
        <f>IFERROR(MID(VLOOKUP($B170,Seqs!$A:$B,2,0),AM170,1),"")</f>
        <v>T</v>
      </c>
      <c r="AM170" s="3">
        <v>228</v>
      </c>
      <c r="AN170" s="3" t="str">
        <f>IFERROR(MID(VLOOKUP($B170,Seqs!$A:$B,2,0),AO170,1),"")</f>
        <v>K</v>
      </c>
      <c r="AO170" s="3">
        <v>236</v>
      </c>
      <c r="AP170" s="3" t="str">
        <f>IFERROR(MID(VLOOKUP($B170,Seqs!$A:$B,2,0),AQ170,1),"")</f>
        <v>G</v>
      </c>
      <c r="AQ170" s="3">
        <v>273</v>
      </c>
      <c r="AR170" s="3" t="str">
        <f>IFERROR(MID(VLOOKUP($B170,Seqs!$A:$B,2,0),AS170,1),"")</f>
        <v>E</v>
      </c>
      <c r="AS170" s="3">
        <v>278</v>
      </c>
      <c r="AT170" s="3" t="str">
        <f>IFERROR(MID(VLOOKUP($B170,Seqs!$A:$B,2,0),AU170,1),"")</f>
        <v>V</v>
      </c>
      <c r="AU170" s="3">
        <v>308</v>
      </c>
      <c r="AV170" s="3" t="str">
        <f>IFERROR(MID(VLOOKUP($B170,Seqs!$A:$B,2,0),AW170,1),"")</f>
        <v>G</v>
      </c>
      <c r="AW170" s="3">
        <v>309</v>
      </c>
      <c r="AX170" s="3" t="str">
        <f>IFERROR(MID(VLOOKUP($B170,Seqs!$A:$B,2,0),AY170,1),"")</f>
        <v>L</v>
      </c>
      <c r="AY170" s="3">
        <v>320</v>
      </c>
      <c r="AZ170" s="77" t="str">
        <f>VLOOKUP(B170,Classification!A:D,2,0)</f>
        <v>A</v>
      </c>
      <c r="BA170" s="94" t="str">
        <f>VLOOKUP(B170,Classification!A:D,4,0)</f>
        <v>Chemokine</v>
      </c>
      <c r="BB170" s="27" t="b">
        <f t="shared" si="1008"/>
        <v>1</v>
      </c>
      <c r="BC170" s="23">
        <f t="shared" si="785"/>
        <v>258</v>
      </c>
      <c r="BD170" s="16" t="s">
        <v>1376</v>
      </c>
      <c r="BE170" s="3" t="s">
        <v>1374</v>
      </c>
      <c r="BF170" s="118">
        <v>2.81</v>
      </c>
      <c r="BG170" s="49" t="s">
        <v>1</v>
      </c>
      <c r="BH170" s="49" t="s">
        <v>1377</v>
      </c>
      <c r="BI170" s="1"/>
      <c r="BJ170" s="70" t="s">
        <v>1287</v>
      </c>
      <c r="BK170" s="57" t="s">
        <v>1287</v>
      </c>
      <c r="BL170" s="57" t="s">
        <v>1287</v>
      </c>
      <c r="BM170" s="57" t="s">
        <v>1287</v>
      </c>
      <c r="BN170" s="57" t="s">
        <v>1287</v>
      </c>
      <c r="BO170" s="57" t="s">
        <v>1287</v>
      </c>
      <c r="BP170" s="57" t="s">
        <v>1287</v>
      </c>
      <c r="BQ170" s="57" t="s">
        <v>1287</v>
      </c>
      <c r="BR170" s="57" t="s">
        <v>1287</v>
      </c>
      <c r="BS170" s="57" t="s">
        <v>1287</v>
      </c>
      <c r="BT170" s="57" t="s">
        <v>1287</v>
      </c>
      <c r="BU170" s="57" t="s">
        <v>1287</v>
      </c>
      <c r="BV170" s="70">
        <f t="shared" si="786"/>
        <v>37</v>
      </c>
      <c r="BW170" s="71" t="str">
        <f t="shared" si="787"/>
        <v>-</v>
      </c>
      <c r="BX170" s="72">
        <f t="shared" si="788"/>
        <v>75</v>
      </c>
      <c r="BY170" s="71">
        <f t="shared" si="789"/>
        <v>105</v>
      </c>
      <c r="BZ170" s="72">
        <f t="shared" si="790"/>
        <v>109</v>
      </c>
      <c r="CA170" s="71">
        <f t="shared" si="791"/>
        <v>145</v>
      </c>
      <c r="CB170" s="72">
        <f t="shared" si="792"/>
        <v>153</v>
      </c>
      <c r="CC170" s="71">
        <f t="shared" si="793"/>
        <v>190</v>
      </c>
      <c r="CD170" s="72">
        <f t="shared" si="794"/>
        <v>195</v>
      </c>
      <c r="CE170" s="71">
        <f t="shared" si="795"/>
        <v>236</v>
      </c>
      <c r="CF170" s="72">
        <f t="shared" si="796"/>
        <v>278</v>
      </c>
      <c r="CG170" s="71">
        <f t="shared" si="797"/>
        <v>309</v>
      </c>
      <c r="CH170" s="70">
        <f t="shared" si="798"/>
        <v>70</v>
      </c>
      <c r="CI170" s="71" t="str">
        <f t="shared" si="799"/>
        <v>-</v>
      </c>
      <c r="CJ170" s="72">
        <f t="shared" si="800"/>
        <v>104</v>
      </c>
      <c r="CK170" s="72">
        <f t="shared" si="801"/>
        <v>108</v>
      </c>
      <c r="CL170" s="72">
        <f t="shared" si="802"/>
        <v>144</v>
      </c>
      <c r="CM170" s="72">
        <f t="shared" si="803"/>
        <v>152</v>
      </c>
      <c r="CN170" s="72">
        <f t="shared" si="804"/>
        <v>179</v>
      </c>
      <c r="CO170" s="72">
        <f t="shared" si="805"/>
        <v>192</v>
      </c>
      <c r="CP170" s="72">
        <f t="shared" si="806"/>
        <v>228</v>
      </c>
      <c r="CQ170" s="72">
        <f t="shared" si="807"/>
        <v>273</v>
      </c>
      <c r="CR170" s="72">
        <f t="shared" si="808"/>
        <v>308</v>
      </c>
      <c r="CS170" s="72">
        <f t="shared" si="809"/>
        <v>320</v>
      </c>
      <c r="CT170" s="23" t="e">
        <f t="shared" si="810"/>
        <v>#VALUE!</v>
      </c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6"/>
      <c r="OY170" s="6"/>
      <c r="OZ170" s="6"/>
      <c r="PA170" s="6"/>
      <c r="PB170" s="6"/>
      <c r="PC170" s="6"/>
      <c r="PD170" s="6"/>
      <c r="PE170" s="6"/>
      <c r="PF170" s="6"/>
      <c r="PG170" s="6"/>
      <c r="PH170" s="6"/>
      <c r="PI170" s="6"/>
      <c r="PJ170" s="6"/>
      <c r="PK170" s="6"/>
      <c r="PL170" s="6"/>
      <c r="PM170" s="6"/>
      <c r="PN170" s="6"/>
      <c r="PO170" s="6"/>
      <c r="PP170" s="6"/>
      <c r="PQ170" s="6"/>
      <c r="PR170" s="6"/>
      <c r="PS170" s="6"/>
      <c r="PT170" s="6"/>
      <c r="PU170" s="6"/>
      <c r="PV170" s="6"/>
      <c r="PW170" s="6"/>
      <c r="PX170" s="6"/>
      <c r="PY170" s="6"/>
      <c r="PZ170" s="6"/>
      <c r="QA170" s="6"/>
      <c r="QB170" s="6"/>
      <c r="QC170" s="6"/>
      <c r="QD170" s="6"/>
      <c r="QE170" s="6"/>
      <c r="QF170" s="6"/>
      <c r="QG170" s="6"/>
      <c r="QH170" s="6"/>
      <c r="QI170" s="6"/>
      <c r="QJ170" s="6"/>
      <c r="QK170" s="6"/>
      <c r="QL170" s="6"/>
      <c r="QM170" s="6"/>
      <c r="QN170" s="6"/>
      <c r="QO170" s="6"/>
      <c r="QP170" s="6"/>
      <c r="QQ170" s="6"/>
      <c r="QR170" s="6"/>
      <c r="QS170" s="6"/>
      <c r="QT170" s="6"/>
      <c r="QU170" s="6"/>
      <c r="QV170" s="6"/>
      <c r="QW170" s="6"/>
      <c r="QX170" s="6"/>
      <c r="QY170" s="6"/>
      <c r="QZ170" s="6"/>
      <c r="RA170" s="6"/>
      <c r="RB170" s="6"/>
      <c r="RC170" s="6"/>
      <c r="RD170" s="6"/>
      <c r="RE170" s="6"/>
      <c r="RF170" s="6"/>
      <c r="RG170" s="6"/>
      <c r="RH170" s="6"/>
      <c r="RI170" s="6"/>
      <c r="RJ170" s="6"/>
      <c r="RK170" s="6"/>
      <c r="RL170" s="6"/>
      <c r="RM170" s="6"/>
      <c r="RN170" s="6"/>
      <c r="RO170" s="6"/>
      <c r="RP170" s="6"/>
      <c r="RQ170" s="6"/>
      <c r="RR170" s="6"/>
      <c r="RS170" s="6"/>
      <c r="RT170" s="6"/>
      <c r="RU170" s="6"/>
      <c r="RV170" s="6"/>
      <c r="RW170" s="6"/>
      <c r="RX170" s="6"/>
      <c r="RY170" s="6"/>
      <c r="RZ170" s="6"/>
      <c r="SA170" s="6"/>
      <c r="SB170" s="6"/>
      <c r="SC170" s="6"/>
      <c r="SD170" s="6"/>
      <c r="SE170" s="6"/>
      <c r="SF170" s="6"/>
      <c r="SG170" s="6"/>
      <c r="SH170" s="6"/>
      <c r="SI170" s="6"/>
      <c r="SJ170" s="6"/>
      <c r="SK170" s="6"/>
      <c r="SL170" s="6"/>
      <c r="SM170" s="6"/>
      <c r="SN170" s="6"/>
      <c r="SO170" s="6"/>
      <c r="SP170" s="6"/>
      <c r="SQ170" s="6"/>
      <c r="SR170" s="6"/>
      <c r="SS170" s="6"/>
      <c r="ST170" s="6"/>
      <c r="SU170" s="6"/>
      <c r="SV170" s="6"/>
      <c r="SW170" s="6"/>
      <c r="SX170" s="6"/>
      <c r="SY170" s="6"/>
      <c r="SZ170" s="6"/>
      <c r="TA170" s="6"/>
      <c r="TB170" s="6"/>
      <c r="TC170" s="6"/>
      <c r="TD170" s="6"/>
      <c r="TE170" s="6"/>
      <c r="TF170" s="6"/>
      <c r="TG170" s="6"/>
      <c r="TH170" s="6"/>
      <c r="TI170" s="6"/>
      <c r="TJ170" s="6"/>
      <c r="TK170" s="6"/>
      <c r="TL170" s="6"/>
      <c r="TM170" s="6"/>
      <c r="TN170" s="6"/>
      <c r="TO170" s="6"/>
      <c r="TP170" s="6"/>
      <c r="TQ170" s="6"/>
      <c r="TR170" s="6"/>
      <c r="TS170" s="6"/>
      <c r="TT170" s="6"/>
      <c r="TU170" s="6"/>
      <c r="TV170" s="6"/>
      <c r="TW170" s="6"/>
      <c r="TX170" s="6"/>
      <c r="TY170" s="6"/>
      <c r="TZ170" s="6"/>
      <c r="UA170" s="6"/>
      <c r="UB170" s="6"/>
      <c r="UC170" s="6"/>
      <c r="UD170" s="6"/>
      <c r="UE170" s="6"/>
      <c r="UF170" s="6"/>
      <c r="UG170" s="6"/>
      <c r="UH170" s="6"/>
      <c r="UI170" s="6"/>
      <c r="UJ170" s="6"/>
      <c r="UK170" s="6"/>
      <c r="UL170" s="6"/>
      <c r="UM170" s="6"/>
      <c r="UN170" s="6"/>
      <c r="UO170" s="6"/>
      <c r="UP170" s="6"/>
      <c r="UQ170" s="6"/>
      <c r="UR170" s="6"/>
      <c r="US170" s="6"/>
      <c r="UT170" s="6"/>
      <c r="UU170" s="6"/>
      <c r="UV170" s="6"/>
      <c r="UW170" s="6"/>
      <c r="UX170" s="6"/>
      <c r="UY170" s="6"/>
      <c r="UZ170" s="6"/>
      <c r="VA170" s="6"/>
      <c r="VB170" s="6"/>
      <c r="VC170" s="6"/>
      <c r="VD170" s="6"/>
      <c r="VE170" s="6"/>
      <c r="VF170" s="6"/>
      <c r="VG170" s="6"/>
      <c r="VH170" s="6"/>
      <c r="VI170" s="6"/>
      <c r="VJ170" s="6"/>
      <c r="VK170" s="6"/>
      <c r="VL170" s="6"/>
      <c r="VM170" s="6"/>
      <c r="VN170" s="6"/>
      <c r="VO170" s="6"/>
      <c r="VP170" s="6"/>
      <c r="VQ170" s="6"/>
      <c r="VR170" s="6"/>
      <c r="VS170" s="6"/>
      <c r="VT170" s="6"/>
      <c r="VU170" s="6"/>
      <c r="VV170" s="6"/>
      <c r="VW170" s="6"/>
      <c r="VX170" s="6"/>
      <c r="VY170" s="6"/>
      <c r="VZ170" s="6"/>
      <c r="WA170" s="6"/>
      <c r="WB170" s="6"/>
      <c r="WC170" s="6"/>
      <c r="WD170" s="6"/>
      <c r="WE170" s="6"/>
      <c r="WF170" s="6"/>
      <c r="WG170" s="6"/>
      <c r="WH170" s="6"/>
      <c r="WI170" s="6"/>
      <c r="WJ170" s="6"/>
      <c r="WK170" s="6"/>
      <c r="WL170" s="6"/>
      <c r="WM170" s="6"/>
      <c r="WN170" s="6"/>
      <c r="WO170" s="6"/>
      <c r="WP170" s="6"/>
      <c r="WQ170" s="6"/>
      <c r="WR170" s="6"/>
      <c r="WS170" s="6"/>
      <c r="WT170" s="6"/>
      <c r="WU170" s="6"/>
      <c r="WV170" s="6"/>
      <c r="WW170" s="6"/>
      <c r="WX170" s="6"/>
      <c r="WY170" s="6"/>
      <c r="WZ170" s="6"/>
      <c r="XA170" s="6"/>
      <c r="XB170" s="6"/>
      <c r="XC170" s="6"/>
      <c r="XD170" s="6"/>
      <c r="XE170" s="6"/>
      <c r="XF170" s="6"/>
      <c r="XG170" s="6"/>
      <c r="XH170" s="6"/>
      <c r="XI170" s="6"/>
      <c r="XJ170" s="6"/>
      <c r="XK170" s="6"/>
      <c r="XL170" s="6"/>
      <c r="XM170" s="6"/>
      <c r="XN170" s="6"/>
      <c r="XO170" s="6"/>
      <c r="XP170" s="6"/>
      <c r="XQ170" s="6"/>
      <c r="XR170" s="6"/>
      <c r="XS170" s="6"/>
      <c r="XT170" s="6"/>
      <c r="XU170" s="6"/>
      <c r="XV170" s="6"/>
      <c r="XW170" s="6"/>
      <c r="XX170" s="6"/>
      <c r="XY170" s="6"/>
      <c r="XZ170" s="6"/>
      <c r="YA170" s="6"/>
      <c r="YB170" s="6"/>
      <c r="YC170" s="6"/>
      <c r="YD170" s="6"/>
      <c r="YE170" s="6"/>
      <c r="YF170" s="6"/>
      <c r="YG170" s="6"/>
      <c r="YH170" s="6"/>
      <c r="YI170" s="6"/>
      <c r="YJ170" s="6"/>
      <c r="YK170" s="6"/>
      <c r="YL170" s="6"/>
      <c r="YM170" s="6"/>
      <c r="YN170" s="6"/>
      <c r="YO170" s="6"/>
      <c r="YP170" s="6"/>
      <c r="YQ170" s="6"/>
      <c r="YR170" s="6"/>
      <c r="YS170" s="6"/>
      <c r="YT170" s="6"/>
      <c r="YU170" s="6"/>
      <c r="YV170" s="6"/>
      <c r="YW170" s="6"/>
      <c r="YX170" s="6"/>
      <c r="YY170" s="6"/>
      <c r="YZ170" s="6"/>
      <c r="ZA170" s="6"/>
      <c r="ZB170" s="6"/>
      <c r="ZC170" s="6"/>
      <c r="ZD170" s="6"/>
      <c r="ZE170" s="6"/>
      <c r="ZF170" s="6"/>
      <c r="ZG170" s="6"/>
      <c r="ZH170" s="6"/>
      <c r="ZI170" s="6"/>
      <c r="ZJ170" s="6"/>
      <c r="ZK170" s="6"/>
      <c r="ZL170" s="6"/>
      <c r="ZM170" s="6"/>
      <c r="ZN170" s="6"/>
      <c r="ZO170" s="6"/>
      <c r="ZP170" s="6"/>
      <c r="ZQ170" s="6"/>
      <c r="ZR170" s="6"/>
      <c r="ZS170" s="6"/>
      <c r="ZT170" s="6"/>
      <c r="ZU170" s="6"/>
      <c r="ZV170" s="6"/>
      <c r="ZW170" s="6"/>
      <c r="ZX170" s="6"/>
      <c r="ZY170" s="6"/>
      <c r="ZZ170" s="6"/>
      <c r="AAA170" s="6"/>
      <c r="AAB170" s="6"/>
      <c r="AAC170" s="6"/>
      <c r="AAD170" s="6"/>
      <c r="AAE170" s="6"/>
      <c r="AAF170" s="6"/>
      <c r="AAG170" s="6"/>
      <c r="AAH170" s="6"/>
      <c r="AAI170" s="6"/>
      <c r="AAJ170" s="6"/>
      <c r="AAK170" s="6"/>
      <c r="AAL170" s="6"/>
      <c r="AAM170" s="6"/>
      <c r="AAN170" s="6"/>
      <c r="AAO170" s="6"/>
      <c r="AAP170" s="6"/>
      <c r="AAQ170" s="6"/>
      <c r="AAR170" s="6"/>
      <c r="AAS170" s="6"/>
      <c r="AAT170" s="6"/>
      <c r="AAU170" s="6"/>
      <c r="AAV170" s="6"/>
      <c r="AAW170" s="6"/>
      <c r="AAX170" s="6"/>
      <c r="AAY170" s="6"/>
      <c r="AAZ170" s="6"/>
      <c r="ABA170" s="6"/>
      <c r="ABB170" s="6"/>
      <c r="ABC170" s="6"/>
      <c r="ABD170" s="6"/>
      <c r="ABE170" s="6"/>
      <c r="ABF170" s="6"/>
      <c r="ABG170" s="6"/>
      <c r="ABH170" s="6"/>
      <c r="ABI170" s="6"/>
      <c r="ABJ170" s="6"/>
      <c r="ABK170" s="6"/>
      <c r="ABL170" s="6"/>
      <c r="ABM170" s="6"/>
      <c r="ABN170" s="6"/>
      <c r="ABO170" s="6"/>
      <c r="ABP170" s="6"/>
      <c r="ABQ170" s="6"/>
      <c r="ABR170" s="6"/>
      <c r="ABS170" s="6"/>
      <c r="ABT170" s="6"/>
      <c r="ABU170" s="6"/>
      <c r="ABV170" s="6"/>
      <c r="ABW170" s="6"/>
      <c r="ABX170" s="6"/>
      <c r="ABY170" s="6"/>
      <c r="ABZ170" s="6"/>
      <c r="ACA170" s="6"/>
      <c r="ACB170" s="6"/>
      <c r="ACC170" s="6"/>
      <c r="ACD170" s="6"/>
      <c r="ACE170" s="6"/>
      <c r="ACF170" s="6"/>
      <c r="ACG170" s="6"/>
      <c r="ACH170" s="6"/>
      <c r="ACI170" s="6"/>
      <c r="ACJ170" s="6"/>
      <c r="ACK170" s="6"/>
      <c r="ACL170" s="6"/>
      <c r="ACM170" s="6"/>
      <c r="ACN170" s="6"/>
      <c r="ACO170" s="6"/>
      <c r="ACP170" s="6"/>
      <c r="ACQ170" s="6"/>
      <c r="ACR170" s="6"/>
      <c r="ACS170" s="6"/>
      <c r="ACT170" s="6"/>
      <c r="ACU170" s="6"/>
      <c r="ACV170" s="6"/>
      <c r="ACW170" s="6"/>
      <c r="ACX170" s="6"/>
      <c r="ACY170" s="6"/>
      <c r="ACZ170" s="6"/>
      <c r="ADA170" s="6"/>
      <c r="ADB170" s="6"/>
      <c r="ADC170" s="6"/>
      <c r="ADD170" s="6"/>
      <c r="ADE170" s="6"/>
      <c r="ADF170" s="6"/>
      <c r="ADG170" s="6"/>
      <c r="ADH170" s="6"/>
      <c r="ADI170" s="6"/>
      <c r="ADJ170" s="6"/>
      <c r="ADK170" s="6"/>
      <c r="ADL170" s="6"/>
      <c r="ADM170" s="6"/>
      <c r="ADN170" s="6"/>
      <c r="ADO170" s="6"/>
      <c r="ADP170" s="6"/>
      <c r="ADQ170" s="6"/>
      <c r="ADR170" s="6"/>
      <c r="ADS170" s="6"/>
      <c r="ADT170" s="6"/>
      <c r="ADU170" s="6"/>
      <c r="ADV170" s="6"/>
      <c r="ADW170" s="6"/>
      <c r="ADX170" s="6"/>
      <c r="ADY170" s="6"/>
      <c r="ADZ170" s="6"/>
      <c r="AEA170" s="6"/>
      <c r="AEB170" s="6"/>
      <c r="AEC170" s="6"/>
      <c r="AED170" s="6"/>
      <c r="AEE170" s="6"/>
      <c r="AEF170" s="6"/>
      <c r="AEG170" s="6"/>
      <c r="AEH170" s="6"/>
      <c r="AEI170" s="6"/>
      <c r="AEJ170" s="6"/>
      <c r="AEK170" s="6"/>
      <c r="AEL170" s="6"/>
      <c r="AEM170" s="6"/>
      <c r="AEN170" s="6"/>
      <c r="AEO170" s="6"/>
      <c r="AEP170" s="6"/>
      <c r="AEQ170" s="6"/>
      <c r="AER170" s="6"/>
      <c r="AES170" s="6"/>
      <c r="AET170" s="6"/>
      <c r="AEU170" s="6"/>
      <c r="AEV170" s="6"/>
      <c r="AEW170" s="6"/>
      <c r="AEX170" s="6"/>
      <c r="AEY170" s="6"/>
      <c r="AEZ170" s="6"/>
      <c r="AFA170" s="6"/>
      <c r="AFB170" s="6"/>
      <c r="AFC170" s="6"/>
      <c r="AFD170" s="6"/>
      <c r="AFE170" s="6"/>
      <c r="AFF170" s="6"/>
      <c r="AFG170" s="6"/>
      <c r="AFH170" s="6"/>
      <c r="AFI170" s="6"/>
      <c r="AFJ170" s="6"/>
      <c r="AFK170" s="6"/>
      <c r="AFL170" s="6"/>
      <c r="AFM170" s="6"/>
      <c r="AFN170" s="6"/>
      <c r="AFO170" s="6"/>
      <c r="AFP170" s="6"/>
      <c r="AFQ170" s="6"/>
      <c r="AFR170" s="6"/>
      <c r="AFS170" s="6"/>
      <c r="AFT170" s="6"/>
      <c r="AFU170" s="6"/>
      <c r="AFV170" s="6"/>
      <c r="AFW170" s="6"/>
      <c r="AFX170" s="6"/>
      <c r="AFY170" s="6"/>
      <c r="AFZ170" s="6"/>
      <c r="AGA170" s="6"/>
      <c r="AGB170" s="6"/>
      <c r="AGC170" s="6"/>
      <c r="AGD170" s="6"/>
      <c r="AGE170" s="6"/>
      <c r="AGF170" s="6"/>
      <c r="AGG170" s="6"/>
      <c r="AGH170" s="6"/>
      <c r="AGI170" s="6"/>
      <c r="AGJ170" s="6"/>
      <c r="AGK170" s="6"/>
      <c r="AGL170" s="6"/>
      <c r="AGM170" s="6"/>
      <c r="AGN170" s="6"/>
      <c r="AGO170" s="6"/>
      <c r="AGP170" s="6"/>
      <c r="AGQ170" s="6"/>
      <c r="AGR170" s="6"/>
      <c r="AGS170" s="6"/>
      <c r="AGT170" s="6"/>
      <c r="AGU170" s="6"/>
      <c r="AGV170" s="6"/>
      <c r="AGW170" s="6"/>
      <c r="AGX170" s="6"/>
      <c r="AGY170" s="6"/>
      <c r="AGZ170" s="6"/>
      <c r="AHA170" s="6"/>
      <c r="AHB170" s="6"/>
      <c r="AHC170" s="6"/>
      <c r="AHD170" s="6"/>
      <c r="AHE170" s="6"/>
      <c r="AHF170" s="6"/>
      <c r="AHG170" s="6"/>
      <c r="AHH170" s="6"/>
      <c r="AHI170" s="6"/>
      <c r="AHJ170" s="6"/>
      <c r="AHK170" s="6"/>
      <c r="AHL170" s="6"/>
      <c r="AHM170" s="6"/>
      <c r="AHN170" s="6"/>
      <c r="AHO170" s="6"/>
      <c r="AHP170" s="6"/>
      <c r="AHQ170" s="6"/>
      <c r="AHR170" s="6"/>
      <c r="AHS170" s="6"/>
      <c r="AHT170" s="6"/>
      <c r="AHU170" s="6"/>
      <c r="AHV170" s="6"/>
      <c r="AHW170" s="6"/>
      <c r="AHX170" s="6"/>
      <c r="AHY170" s="6"/>
      <c r="AHZ170" s="6"/>
      <c r="AIA170" s="6"/>
      <c r="AIB170" s="6"/>
      <c r="AIC170" s="6"/>
      <c r="AID170" s="6"/>
      <c r="AIE170" s="6"/>
      <c r="AIF170" s="6"/>
      <c r="AIG170" s="6"/>
      <c r="AIH170" s="6"/>
      <c r="AII170" s="6"/>
      <c r="AIJ170" s="6"/>
      <c r="AIK170" s="6"/>
      <c r="AIL170" s="6"/>
      <c r="AIM170" s="6"/>
      <c r="AIN170" s="6"/>
      <c r="AIO170" s="6"/>
      <c r="AIP170" s="6"/>
      <c r="AIQ170" s="6"/>
      <c r="AIR170" s="6"/>
      <c r="AIS170" s="6"/>
      <c r="AIT170" s="6"/>
      <c r="AIU170" s="6"/>
      <c r="AIV170" s="6"/>
      <c r="AIW170" s="6"/>
      <c r="AIX170" s="6"/>
      <c r="AIY170" s="6"/>
      <c r="AIZ170" s="6"/>
      <c r="AJA170" s="6"/>
      <c r="AJB170" s="6"/>
      <c r="AJC170" s="6"/>
      <c r="AJD170" s="6"/>
      <c r="AJE170" s="6"/>
      <c r="AJF170" s="6"/>
      <c r="AJG170" s="6"/>
      <c r="AJH170" s="6"/>
      <c r="AJI170" s="6"/>
      <c r="AJJ170" s="6"/>
      <c r="AJK170" s="6"/>
      <c r="AJL170" s="6"/>
      <c r="AJM170" s="6"/>
      <c r="AJN170" s="6"/>
      <c r="AJO170" s="6"/>
      <c r="AJP170" s="6"/>
      <c r="AJQ170" s="6"/>
      <c r="AJR170" s="6"/>
      <c r="AJS170" s="6"/>
      <c r="AJT170" s="6"/>
      <c r="AJU170" s="6"/>
      <c r="AJV170" s="6"/>
      <c r="AJW170" s="6"/>
      <c r="AJX170" s="6"/>
      <c r="AJY170" s="6"/>
      <c r="AJZ170" s="6"/>
      <c r="AKA170" s="6"/>
      <c r="AKB170" s="6"/>
      <c r="AKC170" s="6"/>
      <c r="AKD170" s="6"/>
      <c r="AKE170" s="6"/>
      <c r="AKF170" s="6"/>
      <c r="AKG170" s="6"/>
      <c r="AKH170" s="6"/>
      <c r="AKI170" s="6"/>
      <c r="AKJ170" s="6"/>
      <c r="AKK170" s="6"/>
      <c r="AKL170" s="6"/>
      <c r="AKM170" s="6"/>
      <c r="AKN170" s="6"/>
      <c r="AKO170" s="6"/>
      <c r="AKP170" s="6"/>
      <c r="AKQ170" s="6"/>
      <c r="AKR170" s="6"/>
      <c r="AKS170" s="6"/>
      <c r="AKT170" s="6"/>
      <c r="AKU170" s="6"/>
      <c r="AKV170" s="6"/>
      <c r="AKW170" s="6"/>
      <c r="AKX170" s="6"/>
      <c r="AKY170" s="6"/>
      <c r="AKZ170" s="6"/>
      <c r="ALA170" s="6"/>
      <c r="ALB170" s="6"/>
      <c r="ALC170" s="6"/>
      <c r="ALD170" s="6"/>
      <c r="ALE170" s="6"/>
      <c r="ALF170" s="6"/>
      <c r="ALG170" s="6"/>
      <c r="ALH170" s="6"/>
      <c r="ALI170" s="6"/>
      <c r="ALJ170" s="6"/>
      <c r="ALK170" s="6"/>
      <c r="ALL170" s="6"/>
      <c r="ALM170" s="6"/>
      <c r="ALN170" s="6"/>
      <c r="ALO170" s="6"/>
      <c r="ALP170" s="6"/>
      <c r="ALQ170" s="6"/>
      <c r="ALR170" s="6"/>
      <c r="ALS170" s="6"/>
      <c r="ALT170" s="6"/>
      <c r="ALU170" s="6"/>
      <c r="ALV170" s="6"/>
      <c r="ALW170" s="6"/>
      <c r="ALX170" s="6"/>
      <c r="ALY170" s="6"/>
      <c r="ALZ170" s="6"/>
      <c r="AMA170" s="6"/>
      <c r="AMB170" s="6"/>
      <c r="AMC170" s="6"/>
      <c r="AMD170" s="6"/>
      <c r="AME170" s="6"/>
      <c r="AMF170" s="6"/>
      <c r="AMG170" s="6"/>
      <c r="AMH170" s="6"/>
      <c r="AMI170" s="6"/>
      <c r="AMJ170" s="6"/>
      <c r="AMK170" s="6"/>
      <c r="AML170" s="6"/>
      <c r="AMM170" s="6"/>
      <c r="AMN170" s="6"/>
      <c r="AMO170" s="6"/>
      <c r="AMP170" s="6"/>
    </row>
    <row r="171" spans="1:1030" x14ac:dyDescent="0.2">
      <c r="A171" s="3" t="str">
        <f t="shared" ref="A171" si="1288">CONCATENATE(B171,"_",C171)</f>
        <v>ccr2_human_6GPS</v>
      </c>
      <c r="B171" s="3" t="s">
        <v>170</v>
      </c>
      <c r="C171" s="3" t="s">
        <v>1546</v>
      </c>
      <c r="D171" s="3" t="str">
        <f>IFERROR(MID(VLOOKUP($B171,Seqs!$A:$B,2,0),E171,1),"")</f>
        <v>V</v>
      </c>
      <c r="E171" s="3">
        <v>37</v>
      </c>
      <c r="F171" s="3" t="str">
        <f>IFERROR(MID(VLOOKUP($B171,Seqs!$A:$B,2,0),G171,1),"")</f>
        <v>K</v>
      </c>
      <c r="G171" s="3">
        <v>71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L</v>
      </c>
      <c r="M171" s="3">
        <v>76</v>
      </c>
      <c r="N171" s="3" t="str">
        <f>IFERROR(MID(VLOOKUP($B171,Seqs!$A:$B,2,0),O171,1),"")</f>
        <v>A</v>
      </c>
      <c r="O171" s="3">
        <v>102</v>
      </c>
      <c r="P171" s="3" t="str">
        <f>IFERROR(MID(VLOOKUP($B171,Seqs!$A:$B,2,0),Q171,1),"")</f>
        <v>E</v>
      </c>
      <c r="Q171" s="3">
        <v>105</v>
      </c>
      <c r="R171" s="3" t="str">
        <f>IFERROR(MID(VLOOKUP($B171,Seqs!$A:$B,2,0),S171,1),"")</f>
        <v>F</v>
      </c>
      <c r="S171" s="3">
        <v>108</v>
      </c>
      <c r="T171" s="3" t="str">
        <f>IFERROR(MID(VLOOKUP($B171,Seqs!$A:$B,2,0),U171,1),"")</f>
        <v>G</v>
      </c>
      <c r="U171" s="3">
        <v>109</v>
      </c>
      <c r="V171" s="3" t="str">
        <f>IFERROR(MID(VLOOKUP($B171,Seqs!$A:$B,2,0),W171,1),"")</f>
        <v>H</v>
      </c>
      <c r="W171" s="3">
        <v>144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R</v>
      </c>
      <c r="AC171" s="3">
        <v>152</v>
      </c>
      <c r="AD171" s="3" t="str">
        <f>IFERROR(MID(VLOOKUP($B171,Seqs!$A:$B,2,0),AE171,1),"")</f>
        <v>T</v>
      </c>
      <c r="AE171" s="3">
        <v>179</v>
      </c>
      <c r="AF171" s="3" t="str">
        <f>IFERROR(MID(VLOOKUP($B171,Seqs!$A:$B,2,0),AG171,1),"")</f>
        <v>C</v>
      </c>
      <c r="AG171" s="3">
        <v>190</v>
      </c>
      <c r="AH171" s="3" t="str">
        <f>IFERROR(MID(VLOOKUP($B171,Seqs!$A:$B,2,0),AI171,1),"")</f>
        <v>P</v>
      </c>
      <c r="AI171" s="3">
        <v>192</v>
      </c>
      <c r="AJ171" s="3" t="str">
        <f>IFERROR(MID(VLOOKUP($B171,Seqs!$A:$B,2,0),AK171,1),"")</f>
        <v>P</v>
      </c>
      <c r="AK171" s="3">
        <v>195</v>
      </c>
      <c r="AL171" s="3" t="str">
        <f>IFERROR(MID(VLOOKUP($B171,Seqs!$A:$B,2,0),AM171,1),"")</f>
        <v>R</v>
      </c>
      <c r="AM171" s="3">
        <v>231</v>
      </c>
      <c r="AN171" s="3" t="str">
        <f>IFERROR(MID(VLOOKUP($B171,Seqs!$A:$B,2,0),AO171,1),"")</f>
        <v>A</v>
      </c>
      <c r="AO171" s="3">
        <v>241</v>
      </c>
      <c r="AP171" s="3" t="str">
        <f>IFERROR(MID(VLOOKUP($B171,Seqs!$A:$B,2,0),AQ171,1),"")</f>
        <v>F</v>
      </c>
      <c r="AQ171" s="3">
        <v>268</v>
      </c>
      <c r="AR171" s="3" t="str">
        <f>IFERROR(MID(VLOOKUP($B171,Seqs!$A:$B,2,0),AS171,1),"")</f>
        <v>S</v>
      </c>
      <c r="AS171" s="3">
        <v>279</v>
      </c>
      <c r="AT171" s="3" t="str">
        <f>IFERROR(MID(VLOOKUP($B171,Seqs!$A:$B,2,0),AU171,1),"")</f>
        <v>G</v>
      </c>
      <c r="AU171" s="3">
        <v>309</v>
      </c>
      <c r="AV171" s="3" t="str">
        <f>IFERROR(MID(VLOOKUP($B171,Seqs!$A:$B,2,0),AW171,1),"")</f>
        <v>E</v>
      </c>
      <c r="AW171" s="3">
        <v>310</v>
      </c>
      <c r="AX171" s="3" t="str">
        <f>IFERROR(MID(VLOOKUP($B171,Seqs!$A:$B,2,0),AY171,1),"")</f>
        <v>G</v>
      </c>
      <c r="AY171" s="3">
        <v>321</v>
      </c>
      <c r="AZ171" s="77" t="str">
        <f>VLOOKUP(B171,Classification!A:D,2,0)</f>
        <v>A</v>
      </c>
      <c r="BA171" s="94" t="str">
        <f>VLOOKUP(B171,Classification!A:D,4,0)</f>
        <v>Chemokine</v>
      </c>
      <c r="BB171" s="27" t="b">
        <f t="shared" ref="BB171" si="1289"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 t="shared" ref="BC171" si="1290">_xlfn.AGGREGATE(9,6,CH171:CS171)-_xlfn.AGGREGATE(9,6,BV171:CG171)+12</f>
        <v>243</v>
      </c>
      <c r="BD171" s="16" t="s">
        <v>23</v>
      </c>
      <c r="BE171" s="3" t="s">
        <v>1374</v>
      </c>
      <c r="BF171" s="118">
        <v>3.3</v>
      </c>
      <c r="BG171" s="49" t="s">
        <v>1</v>
      </c>
      <c r="BH171" s="49" t="s">
        <v>1</v>
      </c>
      <c r="BI171" s="1"/>
      <c r="BJ171" s="70" t="s">
        <v>1287</v>
      </c>
      <c r="BK171" s="57" t="s">
        <v>1287</v>
      </c>
      <c r="BL171" s="57" t="s">
        <v>1287</v>
      </c>
      <c r="BM171" s="57" t="s">
        <v>1287</v>
      </c>
      <c r="BN171" s="57" t="s">
        <v>1287</v>
      </c>
      <c r="BO171" s="57" t="s">
        <v>1287</v>
      </c>
      <c r="BP171" s="57" t="s">
        <v>1287</v>
      </c>
      <c r="BQ171" s="57" t="s">
        <v>1287</v>
      </c>
      <c r="BR171" s="57" t="s">
        <v>1287</v>
      </c>
      <c r="BS171" s="57" t="s">
        <v>1287</v>
      </c>
      <c r="BT171" s="57" t="s">
        <v>1287</v>
      </c>
      <c r="BU171" s="57" t="s">
        <v>1287</v>
      </c>
      <c r="BV171" s="70">
        <f t="shared" ref="BV171" si="1291">E171</f>
        <v>37</v>
      </c>
      <c r="BW171" s="71" t="str">
        <f t="shared" ref="BW171" si="1292">I171</f>
        <v>-</v>
      </c>
      <c r="BX171" s="72">
        <f t="shared" ref="BX171" si="1293">M171</f>
        <v>76</v>
      </c>
      <c r="BY171" s="71">
        <f t="shared" ref="BY171" si="1294">Q171</f>
        <v>105</v>
      </c>
      <c r="BZ171" s="72">
        <f t="shared" ref="BZ171" si="1295">U171</f>
        <v>109</v>
      </c>
      <c r="CA171" s="71" t="str">
        <f t="shared" ref="CA171" si="1296">Y171</f>
        <v>-</v>
      </c>
      <c r="CB171" s="72">
        <f t="shared" ref="CB171" si="1297">AC171</f>
        <v>152</v>
      </c>
      <c r="CC171" s="71">
        <f t="shared" ref="CC171" si="1298">AG171</f>
        <v>190</v>
      </c>
      <c r="CD171" s="72">
        <f t="shared" ref="CD171" si="1299">AK171</f>
        <v>195</v>
      </c>
      <c r="CE171" s="71">
        <f t="shared" ref="CE171" si="1300">AO171</f>
        <v>241</v>
      </c>
      <c r="CF171" s="72">
        <f t="shared" ref="CF171" si="1301">AS171</f>
        <v>279</v>
      </c>
      <c r="CG171" s="71">
        <f t="shared" ref="CG171" si="1302">AW171</f>
        <v>310</v>
      </c>
      <c r="CH171" s="70">
        <f t="shared" ref="CH171" si="1303">G171</f>
        <v>71</v>
      </c>
      <c r="CI171" s="71" t="str">
        <f t="shared" ref="CI171" si="1304">K171</f>
        <v>-</v>
      </c>
      <c r="CJ171" s="72">
        <f t="shared" ref="CJ171" si="1305">O171</f>
        <v>102</v>
      </c>
      <c r="CK171" s="72">
        <f t="shared" ref="CK171" si="1306">S171</f>
        <v>108</v>
      </c>
      <c r="CL171" s="72">
        <f t="shared" ref="CL171" si="1307">W171</f>
        <v>144</v>
      </c>
      <c r="CM171" s="72" t="str">
        <f t="shared" ref="CM171" si="1308">AA171</f>
        <v>-</v>
      </c>
      <c r="CN171" s="72">
        <f t="shared" ref="CN171" si="1309">AE171</f>
        <v>179</v>
      </c>
      <c r="CO171" s="72">
        <f t="shared" ref="CO171" si="1310">AI171</f>
        <v>192</v>
      </c>
      <c r="CP171" s="72">
        <f t="shared" ref="CP171" si="1311">AM171</f>
        <v>231</v>
      </c>
      <c r="CQ171" s="72">
        <f t="shared" ref="CQ171" si="1312">AQ171</f>
        <v>268</v>
      </c>
      <c r="CR171" s="72">
        <f t="shared" ref="CR171" si="1313">AU171</f>
        <v>309</v>
      </c>
      <c r="CS171" s="72">
        <f t="shared" ref="CS171" si="1314">AY171</f>
        <v>321</v>
      </c>
      <c r="CT171" s="23" t="e">
        <f t="shared" ref="CT171" si="1315">M171-K171</f>
        <v>#VALUE!</v>
      </c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  <c r="ND171" s="6"/>
      <c r="NE171" s="6"/>
      <c r="NF171" s="6"/>
      <c r="NG171" s="6"/>
      <c r="NH171" s="6"/>
      <c r="NI171" s="6"/>
      <c r="NJ171" s="6"/>
      <c r="NK171" s="6"/>
      <c r="NL171" s="6"/>
      <c r="NM171" s="6"/>
      <c r="NN171" s="6"/>
      <c r="NO171" s="6"/>
      <c r="NP171" s="6"/>
      <c r="NQ171" s="6"/>
      <c r="NR171" s="6"/>
      <c r="NS171" s="6"/>
      <c r="NT171" s="6"/>
      <c r="NU171" s="6"/>
      <c r="NV171" s="6"/>
      <c r="NW171" s="6"/>
      <c r="NX171" s="6"/>
      <c r="NY171" s="6"/>
      <c r="NZ171" s="6"/>
      <c r="OA171" s="6"/>
      <c r="OB171" s="6"/>
      <c r="OC171" s="6"/>
      <c r="OD171" s="6"/>
      <c r="OE171" s="6"/>
      <c r="OF171" s="6"/>
      <c r="OG171" s="6"/>
      <c r="OH171" s="6"/>
      <c r="OI171" s="6"/>
      <c r="OJ171" s="6"/>
      <c r="OK171" s="6"/>
      <c r="OL171" s="6"/>
      <c r="OM171" s="6"/>
      <c r="ON171" s="6"/>
      <c r="OO171" s="6"/>
      <c r="OP171" s="6"/>
      <c r="OQ171" s="6"/>
      <c r="OR171" s="6"/>
      <c r="OS171" s="6"/>
      <c r="OT171" s="6"/>
      <c r="OU171" s="6"/>
      <c r="OV171" s="6"/>
      <c r="OW171" s="6"/>
      <c r="OX171" s="6"/>
      <c r="OY171" s="6"/>
      <c r="OZ171" s="6"/>
      <c r="PA171" s="6"/>
      <c r="PB171" s="6"/>
      <c r="PC171" s="6"/>
      <c r="PD171" s="6"/>
      <c r="PE171" s="6"/>
      <c r="PF171" s="6"/>
      <c r="PG171" s="6"/>
      <c r="PH171" s="6"/>
      <c r="PI171" s="6"/>
      <c r="PJ171" s="6"/>
      <c r="PK171" s="6"/>
      <c r="PL171" s="6"/>
      <c r="PM171" s="6"/>
      <c r="PN171" s="6"/>
      <c r="PO171" s="6"/>
      <c r="PP171" s="6"/>
      <c r="PQ171" s="6"/>
      <c r="PR171" s="6"/>
      <c r="PS171" s="6"/>
      <c r="PT171" s="6"/>
      <c r="PU171" s="6"/>
      <c r="PV171" s="6"/>
      <c r="PW171" s="6"/>
      <c r="PX171" s="6"/>
      <c r="PY171" s="6"/>
      <c r="PZ171" s="6"/>
      <c r="QA171" s="6"/>
      <c r="QB171" s="6"/>
      <c r="QC171" s="6"/>
      <c r="QD171" s="6"/>
      <c r="QE171" s="6"/>
      <c r="QF171" s="6"/>
      <c r="QG171" s="6"/>
      <c r="QH171" s="6"/>
      <c r="QI171" s="6"/>
      <c r="QJ171" s="6"/>
      <c r="QK171" s="6"/>
      <c r="QL171" s="6"/>
      <c r="QM171" s="6"/>
      <c r="QN171" s="6"/>
      <c r="QO171" s="6"/>
      <c r="QP171" s="6"/>
      <c r="QQ171" s="6"/>
      <c r="QR171" s="6"/>
      <c r="QS171" s="6"/>
      <c r="QT171" s="6"/>
      <c r="QU171" s="6"/>
      <c r="QV171" s="6"/>
      <c r="QW171" s="6"/>
      <c r="QX171" s="6"/>
      <c r="QY171" s="6"/>
      <c r="QZ171" s="6"/>
      <c r="RA171" s="6"/>
      <c r="RB171" s="6"/>
      <c r="RC171" s="6"/>
      <c r="RD171" s="6"/>
      <c r="RE171" s="6"/>
      <c r="RF171" s="6"/>
      <c r="RG171" s="6"/>
      <c r="RH171" s="6"/>
      <c r="RI171" s="6"/>
      <c r="RJ171" s="6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6"/>
      <c r="RX171" s="6"/>
      <c r="RY171" s="6"/>
      <c r="RZ171" s="6"/>
      <c r="SA171" s="6"/>
      <c r="SB171" s="6"/>
      <c r="SC171" s="6"/>
      <c r="SD171" s="6"/>
      <c r="SE171" s="6"/>
      <c r="SF171" s="6"/>
      <c r="SG171" s="6"/>
      <c r="SH171" s="6"/>
      <c r="SI171" s="6"/>
      <c r="SJ171" s="6"/>
      <c r="SK171" s="6"/>
      <c r="SL171" s="6"/>
      <c r="SM171" s="6"/>
      <c r="SN171" s="6"/>
      <c r="SO171" s="6"/>
      <c r="SP171" s="6"/>
      <c r="SQ171" s="6"/>
      <c r="SR171" s="6"/>
      <c r="SS171" s="6"/>
      <c r="ST171" s="6"/>
      <c r="SU171" s="6"/>
      <c r="SV171" s="6"/>
      <c r="SW171" s="6"/>
      <c r="SX171" s="6"/>
      <c r="SY171" s="6"/>
      <c r="SZ171" s="6"/>
      <c r="TA171" s="6"/>
      <c r="TB171" s="6"/>
      <c r="TC171" s="6"/>
      <c r="TD171" s="6"/>
      <c r="TE171" s="6"/>
      <c r="TF171" s="6"/>
      <c r="TG171" s="6"/>
      <c r="TH171" s="6"/>
      <c r="TI171" s="6"/>
      <c r="TJ171" s="6"/>
      <c r="TK171" s="6"/>
      <c r="TL171" s="6"/>
      <c r="TM171" s="6"/>
      <c r="TN171" s="6"/>
      <c r="TO171" s="6"/>
      <c r="TP171" s="6"/>
      <c r="TQ171" s="6"/>
      <c r="TR171" s="6"/>
      <c r="TS171" s="6"/>
      <c r="TT171" s="6"/>
      <c r="TU171" s="6"/>
      <c r="TV171" s="6"/>
      <c r="TW171" s="6"/>
      <c r="TX171" s="6"/>
      <c r="TY171" s="6"/>
      <c r="TZ171" s="6"/>
      <c r="UA171" s="6"/>
      <c r="UB171" s="6"/>
      <c r="UC171" s="6"/>
      <c r="UD171" s="6"/>
      <c r="UE171" s="6"/>
      <c r="UF171" s="6"/>
      <c r="UG171" s="6"/>
      <c r="UH171" s="6"/>
      <c r="UI171" s="6"/>
      <c r="UJ171" s="6"/>
      <c r="UK171" s="6"/>
      <c r="UL171" s="6"/>
      <c r="UM171" s="6"/>
      <c r="UN171" s="6"/>
      <c r="UO171" s="6"/>
      <c r="UP171" s="6"/>
      <c r="UQ171" s="6"/>
      <c r="UR171" s="6"/>
      <c r="US171" s="6"/>
      <c r="UT171" s="6"/>
      <c r="UU171" s="6"/>
      <c r="UV171" s="6"/>
      <c r="UW171" s="6"/>
      <c r="UX171" s="6"/>
      <c r="UY171" s="6"/>
      <c r="UZ171" s="6"/>
      <c r="VA171" s="6"/>
      <c r="VB171" s="6"/>
      <c r="VC171" s="6"/>
      <c r="VD171" s="6"/>
      <c r="VE171" s="6"/>
      <c r="VF171" s="6"/>
      <c r="VG171" s="6"/>
      <c r="VH171" s="6"/>
      <c r="VI171" s="6"/>
      <c r="VJ171" s="6"/>
      <c r="VK171" s="6"/>
      <c r="VL171" s="6"/>
      <c r="VM171" s="6"/>
      <c r="VN171" s="6"/>
      <c r="VO171" s="6"/>
      <c r="VP171" s="6"/>
      <c r="VQ171" s="6"/>
      <c r="VR171" s="6"/>
      <c r="VS171" s="6"/>
      <c r="VT171" s="6"/>
      <c r="VU171" s="6"/>
      <c r="VV171" s="6"/>
      <c r="VW171" s="6"/>
      <c r="VX171" s="6"/>
      <c r="VY171" s="6"/>
      <c r="VZ171" s="6"/>
      <c r="WA171" s="6"/>
      <c r="WB171" s="6"/>
      <c r="WC171" s="6"/>
      <c r="WD171" s="6"/>
      <c r="WE171" s="6"/>
      <c r="WF171" s="6"/>
      <c r="WG171" s="6"/>
      <c r="WH171" s="6"/>
      <c r="WI171" s="6"/>
      <c r="WJ171" s="6"/>
      <c r="WK171" s="6"/>
      <c r="WL171" s="6"/>
      <c r="WM171" s="6"/>
      <c r="WN171" s="6"/>
      <c r="WO171" s="6"/>
      <c r="WP171" s="6"/>
      <c r="WQ171" s="6"/>
      <c r="WR171" s="6"/>
      <c r="WS171" s="6"/>
      <c r="WT171" s="6"/>
      <c r="WU171" s="6"/>
      <c r="WV171" s="6"/>
      <c r="WW171" s="6"/>
      <c r="WX171" s="6"/>
      <c r="WY171" s="6"/>
      <c r="WZ171" s="6"/>
      <c r="XA171" s="6"/>
      <c r="XB171" s="6"/>
      <c r="XC171" s="6"/>
      <c r="XD171" s="6"/>
      <c r="XE171" s="6"/>
      <c r="XF171" s="6"/>
      <c r="XG171" s="6"/>
      <c r="XH171" s="6"/>
      <c r="XI171" s="6"/>
      <c r="XJ171" s="6"/>
      <c r="XK171" s="6"/>
      <c r="XL171" s="6"/>
      <c r="XM171" s="6"/>
      <c r="XN171" s="6"/>
      <c r="XO171" s="6"/>
      <c r="XP171" s="6"/>
      <c r="XQ171" s="6"/>
      <c r="XR171" s="6"/>
      <c r="XS171" s="6"/>
      <c r="XT171" s="6"/>
      <c r="XU171" s="6"/>
      <c r="XV171" s="6"/>
      <c r="XW171" s="6"/>
      <c r="XX171" s="6"/>
      <c r="XY171" s="6"/>
      <c r="XZ171" s="6"/>
      <c r="YA171" s="6"/>
      <c r="YB171" s="6"/>
      <c r="YC171" s="6"/>
      <c r="YD171" s="6"/>
      <c r="YE171" s="6"/>
      <c r="YF171" s="6"/>
      <c r="YG171" s="6"/>
      <c r="YH171" s="6"/>
      <c r="YI171" s="6"/>
      <c r="YJ171" s="6"/>
      <c r="YK171" s="6"/>
      <c r="YL171" s="6"/>
      <c r="YM171" s="6"/>
      <c r="YN171" s="6"/>
      <c r="YO171" s="6"/>
      <c r="YP171" s="6"/>
      <c r="YQ171" s="6"/>
      <c r="YR171" s="6"/>
      <c r="YS171" s="6"/>
      <c r="YT171" s="6"/>
      <c r="YU171" s="6"/>
      <c r="YV171" s="6"/>
      <c r="YW171" s="6"/>
      <c r="YX171" s="6"/>
      <c r="YY171" s="6"/>
      <c r="YZ171" s="6"/>
      <c r="ZA171" s="6"/>
      <c r="ZB171" s="6"/>
      <c r="ZC171" s="6"/>
      <c r="ZD171" s="6"/>
      <c r="ZE171" s="6"/>
      <c r="ZF171" s="6"/>
      <c r="ZG171" s="6"/>
      <c r="ZH171" s="6"/>
      <c r="ZI171" s="6"/>
      <c r="ZJ171" s="6"/>
      <c r="ZK171" s="6"/>
      <c r="ZL171" s="6"/>
      <c r="ZM171" s="6"/>
      <c r="ZN171" s="6"/>
      <c r="ZO171" s="6"/>
      <c r="ZP171" s="6"/>
      <c r="ZQ171" s="6"/>
      <c r="ZR171" s="6"/>
      <c r="ZS171" s="6"/>
      <c r="ZT171" s="6"/>
      <c r="ZU171" s="6"/>
      <c r="ZV171" s="6"/>
      <c r="ZW171" s="6"/>
      <c r="ZX171" s="6"/>
      <c r="ZY171" s="6"/>
      <c r="ZZ171" s="6"/>
      <c r="AAA171" s="6"/>
      <c r="AAB171" s="6"/>
      <c r="AAC171" s="6"/>
      <c r="AAD171" s="6"/>
      <c r="AAE171" s="6"/>
      <c r="AAF171" s="6"/>
      <c r="AAG171" s="6"/>
      <c r="AAH171" s="6"/>
      <c r="AAI171" s="6"/>
      <c r="AAJ171" s="6"/>
      <c r="AAK171" s="6"/>
      <c r="AAL171" s="6"/>
      <c r="AAM171" s="6"/>
      <c r="AAN171" s="6"/>
      <c r="AAO171" s="6"/>
      <c r="AAP171" s="6"/>
      <c r="AAQ171" s="6"/>
      <c r="AAR171" s="6"/>
      <c r="AAS171" s="6"/>
      <c r="AAT171" s="6"/>
      <c r="AAU171" s="6"/>
      <c r="AAV171" s="6"/>
      <c r="AAW171" s="6"/>
      <c r="AAX171" s="6"/>
      <c r="AAY171" s="6"/>
      <c r="AAZ171" s="6"/>
      <c r="ABA171" s="6"/>
      <c r="ABB171" s="6"/>
      <c r="ABC171" s="6"/>
      <c r="ABD171" s="6"/>
      <c r="ABE171" s="6"/>
      <c r="ABF171" s="6"/>
      <c r="ABG171" s="6"/>
      <c r="ABH171" s="6"/>
      <c r="ABI171" s="6"/>
      <c r="ABJ171" s="6"/>
      <c r="ABK171" s="6"/>
      <c r="ABL171" s="6"/>
      <c r="ABM171" s="6"/>
      <c r="ABN171" s="6"/>
      <c r="ABO171" s="6"/>
      <c r="ABP171" s="6"/>
      <c r="ABQ171" s="6"/>
      <c r="ABR171" s="6"/>
      <c r="ABS171" s="6"/>
      <c r="ABT171" s="6"/>
      <c r="ABU171" s="6"/>
      <c r="ABV171" s="6"/>
      <c r="ABW171" s="6"/>
      <c r="ABX171" s="6"/>
      <c r="ABY171" s="6"/>
      <c r="ABZ171" s="6"/>
      <c r="ACA171" s="6"/>
      <c r="ACB171" s="6"/>
      <c r="ACC171" s="6"/>
      <c r="ACD171" s="6"/>
      <c r="ACE171" s="6"/>
      <c r="ACF171" s="6"/>
      <c r="ACG171" s="6"/>
      <c r="ACH171" s="6"/>
      <c r="ACI171" s="6"/>
      <c r="ACJ171" s="6"/>
      <c r="ACK171" s="6"/>
      <c r="ACL171" s="6"/>
      <c r="ACM171" s="6"/>
      <c r="ACN171" s="6"/>
      <c r="ACO171" s="6"/>
      <c r="ACP171" s="6"/>
      <c r="ACQ171" s="6"/>
      <c r="ACR171" s="6"/>
      <c r="ACS171" s="6"/>
      <c r="ACT171" s="6"/>
      <c r="ACU171" s="6"/>
      <c r="ACV171" s="6"/>
      <c r="ACW171" s="6"/>
      <c r="ACX171" s="6"/>
      <c r="ACY171" s="6"/>
      <c r="ACZ171" s="6"/>
      <c r="ADA171" s="6"/>
      <c r="ADB171" s="6"/>
      <c r="ADC171" s="6"/>
      <c r="ADD171" s="6"/>
      <c r="ADE171" s="6"/>
      <c r="ADF171" s="6"/>
      <c r="ADG171" s="6"/>
      <c r="ADH171" s="6"/>
      <c r="ADI171" s="6"/>
      <c r="ADJ171" s="6"/>
      <c r="ADK171" s="6"/>
      <c r="ADL171" s="6"/>
      <c r="ADM171" s="6"/>
      <c r="ADN171" s="6"/>
      <c r="ADO171" s="6"/>
      <c r="ADP171" s="6"/>
      <c r="ADQ171" s="6"/>
      <c r="ADR171" s="6"/>
      <c r="ADS171" s="6"/>
      <c r="ADT171" s="6"/>
      <c r="ADU171" s="6"/>
      <c r="ADV171" s="6"/>
      <c r="ADW171" s="6"/>
      <c r="ADX171" s="6"/>
      <c r="ADY171" s="6"/>
      <c r="ADZ171" s="6"/>
      <c r="AEA171" s="6"/>
      <c r="AEB171" s="6"/>
      <c r="AEC171" s="6"/>
      <c r="AED171" s="6"/>
      <c r="AEE171" s="6"/>
      <c r="AEF171" s="6"/>
      <c r="AEG171" s="6"/>
      <c r="AEH171" s="6"/>
      <c r="AEI171" s="6"/>
      <c r="AEJ171" s="6"/>
      <c r="AEK171" s="6"/>
      <c r="AEL171" s="6"/>
      <c r="AEM171" s="6"/>
      <c r="AEN171" s="6"/>
      <c r="AEO171" s="6"/>
      <c r="AEP171" s="6"/>
      <c r="AEQ171" s="6"/>
      <c r="AER171" s="6"/>
      <c r="AES171" s="6"/>
      <c r="AET171" s="6"/>
      <c r="AEU171" s="6"/>
      <c r="AEV171" s="6"/>
      <c r="AEW171" s="6"/>
      <c r="AEX171" s="6"/>
      <c r="AEY171" s="6"/>
      <c r="AEZ171" s="6"/>
      <c r="AFA171" s="6"/>
      <c r="AFB171" s="6"/>
      <c r="AFC171" s="6"/>
      <c r="AFD171" s="6"/>
      <c r="AFE171" s="6"/>
      <c r="AFF171" s="6"/>
      <c r="AFG171" s="6"/>
      <c r="AFH171" s="6"/>
      <c r="AFI171" s="6"/>
      <c r="AFJ171" s="6"/>
      <c r="AFK171" s="6"/>
      <c r="AFL171" s="6"/>
      <c r="AFM171" s="6"/>
      <c r="AFN171" s="6"/>
      <c r="AFO171" s="6"/>
      <c r="AFP171" s="6"/>
      <c r="AFQ171" s="6"/>
      <c r="AFR171" s="6"/>
      <c r="AFS171" s="6"/>
      <c r="AFT171" s="6"/>
      <c r="AFU171" s="6"/>
      <c r="AFV171" s="6"/>
      <c r="AFW171" s="6"/>
      <c r="AFX171" s="6"/>
      <c r="AFY171" s="6"/>
      <c r="AFZ171" s="6"/>
      <c r="AGA171" s="6"/>
      <c r="AGB171" s="6"/>
      <c r="AGC171" s="6"/>
      <c r="AGD171" s="6"/>
      <c r="AGE171" s="6"/>
      <c r="AGF171" s="6"/>
      <c r="AGG171" s="6"/>
      <c r="AGH171" s="6"/>
      <c r="AGI171" s="6"/>
      <c r="AGJ171" s="6"/>
      <c r="AGK171" s="6"/>
      <c r="AGL171" s="6"/>
      <c r="AGM171" s="6"/>
      <c r="AGN171" s="6"/>
      <c r="AGO171" s="6"/>
      <c r="AGP171" s="6"/>
      <c r="AGQ171" s="6"/>
      <c r="AGR171" s="6"/>
      <c r="AGS171" s="6"/>
      <c r="AGT171" s="6"/>
      <c r="AGU171" s="6"/>
      <c r="AGV171" s="6"/>
      <c r="AGW171" s="6"/>
      <c r="AGX171" s="6"/>
      <c r="AGY171" s="6"/>
      <c r="AGZ171" s="6"/>
      <c r="AHA171" s="6"/>
      <c r="AHB171" s="6"/>
      <c r="AHC171" s="6"/>
      <c r="AHD171" s="6"/>
      <c r="AHE171" s="6"/>
      <c r="AHF171" s="6"/>
      <c r="AHG171" s="6"/>
      <c r="AHH171" s="6"/>
      <c r="AHI171" s="6"/>
      <c r="AHJ171" s="6"/>
      <c r="AHK171" s="6"/>
      <c r="AHL171" s="6"/>
      <c r="AHM171" s="6"/>
      <c r="AHN171" s="6"/>
      <c r="AHO171" s="6"/>
      <c r="AHP171" s="6"/>
      <c r="AHQ171" s="6"/>
      <c r="AHR171" s="6"/>
      <c r="AHS171" s="6"/>
      <c r="AHT171" s="6"/>
      <c r="AHU171" s="6"/>
      <c r="AHV171" s="6"/>
      <c r="AHW171" s="6"/>
      <c r="AHX171" s="6"/>
      <c r="AHY171" s="6"/>
      <c r="AHZ171" s="6"/>
      <c r="AIA171" s="6"/>
      <c r="AIB171" s="6"/>
      <c r="AIC171" s="6"/>
      <c r="AID171" s="6"/>
      <c r="AIE171" s="6"/>
      <c r="AIF171" s="6"/>
      <c r="AIG171" s="6"/>
      <c r="AIH171" s="6"/>
      <c r="AII171" s="6"/>
      <c r="AIJ171" s="6"/>
      <c r="AIK171" s="6"/>
      <c r="AIL171" s="6"/>
      <c r="AIM171" s="6"/>
      <c r="AIN171" s="6"/>
      <c r="AIO171" s="6"/>
      <c r="AIP171" s="6"/>
      <c r="AIQ171" s="6"/>
      <c r="AIR171" s="6"/>
      <c r="AIS171" s="6"/>
      <c r="AIT171" s="6"/>
      <c r="AIU171" s="6"/>
      <c r="AIV171" s="6"/>
      <c r="AIW171" s="6"/>
      <c r="AIX171" s="6"/>
      <c r="AIY171" s="6"/>
      <c r="AIZ171" s="6"/>
      <c r="AJA171" s="6"/>
      <c r="AJB171" s="6"/>
      <c r="AJC171" s="6"/>
      <c r="AJD171" s="6"/>
      <c r="AJE171" s="6"/>
      <c r="AJF171" s="6"/>
      <c r="AJG171" s="6"/>
      <c r="AJH171" s="6"/>
      <c r="AJI171" s="6"/>
      <c r="AJJ171" s="6"/>
      <c r="AJK171" s="6"/>
      <c r="AJL171" s="6"/>
      <c r="AJM171" s="6"/>
      <c r="AJN171" s="6"/>
      <c r="AJO171" s="6"/>
      <c r="AJP171" s="6"/>
      <c r="AJQ171" s="6"/>
      <c r="AJR171" s="6"/>
      <c r="AJS171" s="6"/>
      <c r="AJT171" s="6"/>
      <c r="AJU171" s="6"/>
      <c r="AJV171" s="6"/>
      <c r="AJW171" s="6"/>
      <c r="AJX171" s="6"/>
      <c r="AJY171" s="6"/>
      <c r="AJZ171" s="6"/>
      <c r="AKA171" s="6"/>
      <c r="AKB171" s="6"/>
      <c r="AKC171" s="6"/>
      <c r="AKD171" s="6"/>
      <c r="AKE171" s="6"/>
      <c r="AKF171" s="6"/>
      <c r="AKG171" s="6"/>
      <c r="AKH171" s="6"/>
      <c r="AKI171" s="6"/>
      <c r="AKJ171" s="6"/>
      <c r="AKK171" s="6"/>
      <c r="AKL171" s="6"/>
      <c r="AKM171" s="6"/>
      <c r="AKN171" s="6"/>
      <c r="AKO171" s="6"/>
      <c r="AKP171" s="6"/>
      <c r="AKQ171" s="6"/>
      <c r="AKR171" s="6"/>
      <c r="AKS171" s="6"/>
      <c r="AKT171" s="6"/>
      <c r="AKU171" s="6"/>
      <c r="AKV171" s="6"/>
      <c r="AKW171" s="6"/>
      <c r="AKX171" s="6"/>
      <c r="AKY171" s="6"/>
      <c r="AKZ171" s="6"/>
      <c r="ALA171" s="6"/>
      <c r="ALB171" s="6"/>
      <c r="ALC171" s="6"/>
      <c r="ALD171" s="6"/>
      <c r="ALE171" s="6"/>
      <c r="ALF171" s="6"/>
      <c r="ALG171" s="6"/>
      <c r="ALH171" s="6"/>
      <c r="ALI171" s="6"/>
      <c r="ALJ171" s="6"/>
      <c r="ALK171" s="6"/>
      <c r="ALL171" s="6"/>
      <c r="ALM171" s="6"/>
      <c r="ALN171" s="6"/>
      <c r="ALO171" s="6"/>
      <c r="ALP171" s="6"/>
      <c r="ALQ171" s="6"/>
      <c r="ALR171" s="6"/>
      <c r="ALS171" s="6"/>
      <c r="ALT171" s="6"/>
      <c r="ALU171" s="6"/>
      <c r="ALV171" s="6"/>
      <c r="ALW171" s="6"/>
      <c r="ALX171" s="6"/>
      <c r="ALY171" s="6"/>
      <c r="ALZ171" s="6"/>
      <c r="AMA171" s="6"/>
      <c r="AMB171" s="6"/>
      <c r="AMC171" s="6"/>
      <c r="AMD171" s="6"/>
      <c r="AME171" s="6"/>
      <c r="AMF171" s="6"/>
      <c r="AMG171" s="6"/>
      <c r="AMH171" s="6"/>
      <c r="AMI171" s="6"/>
      <c r="AMJ171" s="6"/>
      <c r="AMK171" s="6"/>
      <c r="AML171" s="6"/>
      <c r="AMM171" s="6"/>
      <c r="AMN171" s="6"/>
      <c r="AMO171" s="6"/>
      <c r="AMP171" s="6"/>
    </row>
    <row r="172" spans="1:1030" x14ac:dyDescent="0.2">
      <c r="A172" s="3" t="str">
        <f t="shared" ref="A172" si="1316">CONCATENATE(B172,"_",C172)</f>
        <v>ccr2_human_6GPX</v>
      </c>
      <c r="B172" s="3" t="s">
        <v>170</v>
      </c>
      <c r="C172" s="3" t="s">
        <v>1547</v>
      </c>
      <c r="D172" s="3" t="str">
        <f>IFERROR(MID(VLOOKUP($B172,Seqs!$A:$B,2,0),E172,1),"")</f>
        <v>F</v>
      </c>
      <c r="E172" s="3">
        <v>35</v>
      </c>
      <c r="F172" s="3" t="str">
        <f>IFERROR(MID(VLOOKUP($B172,Seqs!$A:$B,2,0),G172,1),"")</f>
        <v>K</v>
      </c>
      <c r="G172" s="3">
        <v>71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C</v>
      </c>
      <c r="M172" s="3">
        <v>75</v>
      </c>
      <c r="N172" s="3" t="str">
        <f>IFERROR(MID(VLOOKUP($B172,Seqs!$A:$B,2,0),O172,1),"")</f>
        <v>A</v>
      </c>
      <c r="O172" s="3">
        <v>102</v>
      </c>
      <c r="P172" s="3" t="str">
        <f>IFERROR(MID(VLOOKUP($B172,Seqs!$A:$B,2,0),Q172,1),"")</f>
        <v>E</v>
      </c>
      <c r="Q172" s="3">
        <v>105</v>
      </c>
      <c r="R172" s="3" t="str">
        <f>IFERROR(MID(VLOOKUP($B172,Seqs!$A:$B,2,0),S172,1),"")</f>
        <v>F</v>
      </c>
      <c r="S172" s="3">
        <v>108</v>
      </c>
      <c r="T172" s="3" t="str">
        <f>IFERROR(MID(VLOOKUP($B172,Seqs!$A:$B,2,0),U172,1),"")</f>
        <v>G</v>
      </c>
      <c r="U172" s="3">
        <v>109</v>
      </c>
      <c r="V172" s="3" t="str">
        <f>IFERROR(MID(VLOOKUP($B172,Seqs!$A:$B,2,0),W172,1),"")</f>
        <v>H</v>
      </c>
      <c r="W172" s="3">
        <v>144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R</v>
      </c>
      <c r="AC172" s="3">
        <v>152</v>
      </c>
      <c r="AD172" s="3" t="str">
        <f>IFERROR(MID(VLOOKUP($B172,Seqs!$A:$B,2,0),AE172,1),"")</f>
        <v>T</v>
      </c>
      <c r="AE172" s="3">
        <v>179</v>
      </c>
      <c r="AF172" s="3" t="str">
        <f>IFERROR(MID(VLOOKUP($B172,Seqs!$A:$B,2,0),AG172,1),"")</f>
        <v>C</v>
      </c>
      <c r="AG172" s="3">
        <v>190</v>
      </c>
      <c r="AH172" s="3" t="str">
        <f>IFERROR(MID(VLOOKUP($B172,Seqs!$A:$B,2,0),AI172,1),"")</f>
        <v>P</v>
      </c>
      <c r="AI172" s="3">
        <v>192</v>
      </c>
      <c r="AJ172" s="3" t="str">
        <f>IFERROR(MID(VLOOKUP($B172,Seqs!$A:$B,2,0),AK172,1),"")</f>
        <v>P</v>
      </c>
      <c r="AK172" s="3">
        <v>195</v>
      </c>
      <c r="AL172" s="3" t="str">
        <f>IFERROR(MID(VLOOKUP($B172,Seqs!$A:$B,2,0),AM172,1),"")</f>
        <v>L</v>
      </c>
      <c r="AM172" s="3">
        <v>229</v>
      </c>
      <c r="AN172" s="3" t="str">
        <f>IFERROR(MID(VLOOKUP($B172,Seqs!$A:$B,2,0),AO172,1),"")</f>
        <v>A</v>
      </c>
      <c r="AO172" s="3">
        <v>241</v>
      </c>
      <c r="AP172" s="3" t="str">
        <f>IFERROR(MID(VLOOKUP($B172,Seqs!$A:$B,2,0),AQ172,1),"")</f>
        <v>F</v>
      </c>
      <c r="AQ172" s="3">
        <v>268</v>
      </c>
      <c r="AR172" s="3" t="str">
        <f>IFERROR(MID(VLOOKUP($B172,Seqs!$A:$B,2,0),AS172,1),"")</f>
        <v>N</v>
      </c>
      <c r="AS172" s="3">
        <v>276</v>
      </c>
      <c r="AT172" s="3" t="str">
        <f>IFERROR(MID(VLOOKUP($B172,Seqs!$A:$B,2,0),AU172,1),"")</f>
        <v>V</v>
      </c>
      <c r="AU172" s="3">
        <v>308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Chemokine</v>
      </c>
      <c r="BB172" s="27" t="b">
        <f t="shared" ref="BB172" si="1317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 t="shared" ref="BC172" si="1318">_xlfn.AGGREGATE(9,6,CH172:CS172)-_xlfn.AGGREGATE(9,6,BV172:CG172)+12</f>
        <v>235</v>
      </c>
      <c r="BD172" s="16" t="s">
        <v>23</v>
      </c>
      <c r="BE172" s="3" t="s">
        <v>1374</v>
      </c>
      <c r="BF172" s="118">
        <v>2.7</v>
      </c>
      <c r="BG172" s="49" t="s">
        <v>1</v>
      </c>
      <c r="BH172" s="49" t="s">
        <v>1</v>
      </c>
      <c r="BI172" s="1"/>
      <c r="BJ172" s="70" t="s">
        <v>1287</v>
      </c>
      <c r="BK172" s="57" t="s">
        <v>1287</v>
      </c>
      <c r="BL172" s="57" t="s">
        <v>1287</v>
      </c>
      <c r="BM172" s="57" t="s">
        <v>1287</v>
      </c>
      <c r="BN172" s="57" t="s">
        <v>1287</v>
      </c>
      <c r="BO172" s="57" t="s">
        <v>1287</v>
      </c>
      <c r="BP172" s="57" t="s">
        <v>1287</v>
      </c>
      <c r="BQ172" s="57" t="s">
        <v>1287</v>
      </c>
      <c r="BR172" s="57" t="s">
        <v>1287</v>
      </c>
      <c r="BS172" s="57" t="s">
        <v>1287</v>
      </c>
      <c r="BT172" s="57" t="s">
        <v>1287</v>
      </c>
      <c r="BU172" s="57" t="s">
        <v>1287</v>
      </c>
      <c r="BV172" s="70">
        <f t="shared" ref="BV172" si="1319">E172</f>
        <v>35</v>
      </c>
      <c r="BW172" s="71" t="str">
        <f t="shared" ref="BW172" si="1320">I172</f>
        <v>-</v>
      </c>
      <c r="BX172" s="72">
        <f t="shared" ref="BX172" si="1321">M172</f>
        <v>75</v>
      </c>
      <c r="BY172" s="71">
        <f t="shared" ref="BY172" si="1322">Q172</f>
        <v>105</v>
      </c>
      <c r="BZ172" s="72">
        <f t="shared" ref="BZ172" si="1323">U172</f>
        <v>109</v>
      </c>
      <c r="CA172" s="71" t="str">
        <f t="shared" ref="CA172" si="1324">Y172</f>
        <v>-</v>
      </c>
      <c r="CB172" s="72">
        <f t="shared" ref="CB172" si="1325">AC172</f>
        <v>152</v>
      </c>
      <c r="CC172" s="71">
        <f t="shared" ref="CC172" si="1326">AG172</f>
        <v>190</v>
      </c>
      <c r="CD172" s="72">
        <f t="shared" ref="CD172" si="1327">AK172</f>
        <v>195</v>
      </c>
      <c r="CE172" s="71">
        <f t="shared" ref="CE172" si="1328">AO172</f>
        <v>241</v>
      </c>
      <c r="CF172" s="72">
        <f t="shared" ref="CF172" si="1329">AS172</f>
        <v>276</v>
      </c>
      <c r="CG172" s="71" t="str">
        <f t="shared" ref="CG172" si="1330">AW172</f>
        <v>-</v>
      </c>
      <c r="CH172" s="70">
        <f t="shared" ref="CH172" si="1331">G172</f>
        <v>71</v>
      </c>
      <c r="CI172" s="71" t="str">
        <f t="shared" ref="CI172" si="1332">K172</f>
        <v>-</v>
      </c>
      <c r="CJ172" s="72">
        <f t="shared" ref="CJ172" si="1333">O172</f>
        <v>102</v>
      </c>
      <c r="CK172" s="72">
        <f t="shared" ref="CK172" si="1334">S172</f>
        <v>108</v>
      </c>
      <c r="CL172" s="72">
        <f t="shared" ref="CL172" si="1335">W172</f>
        <v>144</v>
      </c>
      <c r="CM172" s="72" t="str">
        <f t="shared" ref="CM172" si="1336">AA172</f>
        <v>-</v>
      </c>
      <c r="CN172" s="72">
        <f t="shared" ref="CN172" si="1337">AE172</f>
        <v>179</v>
      </c>
      <c r="CO172" s="72">
        <f t="shared" ref="CO172" si="1338">AI172</f>
        <v>192</v>
      </c>
      <c r="CP172" s="72">
        <f t="shared" ref="CP172" si="1339">AM172</f>
        <v>229</v>
      </c>
      <c r="CQ172" s="72">
        <f t="shared" ref="CQ172" si="1340">AQ172</f>
        <v>268</v>
      </c>
      <c r="CR172" s="72">
        <f t="shared" ref="CR172" si="1341">AU172</f>
        <v>308</v>
      </c>
      <c r="CS172" s="72" t="str">
        <f t="shared" ref="CS172" si="1342">AY172</f>
        <v>-</v>
      </c>
      <c r="CT172" s="23" t="e">
        <f t="shared" ref="CT172" si="1343">M172-K172</f>
        <v>#VALUE!</v>
      </c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  <c r="SC172" s="6"/>
      <c r="SD172" s="6"/>
      <c r="SE172" s="6"/>
      <c r="SF172" s="6"/>
      <c r="SG172" s="6"/>
      <c r="SH172" s="6"/>
      <c r="SI172" s="6"/>
      <c r="SJ172" s="6"/>
      <c r="SK172" s="6"/>
      <c r="SL172" s="6"/>
      <c r="SM172" s="6"/>
      <c r="SN172" s="6"/>
      <c r="SO172" s="6"/>
      <c r="SP172" s="6"/>
      <c r="SQ172" s="6"/>
      <c r="SR172" s="6"/>
      <c r="SS172" s="6"/>
      <c r="ST172" s="6"/>
      <c r="SU172" s="6"/>
      <c r="SV172" s="6"/>
      <c r="SW172" s="6"/>
      <c r="SX172" s="6"/>
      <c r="SY172" s="6"/>
      <c r="SZ172" s="6"/>
      <c r="TA172" s="6"/>
      <c r="TB172" s="6"/>
      <c r="TC172" s="6"/>
      <c r="TD172" s="6"/>
      <c r="TE172" s="6"/>
      <c r="TF172" s="6"/>
      <c r="TG172" s="6"/>
      <c r="TH172" s="6"/>
      <c r="TI172" s="6"/>
      <c r="TJ172" s="6"/>
      <c r="TK172" s="6"/>
      <c r="TL172" s="6"/>
      <c r="TM172" s="6"/>
      <c r="TN172" s="6"/>
      <c r="TO172" s="6"/>
      <c r="TP172" s="6"/>
      <c r="TQ172" s="6"/>
      <c r="TR172" s="6"/>
      <c r="TS172" s="6"/>
      <c r="TT172" s="6"/>
      <c r="TU172" s="6"/>
      <c r="TV172" s="6"/>
      <c r="TW172" s="6"/>
      <c r="TX172" s="6"/>
      <c r="TY172" s="6"/>
      <c r="TZ172" s="6"/>
      <c r="UA172" s="6"/>
      <c r="UB172" s="6"/>
      <c r="UC172" s="6"/>
      <c r="UD172" s="6"/>
      <c r="UE172" s="6"/>
      <c r="UF172" s="6"/>
      <c r="UG172" s="6"/>
      <c r="UH172" s="6"/>
      <c r="UI172" s="6"/>
      <c r="UJ172" s="6"/>
      <c r="UK172" s="6"/>
      <c r="UL172" s="6"/>
      <c r="UM172" s="6"/>
      <c r="UN172" s="6"/>
      <c r="UO172" s="6"/>
      <c r="UP172" s="6"/>
      <c r="UQ172" s="6"/>
      <c r="UR172" s="6"/>
      <c r="US172" s="6"/>
      <c r="UT172" s="6"/>
      <c r="UU172" s="6"/>
      <c r="UV172" s="6"/>
      <c r="UW172" s="6"/>
      <c r="UX172" s="6"/>
      <c r="UY172" s="6"/>
      <c r="UZ172" s="6"/>
      <c r="VA172" s="6"/>
      <c r="VB172" s="6"/>
      <c r="VC172" s="6"/>
      <c r="VD172" s="6"/>
      <c r="VE172" s="6"/>
      <c r="VF172" s="6"/>
      <c r="VG172" s="6"/>
      <c r="VH172" s="6"/>
      <c r="VI172" s="6"/>
      <c r="VJ172" s="6"/>
      <c r="VK172" s="6"/>
      <c r="VL172" s="6"/>
      <c r="VM172" s="6"/>
      <c r="VN172" s="6"/>
      <c r="VO172" s="6"/>
      <c r="VP172" s="6"/>
      <c r="VQ172" s="6"/>
      <c r="VR172" s="6"/>
      <c r="VS172" s="6"/>
      <c r="VT172" s="6"/>
      <c r="VU172" s="6"/>
      <c r="VV172" s="6"/>
      <c r="VW172" s="6"/>
      <c r="VX172" s="6"/>
      <c r="VY172" s="6"/>
      <c r="VZ172" s="6"/>
      <c r="WA172" s="6"/>
      <c r="WB172" s="6"/>
      <c r="WC172" s="6"/>
      <c r="WD172" s="6"/>
      <c r="WE172" s="6"/>
      <c r="WF172" s="6"/>
      <c r="WG172" s="6"/>
      <c r="WH172" s="6"/>
      <c r="WI172" s="6"/>
      <c r="WJ172" s="6"/>
      <c r="WK172" s="6"/>
      <c r="WL172" s="6"/>
      <c r="WM172" s="6"/>
      <c r="WN172" s="6"/>
      <c r="WO172" s="6"/>
      <c r="WP172" s="6"/>
      <c r="WQ172" s="6"/>
      <c r="WR172" s="6"/>
      <c r="WS172" s="6"/>
      <c r="WT172" s="6"/>
      <c r="WU172" s="6"/>
      <c r="WV172" s="6"/>
      <c r="WW172" s="6"/>
      <c r="WX172" s="6"/>
      <c r="WY172" s="6"/>
      <c r="WZ172" s="6"/>
      <c r="XA172" s="6"/>
      <c r="XB172" s="6"/>
      <c r="XC172" s="6"/>
      <c r="XD172" s="6"/>
      <c r="XE172" s="6"/>
      <c r="XF172" s="6"/>
      <c r="XG172" s="6"/>
      <c r="XH172" s="6"/>
      <c r="XI172" s="6"/>
      <c r="XJ172" s="6"/>
      <c r="XK172" s="6"/>
      <c r="XL172" s="6"/>
      <c r="XM172" s="6"/>
      <c r="XN172" s="6"/>
      <c r="XO172" s="6"/>
      <c r="XP172" s="6"/>
      <c r="XQ172" s="6"/>
      <c r="XR172" s="6"/>
      <c r="XS172" s="6"/>
      <c r="XT172" s="6"/>
      <c r="XU172" s="6"/>
      <c r="XV172" s="6"/>
      <c r="XW172" s="6"/>
      <c r="XX172" s="6"/>
      <c r="XY172" s="6"/>
      <c r="XZ172" s="6"/>
      <c r="YA172" s="6"/>
      <c r="YB172" s="6"/>
      <c r="YC172" s="6"/>
      <c r="YD172" s="6"/>
      <c r="YE172" s="6"/>
      <c r="YF172" s="6"/>
      <c r="YG172" s="6"/>
      <c r="YH172" s="6"/>
      <c r="YI172" s="6"/>
      <c r="YJ172" s="6"/>
      <c r="YK172" s="6"/>
      <c r="YL172" s="6"/>
      <c r="YM172" s="6"/>
      <c r="YN172" s="6"/>
      <c r="YO172" s="6"/>
      <c r="YP172" s="6"/>
      <c r="YQ172" s="6"/>
      <c r="YR172" s="6"/>
      <c r="YS172" s="6"/>
      <c r="YT172" s="6"/>
      <c r="YU172" s="6"/>
      <c r="YV172" s="6"/>
      <c r="YW172" s="6"/>
      <c r="YX172" s="6"/>
      <c r="YY172" s="6"/>
      <c r="YZ172" s="6"/>
      <c r="ZA172" s="6"/>
      <c r="ZB172" s="6"/>
      <c r="ZC172" s="6"/>
      <c r="ZD172" s="6"/>
      <c r="ZE172" s="6"/>
      <c r="ZF172" s="6"/>
      <c r="ZG172" s="6"/>
      <c r="ZH172" s="6"/>
      <c r="ZI172" s="6"/>
      <c r="ZJ172" s="6"/>
      <c r="ZK172" s="6"/>
      <c r="ZL172" s="6"/>
      <c r="ZM172" s="6"/>
      <c r="ZN172" s="6"/>
      <c r="ZO172" s="6"/>
      <c r="ZP172" s="6"/>
      <c r="ZQ172" s="6"/>
      <c r="ZR172" s="6"/>
      <c r="ZS172" s="6"/>
      <c r="ZT172" s="6"/>
      <c r="ZU172" s="6"/>
      <c r="ZV172" s="6"/>
      <c r="ZW172" s="6"/>
      <c r="ZX172" s="6"/>
      <c r="ZY172" s="6"/>
      <c r="ZZ172" s="6"/>
      <c r="AAA172" s="6"/>
      <c r="AAB172" s="6"/>
      <c r="AAC172" s="6"/>
      <c r="AAD172" s="6"/>
      <c r="AAE172" s="6"/>
      <c r="AAF172" s="6"/>
      <c r="AAG172" s="6"/>
      <c r="AAH172" s="6"/>
      <c r="AAI172" s="6"/>
      <c r="AAJ172" s="6"/>
      <c r="AAK172" s="6"/>
      <c r="AAL172" s="6"/>
      <c r="AAM172" s="6"/>
      <c r="AAN172" s="6"/>
      <c r="AAO172" s="6"/>
      <c r="AAP172" s="6"/>
      <c r="AAQ172" s="6"/>
      <c r="AAR172" s="6"/>
      <c r="AAS172" s="6"/>
      <c r="AAT172" s="6"/>
      <c r="AAU172" s="6"/>
      <c r="AAV172" s="6"/>
      <c r="AAW172" s="6"/>
      <c r="AAX172" s="6"/>
      <c r="AAY172" s="6"/>
      <c r="AAZ172" s="6"/>
      <c r="ABA172" s="6"/>
      <c r="ABB172" s="6"/>
      <c r="ABC172" s="6"/>
      <c r="ABD172" s="6"/>
      <c r="ABE172" s="6"/>
      <c r="ABF172" s="6"/>
      <c r="ABG172" s="6"/>
      <c r="ABH172" s="6"/>
      <c r="ABI172" s="6"/>
      <c r="ABJ172" s="6"/>
      <c r="ABK172" s="6"/>
      <c r="ABL172" s="6"/>
      <c r="ABM172" s="6"/>
      <c r="ABN172" s="6"/>
      <c r="ABO172" s="6"/>
      <c r="ABP172" s="6"/>
      <c r="ABQ172" s="6"/>
      <c r="ABR172" s="6"/>
      <c r="ABS172" s="6"/>
      <c r="ABT172" s="6"/>
      <c r="ABU172" s="6"/>
      <c r="ABV172" s="6"/>
      <c r="ABW172" s="6"/>
      <c r="ABX172" s="6"/>
      <c r="ABY172" s="6"/>
      <c r="ABZ172" s="6"/>
      <c r="ACA172" s="6"/>
      <c r="ACB172" s="6"/>
      <c r="ACC172" s="6"/>
      <c r="ACD172" s="6"/>
      <c r="ACE172" s="6"/>
      <c r="ACF172" s="6"/>
      <c r="ACG172" s="6"/>
      <c r="ACH172" s="6"/>
      <c r="ACI172" s="6"/>
      <c r="ACJ172" s="6"/>
      <c r="ACK172" s="6"/>
      <c r="ACL172" s="6"/>
      <c r="ACM172" s="6"/>
      <c r="ACN172" s="6"/>
      <c r="ACO172" s="6"/>
      <c r="ACP172" s="6"/>
      <c r="ACQ172" s="6"/>
      <c r="ACR172" s="6"/>
      <c r="ACS172" s="6"/>
      <c r="ACT172" s="6"/>
      <c r="ACU172" s="6"/>
      <c r="ACV172" s="6"/>
      <c r="ACW172" s="6"/>
      <c r="ACX172" s="6"/>
      <c r="ACY172" s="6"/>
      <c r="ACZ172" s="6"/>
      <c r="ADA172" s="6"/>
      <c r="ADB172" s="6"/>
      <c r="ADC172" s="6"/>
      <c r="ADD172" s="6"/>
      <c r="ADE172" s="6"/>
      <c r="ADF172" s="6"/>
      <c r="ADG172" s="6"/>
      <c r="ADH172" s="6"/>
      <c r="ADI172" s="6"/>
      <c r="ADJ172" s="6"/>
      <c r="ADK172" s="6"/>
      <c r="ADL172" s="6"/>
      <c r="ADM172" s="6"/>
      <c r="ADN172" s="6"/>
      <c r="ADO172" s="6"/>
      <c r="ADP172" s="6"/>
      <c r="ADQ172" s="6"/>
      <c r="ADR172" s="6"/>
      <c r="ADS172" s="6"/>
      <c r="ADT172" s="6"/>
      <c r="ADU172" s="6"/>
      <c r="ADV172" s="6"/>
      <c r="ADW172" s="6"/>
      <c r="ADX172" s="6"/>
      <c r="ADY172" s="6"/>
      <c r="ADZ172" s="6"/>
      <c r="AEA172" s="6"/>
      <c r="AEB172" s="6"/>
      <c r="AEC172" s="6"/>
      <c r="AED172" s="6"/>
      <c r="AEE172" s="6"/>
      <c r="AEF172" s="6"/>
      <c r="AEG172" s="6"/>
      <c r="AEH172" s="6"/>
      <c r="AEI172" s="6"/>
      <c r="AEJ172" s="6"/>
      <c r="AEK172" s="6"/>
      <c r="AEL172" s="6"/>
      <c r="AEM172" s="6"/>
      <c r="AEN172" s="6"/>
      <c r="AEO172" s="6"/>
      <c r="AEP172" s="6"/>
      <c r="AEQ172" s="6"/>
      <c r="AER172" s="6"/>
      <c r="AES172" s="6"/>
      <c r="AET172" s="6"/>
      <c r="AEU172" s="6"/>
      <c r="AEV172" s="6"/>
      <c r="AEW172" s="6"/>
      <c r="AEX172" s="6"/>
      <c r="AEY172" s="6"/>
      <c r="AEZ172" s="6"/>
      <c r="AFA172" s="6"/>
      <c r="AFB172" s="6"/>
      <c r="AFC172" s="6"/>
      <c r="AFD172" s="6"/>
      <c r="AFE172" s="6"/>
      <c r="AFF172" s="6"/>
      <c r="AFG172" s="6"/>
      <c r="AFH172" s="6"/>
      <c r="AFI172" s="6"/>
      <c r="AFJ172" s="6"/>
      <c r="AFK172" s="6"/>
      <c r="AFL172" s="6"/>
      <c r="AFM172" s="6"/>
      <c r="AFN172" s="6"/>
      <c r="AFO172" s="6"/>
      <c r="AFP172" s="6"/>
      <c r="AFQ172" s="6"/>
      <c r="AFR172" s="6"/>
      <c r="AFS172" s="6"/>
      <c r="AFT172" s="6"/>
      <c r="AFU172" s="6"/>
      <c r="AFV172" s="6"/>
      <c r="AFW172" s="6"/>
      <c r="AFX172" s="6"/>
      <c r="AFY172" s="6"/>
      <c r="AFZ172" s="6"/>
      <c r="AGA172" s="6"/>
      <c r="AGB172" s="6"/>
      <c r="AGC172" s="6"/>
      <c r="AGD172" s="6"/>
      <c r="AGE172" s="6"/>
      <c r="AGF172" s="6"/>
      <c r="AGG172" s="6"/>
      <c r="AGH172" s="6"/>
      <c r="AGI172" s="6"/>
      <c r="AGJ172" s="6"/>
      <c r="AGK172" s="6"/>
      <c r="AGL172" s="6"/>
      <c r="AGM172" s="6"/>
      <c r="AGN172" s="6"/>
      <c r="AGO172" s="6"/>
      <c r="AGP172" s="6"/>
      <c r="AGQ172" s="6"/>
      <c r="AGR172" s="6"/>
      <c r="AGS172" s="6"/>
      <c r="AGT172" s="6"/>
      <c r="AGU172" s="6"/>
      <c r="AGV172" s="6"/>
      <c r="AGW172" s="6"/>
      <c r="AGX172" s="6"/>
      <c r="AGY172" s="6"/>
      <c r="AGZ172" s="6"/>
      <c r="AHA172" s="6"/>
      <c r="AHB172" s="6"/>
      <c r="AHC172" s="6"/>
      <c r="AHD172" s="6"/>
      <c r="AHE172" s="6"/>
      <c r="AHF172" s="6"/>
      <c r="AHG172" s="6"/>
      <c r="AHH172" s="6"/>
      <c r="AHI172" s="6"/>
      <c r="AHJ172" s="6"/>
      <c r="AHK172" s="6"/>
      <c r="AHL172" s="6"/>
      <c r="AHM172" s="6"/>
      <c r="AHN172" s="6"/>
      <c r="AHO172" s="6"/>
      <c r="AHP172" s="6"/>
      <c r="AHQ172" s="6"/>
      <c r="AHR172" s="6"/>
      <c r="AHS172" s="6"/>
      <c r="AHT172" s="6"/>
      <c r="AHU172" s="6"/>
      <c r="AHV172" s="6"/>
      <c r="AHW172" s="6"/>
      <c r="AHX172" s="6"/>
      <c r="AHY172" s="6"/>
      <c r="AHZ172" s="6"/>
      <c r="AIA172" s="6"/>
      <c r="AIB172" s="6"/>
      <c r="AIC172" s="6"/>
      <c r="AID172" s="6"/>
      <c r="AIE172" s="6"/>
      <c r="AIF172" s="6"/>
      <c r="AIG172" s="6"/>
      <c r="AIH172" s="6"/>
      <c r="AII172" s="6"/>
      <c r="AIJ172" s="6"/>
      <c r="AIK172" s="6"/>
      <c r="AIL172" s="6"/>
      <c r="AIM172" s="6"/>
      <c r="AIN172" s="6"/>
      <c r="AIO172" s="6"/>
      <c r="AIP172" s="6"/>
      <c r="AIQ172" s="6"/>
      <c r="AIR172" s="6"/>
      <c r="AIS172" s="6"/>
      <c r="AIT172" s="6"/>
      <c r="AIU172" s="6"/>
      <c r="AIV172" s="6"/>
      <c r="AIW172" s="6"/>
      <c r="AIX172" s="6"/>
      <c r="AIY172" s="6"/>
      <c r="AIZ172" s="6"/>
      <c r="AJA172" s="6"/>
      <c r="AJB172" s="6"/>
      <c r="AJC172" s="6"/>
      <c r="AJD172" s="6"/>
      <c r="AJE172" s="6"/>
      <c r="AJF172" s="6"/>
      <c r="AJG172" s="6"/>
      <c r="AJH172" s="6"/>
      <c r="AJI172" s="6"/>
      <c r="AJJ172" s="6"/>
      <c r="AJK172" s="6"/>
      <c r="AJL172" s="6"/>
      <c r="AJM172" s="6"/>
      <c r="AJN172" s="6"/>
      <c r="AJO172" s="6"/>
      <c r="AJP172" s="6"/>
      <c r="AJQ172" s="6"/>
      <c r="AJR172" s="6"/>
      <c r="AJS172" s="6"/>
      <c r="AJT172" s="6"/>
      <c r="AJU172" s="6"/>
      <c r="AJV172" s="6"/>
      <c r="AJW172" s="6"/>
      <c r="AJX172" s="6"/>
      <c r="AJY172" s="6"/>
      <c r="AJZ172" s="6"/>
      <c r="AKA172" s="6"/>
      <c r="AKB172" s="6"/>
      <c r="AKC172" s="6"/>
      <c r="AKD172" s="6"/>
      <c r="AKE172" s="6"/>
      <c r="AKF172" s="6"/>
      <c r="AKG172" s="6"/>
      <c r="AKH172" s="6"/>
      <c r="AKI172" s="6"/>
      <c r="AKJ172" s="6"/>
      <c r="AKK172" s="6"/>
      <c r="AKL172" s="6"/>
      <c r="AKM172" s="6"/>
      <c r="AKN172" s="6"/>
      <c r="AKO172" s="6"/>
      <c r="AKP172" s="6"/>
      <c r="AKQ172" s="6"/>
      <c r="AKR172" s="6"/>
      <c r="AKS172" s="6"/>
      <c r="AKT172" s="6"/>
      <c r="AKU172" s="6"/>
      <c r="AKV172" s="6"/>
      <c r="AKW172" s="6"/>
      <c r="AKX172" s="6"/>
      <c r="AKY172" s="6"/>
      <c r="AKZ172" s="6"/>
      <c r="ALA172" s="6"/>
      <c r="ALB172" s="6"/>
      <c r="ALC172" s="6"/>
      <c r="ALD172" s="6"/>
      <c r="ALE172" s="6"/>
      <c r="ALF172" s="6"/>
      <c r="ALG172" s="6"/>
      <c r="ALH172" s="6"/>
      <c r="ALI172" s="6"/>
      <c r="ALJ172" s="6"/>
      <c r="ALK172" s="6"/>
      <c r="ALL172" s="6"/>
      <c r="ALM172" s="6"/>
      <c r="ALN172" s="6"/>
      <c r="ALO172" s="6"/>
      <c r="ALP172" s="6"/>
      <c r="ALQ172" s="6"/>
      <c r="ALR172" s="6"/>
      <c r="ALS172" s="6"/>
      <c r="ALT172" s="6"/>
      <c r="ALU172" s="6"/>
      <c r="ALV172" s="6"/>
      <c r="ALW172" s="6"/>
      <c r="ALX172" s="6"/>
      <c r="ALY172" s="6"/>
      <c r="ALZ172" s="6"/>
      <c r="AMA172" s="6"/>
      <c r="AMB172" s="6"/>
      <c r="AMC172" s="6"/>
      <c r="AMD172" s="6"/>
      <c r="AME172" s="6"/>
      <c r="AMF172" s="6"/>
      <c r="AMG172" s="6"/>
      <c r="AMH172" s="6"/>
      <c r="AMI172" s="6"/>
      <c r="AMJ172" s="6"/>
      <c r="AMK172" s="6"/>
      <c r="AML172" s="6"/>
      <c r="AMM172" s="6"/>
      <c r="AMN172" s="6"/>
      <c r="AMO172" s="6"/>
      <c r="AMP172" s="6"/>
    </row>
    <row r="173" spans="1:1030" x14ac:dyDescent="0.2">
      <c r="A173" s="3" t="str">
        <f t="shared" si="1007"/>
        <v>ccr5_human__wt</v>
      </c>
      <c r="B173" s="3" t="s">
        <v>173</v>
      </c>
      <c r="C173" s="3" t="s">
        <v>100</v>
      </c>
      <c r="D173" s="3" t="str">
        <f>IFERROR(MID(VLOOKUP($B173,Seqs!$A:$B,2,0),E173,1),"")</f>
        <v>K</v>
      </c>
      <c r="E173" s="3">
        <v>22</v>
      </c>
      <c r="F173" s="3" t="str">
        <f>IFERROR(MID(VLOOKUP($B173,Seqs!$A:$B,2,0),G173,1),"")</f>
        <v>C</v>
      </c>
      <c r="G173" s="3">
        <v>58</v>
      </c>
      <c r="H173" s="3" t="str">
        <f>IFERROR(MID(VLOOKUP($B173,Seqs!$A:$B,2,0),I173,1),"")</f>
        <v>K</v>
      </c>
      <c r="I173" s="23">
        <v>59</v>
      </c>
      <c r="J173" s="3" t="str">
        <f>IFERROR(MID(VLOOKUP($B173,Seqs!$A:$B,2,0),K173,1),"")</f>
        <v>K</v>
      </c>
      <c r="K173" s="23">
        <v>62</v>
      </c>
      <c r="L173" s="3" t="str">
        <f>IFERROR(MID(VLOOKUP($B173,Seqs!$A:$B,2,0),M173,1),"")</f>
        <v>S</v>
      </c>
      <c r="M173" s="3">
        <v>63</v>
      </c>
      <c r="N173" s="3" t="str">
        <f>IFERROR(MID(VLOOKUP($B173,Seqs!$A:$B,2,0),O173,1),"")</f>
        <v>A</v>
      </c>
      <c r="O173" s="3">
        <v>92</v>
      </c>
      <c r="P173" s="3" t="str">
        <f>IFERROR(MID(VLOOKUP($B173,Seqs!$A:$B,2,0),Q173,1),"")</f>
        <v>Q</v>
      </c>
      <c r="Q173" s="3">
        <v>93</v>
      </c>
      <c r="R173" s="3" t="str">
        <f>IFERROR(MID(VLOOKUP($B173,Seqs!$A:$B,2,0),S173,1),"")</f>
        <v>F</v>
      </c>
      <c r="S173" s="3">
        <v>96</v>
      </c>
      <c r="T173" s="3" t="str">
        <f>IFERROR(MID(VLOOKUP($B173,Seqs!$A:$B,2,0),U173,1),"")</f>
        <v>G</v>
      </c>
      <c r="U173" s="3">
        <v>97</v>
      </c>
      <c r="V173" s="3" t="str">
        <f>IFERROR(MID(VLOOKUP($B173,Seqs!$A:$B,2,0),W173,1),"")</f>
        <v>H</v>
      </c>
      <c r="W173" s="3">
        <v>132</v>
      </c>
      <c r="X173" s="3" t="str">
        <f>IFERROR(MID(VLOOKUP($B173,Seqs!$A:$B,2,0),Y173,1),"")</f>
        <v>A</v>
      </c>
      <c r="Y173" s="3">
        <v>133</v>
      </c>
      <c r="Z173" s="3" t="str">
        <f>IFERROR(MID(VLOOKUP($B173,Seqs!$A:$B,2,0),AA173,1),"")</f>
        <v>R</v>
      </c>
      <c r="AA173" s="3">
        <v>140</v>
      </c>
      <c r="AB173" s="3" t="str">
        <f>IFERROR(MID(VLOOKUP($B173,Seqs!$A:$B,2,0),AC173,1),"")</f>
        <v>T</v>
      </c>
      <c r="AC173" s="9">
        <v>141</v>
      </c>
      <c r="AD173" s="3" t="str">
        <f>IFERROR(MID(VLOOKUP($B173,Seqs!$A:$B,2,0),AE173,1),"")</f>
        <v>T</v>
      </c>
      <c r="AE173" s="3">
        <v>167</v>
      </c>
      <c r="AF173" s="3" t="str">
        <f>IFERROR(MID(VLOOKUP($B173,Seqs!$A:$B,2,0),AG173,1),"")</f>
        <v>C</v>
      </c>
      <c r="AG173" s="3">
        <v>178</v>
      </c>
      <c r="AH173" s="3" t="str">
        <f>IFERROR(MID(VLOOKUP($B173,Seqs!$A:$B,2,0),AI173,1),"")</f>
        <v>S</v>
      </c>
      <c r="AI173" s="3">
        <v>180</v>
      </c>
      <c r="AJ173" s="3" t="str">
        <f>IFERROR(MID(VLOOKUP($B173,Seqs!$A:$B,2,0),AK173,1),"")</f>
        <v>Q</v>
      </c>
      <c r="AK173" s="3">
        <v>186</v>
      </c>
      <c r="AL173" s="3" t="str">
        <f>IFERROR(MID(VLOOKUP($B173,Seqs!$A:$B,2,0),AM173,1),"")</f>
        <v>C</v>
      </c>
      <c r="AM173" s="3">
        <v>224</v>
      </c>
      <c r="AN173" s="3" t="str">
        <f>IFERROR(MID(VLOOKUP($B173,Seqs!$A:$B,2,0),AO173,1),"")</f>
        <v>K</v>
      </c>
      <c r="AO173" s="3">
        <v>228</v>
      </c>
      <c r="AP173" s="3" t="str">
        <f>IFERROR(MID(VLOOKUP($B173,Seqs!$A:$B,2,0),AQ173,1),"")</f>
        <v>G</v>
      </c>
      <c r="AQ173" s="3">
        <v>265</v>
      </c>
      <c r="AR173" s="3" t="str">
        <f>IFERROR(MID(VLOOKUP($B173,Seqs!$A:$B,2,0),AS173,1),"")</f>
        <v>N</v>
      </c>
      <c r="AS173" s="3">
        <v>268</v>
      </c>
      <c r="AT173" s="3" t="str">
        <f>IFERROR(MID(VLOOKUP($B173,Seqs!$A:$B,2,0),AU173,1),"")</f>
        <v>V</v>
      </c>
      <c r="AU173" s="3">
        <v>300</v>
      </c>
      <c r="AV173" s="3" t="str">
        <f>IFERROR(MID(VLOOKUP($B173,Seqs!$A:$B,2,0),AW173,1),"")</f>
        <v>G</v>
      </c>
      <c r="AW173" s="3">
        <v>301</v>
      </c>
      <c r="AX173" s="3" t="str">
        <f>IFERROR(MID(VLOOKUP($B173,Seqs!$A:$B,2,0),AY173,1),"")</f>
        <v>Q</v>
      </c>
      <c r="AY173" s="3">
        <v>313</v>
      </c>
      <c r="AZ173" s="77" t="str">
        <f>VLOOKUP(B173,Classification!A:D,2,0)</f>
        <v>A</v>
      </c>
      <c r="BA173" s="94" t="str">
        <f>VLOOKUP(B173,Classification!A:D,4,0)</f>
        <v>Chemokine</v>
      </c>
      <c r="BB173" s="27" t="b">
        <f t="shared" si="1008"/>
        <v>1</v>
      </c>
      <c r="BC173" s="23">
        <f t="shared" si="785"/>
        <v>272</v>
      </c>
      <c r="BD173" s="34" t="s">
        <v>23</v>
      </c>
      <c r="BE173" s="3" t="s">
        <v>23</v>
      </c>
      <c r="BF173" s="118" t="s">
        <v>23</v>
      </c>
      <c r="BG173" s="49" t="s">
        <v>1372</v>
      </c>
      <c r="BH173" s="49" t="s">
        <v>1377</v>
      </c>
      <c r="BI173" s="1"/>
      <c r="BJ173" s="70" t="s">
        <v>1287</v>
      </c>
      <c r="BK173" s="57" t="s">
        <v>1287</v>
      </c>
      <c r="BL173" s="57" t="s">
        <v>1287</v>
      </c>
      <c r="BM173" s="57" t="s">
        <v>1287</v>
      </c>
      <c r="BN173" s="57" t="s">
        <v>1287</v>
      </c>
      <c r="BO173" s="57" t="s">
        <v>1287</v>
      </c>
      <c r="BP173" s="57" t="s">
        <v>1287</v>
      </c>
      <c r="BQ173" s="57" t="s">
        <v>1287</v>
      </c>
      <c r="BR173" s="57" t="s">
        <v>1287</v>
      </c>
      <c r="BS173" s="57" t="s">
        <v>1287</v>
      </c>
      <c r="BT173" s="57" t="s">
        <v>1287</v>
      </c>
      <c r="BU173" s="57" t="s">
        <v>1287</v>
      </c>
      <c r="BV173" s="70">
        <f t="shared" si="786"/>
        <v>22</v>
      </c>
      <c r="BW173" s="71">
        <f t="shared" si="787"/>
        <v>59</v>
      </c>
      <c r="BX173" s="72">
        <f t="shared" si="788"/>
        <v>63</v>
      </c>
      <c r="BY173" s="71">
        <f t="shared" si="789"/>
        <v>93</v>
      </c>
      <c r="BZ173" s="72">
        <f t="shared" si="790"/>
        <v>97</v>
      </c>
      <c r="CA173" s="71">
        <f t="shared" si="791"/>
        <v>133</v>
      </c>
      <c r="CB173" s="72">
        <f t="shared" si="792"/>
        <v>141</v>
      </c>
      <c r="CC173" s="71">
        <f t="shared" si="793"/>
        <v>178</v>
      </c>
      <c r="CD173" s="72">
        <f t="shared" si="794"/>
        <v>186</v>
      </c>
      <c r="CE173" s="71">
        <f t="shared" si="795"/>
        <v>228</v>
      </c>
      <c r="CF173" s="72">
        <f t="shared" si="796"/>
        <v>268</v>
      </c>
      <c r="CG173" s="71">
        <f t="shared" si="797"/>
        <v>301</v>
      </c>
      <c r="CH173" s="70">
        <f t="shared" si="798"/>
        <v>58</v>
      </c>
      <c r="CI173" s="71">
        <f t="shared" si="799"/>
        <v>62</v>
      </c>
      <c r="CJ173" s="72">
        <f t="shared" si="800"/>
        <v>92</v>
      </c>
      <c r="CK173" s="72">
        <f t="shared" si="801"/>
        <v>96</v>
      </c>
      <c r="CL173" s="72">
        <f t="shared" si="802"/>
        <v>132</v>
      </c>
      <c r="CM173" s="72">
        <f t="shared" si="803"/>
        <v>140</v>
      </c>
      <c r="CN173" s="72">
        <f t="shared" si="804"/>
        <v>167</v>
      </c>
      <c r="CO173" s="72">
        <f t="shared" si="805"/>
        <v>180</v>
      </c>
      <c r="CP173" s="72">
        <f t="shared" si="806"/>
        <v>224</v>
      </c>
      <c r="CQ173" s="72">
        <f t="shared" si="807"/>
        <v>265</v>
      </c>
      <c r="CR173" s="72">
        <f t="shared" si="808"/>
        <v>300</v>
      </c>
      <c r="CS173" s="72">
        <f t="shared" si="809"/>
        <v>313</v>
      </c>
      <c r="CT173" s="23">
        <f t="shared" si="810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1007"/>
        <v>ccr5_human_4MBS</v>
      </c>
      <c r="B174" s="3" t="s">
        <v>173</v>
      </c>
      <c r="C174" s="3" t="s">
        <v>74</v>
      </c>
      <c r="D174" s="3" t="str">
        <f>IFERROR(MID(VLOOKUP($B174,Seqs!$A:$B,2,0),E174,1),"")</f>
        <v>V</v>
      </c>
      <c r="E174" s="3">
        <v>25</v>
      </c>
      <c r="F174" s="3" t="str">
        <f>IFERROR(MID(VLOOKUP($B174,Seqs!$A:$B,2,0),G174,1),"")</f>
        <v>C</v>
      </c>
      <c r="G174" s="3">
        <v>58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S</v>
      </c>
      <c r="M174" s="3">
        <v>63</v>
      </c>
      <c r="N174" s="3" t="str">
        <f>IFERROR(MID(VLOOKUP($B174,Seqs!$A:$B,2,0),O174,1),"")</f>
        <v>A</v>
      </c>
      <c r="O174" s="3">
        <v>92</v>
      </c>
      <c r="P174" s="3" t="str">
        <f>IFERROR(MID(VLOOKUP($B174,Seqs!$A:$B,2,0),Q174,1),"")</f>
        <v>Q</v>
      </c>
      <c r="Q174" s="3">
        <v>93</v>
      </c>
      <c r="R174" s="3" t="str">
        <f>IFERROR(MID(VLOOKUP($B174,Seqs!$A:$B,2,0),S174,1),"")</f>
        <v>F</v>
      </c>
      <c r="S174" s="3">
        <v>96</v>
      </c>
      <c r="T174" s="3" t="str">
        <f>IFERROR(MID(VLOOKUP($B174,Seqs!$A:$B,2,0),U174,1),"")</f>
        <v>G</v>
      </c>
      <c r="U174" s="3">
        <v>97</v>
      </c>
      <c r="V174" s="3" t="str">
        <f>IFERROR(MID(VLOOKUP($B174,Seqs!$A:$B,2,0),W174,1),"")</f>
        <v>H</v>
      </c>
      <c r="W174" s="3">
        <v>132</v>
      </c>
      <c r="X174" s="3" t="str">
        <f>IFERROR(MID(VLOOKUP($B174,Seqs!$A:$B,2,0),Y174,1),"")</f>
        <v>A</v>
      </c>
      <c r="Y174" s="3">
        <v>133</v>
      </c>
      <c r="Z174" s="3" t="str">
        <f>IFERROR(MID(VLOOKUP($B174,Seqs!$A:$B,2,0),AA174,1),"")</f>
        <v>R</v>
      </c>
      <c r="AA174" s="3">
        <v>140</v>
      </c>
      <c r="AB174" s="3" t="str">
        <f>IFERROR(MID(VLOOKUP($B174,Seqs!$A:$B,2,0),AC174,1),"")</f>
        <v>T</v>
      </c>
      <c r="AC174" s="9">
        <v>141</v>
      </c>
      <c r="AD174" s="3" t="str">
        <f>IFERROR(MID(VLOOKUP($B174,Seqs!$A:$B,2,0),AE174,1),"")</f>
        <v>T</v>
      </c>
      <c r="AE174" s="3">
        <v>167</v>
      </c>
      <c r="AF174" s="3" t="str">
        <f>IFERROR(MID(VLOOKUP($B174,Seqs!$A:$B,2,0),AG174,1),"")</f>
        <v>C</v>
      </c>
      <c r="AG174" s="3">
        <v>178</v>
      </c>
      <c r="AH174" s="3" t="str">
        <f>IFERROR(MID(VLOOKUP($B174,Seqs!$A:$B,2,0),AI174,1),"")</f>
        <v>S</v>
      </c>
      <c r="AI174" s="3">
        <v>180</v>
      </c>
      <c r="AJ174" s="3" t="str">
        <f>IFERROR(MID(VLOOKUP($B174,Seqs!$A:$B,2,0),AK174,1),"")</f>
        <v>Q</v>
      </c>
      <c r="AK174" s="3">
        <v>186</v>
      </c>
      <c r="AL174" s="3" t="str">
        <f>IFERROR(MID(VLOOKUP($B174,Seqs!$A:$B,2,0),AM174,1),"")</f>
        <v>R</v>
      </c>
      <c r="AM174" s="3">
        <v>223</v>
      </c>
      <c r="AN174" s="3" t="str">
        <f>IFERROR(MID(VLOOKUP($B174,Seqs!$A:$B,2,0),AO174,1),"")</f>
        <v>K</v>
      </c>
      <c r="AO174" s="3">
        <v>228</v>
      </c>
      <c r="AP174" s="3" t="str">
        <f>IFERROR(MID(VLOOKUP($B174,Seqs!$A:$B,2,0),AQ174,1),"")</f>
        <v>G</v>
      </c>
      <c r="AQ174" s="3">
        <v>265</v>
      </c>
      <c r="AR174" s="3" t="str">
        <f>IFERROR(MID(VLOOKUP($B174,Seqs!$A:$B,2,0),AS174,1),"")</f>
        <v>N</v>
      </c>
      <c r="AS174" s="3">
        <v>268</v>
      </c>
      <c r="AT174" s="3" t="str">
        <f>IFERROR(MID(VLOOKUP($B174,Seqs!$A:$B,2,0),AU174,1),"")</f>
        <v>V</v>
      </c>
      <c r="AU174" s="3">
        <v>300</v>
      </c>
      <c r="AV174" s="3" t="str">
        <f>IFERROR(MID(VLOOKUP($B174,Seqs!$A:$B,2,0),AW174,1),"")</f>
        <v>G</v>
      </c>
      <c r="AW174" s="3">
        <v>301</v>
      </c>
      <c r="AX174" s="3" t="str">
        <f>IFERROR(MID(VLOOKUP($B174,Seqs!$A:$B,2,0),AY174,1),"")</f>
        <v>Q</v>
      </c>
      <c r="AY174" s="3">
        <v>313</v>
      </c>
      <c r="AZ174" s="77" t="str">
        <f>VLOOKUP(B174,Classification!A:D,2,0)</f>
        <v>A</v>
      </c>
      <c r="BA174" s="94" t="str">
        <f>VLOOKUP(B174,Classification!A:D,4,0)</f>
        <v>Chemokine</v>
      </c>
      <c r="BB174" s="27" t="b">
        <f t="shared" si="1008"/>
        <v>1</v>
      </c>
      <c r="BC174" s="23">
        <f t="shared" si="785"/>
        <v>265</v>
      </c>
      <c r="BD174" s="2" t="s">
        <v>23</v>
      </c>
      <c r="BE174" s="3" t="s">
        <v>1374</v>
      </c>
      <c r="BF174" s="118">
        <v>2.71</v>
      </c>
      <c r="BG174" s="49" t="s">
        <v>1377</v>
      </c>
      <c r="BH174" s="49" t="s">
        <v>1377</v>
      </c>
      <c r="BI174" s="1"/>
      <c r="BJ174" s="70" t="s">
        <v>1287</v>
      </c>
      <c r="BK174" s="57" t="s">
        <v>1287</v>
      </c>
      <c r="BL174" s="57" t="s">
        <v>1287</v>
      </c>
      <c r="BM174" s="57" t="s">
        <v>1287</v>
      </c>
      <c r="BN174" s="57" t="s">
        <v>1287</v>
      </c>
      <c r="BO174" s="57" t="s">
        <v>1287</v>
      </c>
      <c r="BP174" s="57" t="s">
        <v>1287</v>
      </c>
      <c r="BQ174" s="57" t="s">
        <v>1287</v>
      </c>
      <c r="BR174" s="57" t="s">
        <v>1287</v>
      </c>
      <c r="BS174" s="57" t="s">
        <v>1287</v>
      </c>
      <c r="BT174" s="57" t="s">
        <v>1287</v>
      </c>
      <c r="BU174" s="57" t="s">
        <v>1287</v>
      </c>
      <c r="BV174" s="70">
        <f t="shared" si="786"/>
        <v>25</v>
      </c>
      <c r="BW174" s="71" t="str">
        <f t="shared" si="787"/>
        <v>-</v>
      </c>
      <c r="BX174" s="72">
        <f t="shared" si="788"/>
        <v>63</v>
      </c>
      <c r="BY174" s="71">
        <f t="shared" si="789"/>
        <v>93</v>
      </c>
      <c r="BZ174" s="72">
        <f t="shared" si="790"/>
        <v>97</v>
      </c>
      <c r="CA174" s="71">
        <f t="shared" si="791"/>
        <v>133</v>
      </c>
      <c r="CB174" s="72">
        <f t="shared" si="792"/>
        <v>141</v>
      </c>
      <c r="CC174" s="71">
        <f t="shared" si="793"/>
        <v>178</v>
      </c>
      <c r="CD174" s="72">
        <f t="shared" si="794"/>
        <v>186</v>
      </c>
      <c r="CE174" s="71">
        <f t="shared" si="795"/>
        <v>228</v>
      </c>
      <c r="CF174" s="72">
        <f t="shared" si="796"/>
        <v>268</v>
      </c>
      <c r="CG174" s="71">
        <f t="shared" si="797"/>
        <v>301</v>
      </c>
      <c r="CH174" s="70">
        <f t="shared" si="798"/>
        <v>58</v>
      </c>
      <c r="CI174" s="71" t="str">
        <f t="shared" si="799"/>
        <v>-</v>
      </c>
      <c r="CJ174" s="72">
        <f t="shared" si="800"/>
        <v>92</v>
      </c>
      <c r="CK174" s="72">
        <f t="shared" si="801"/>
        <v>96</v>
      </c>
      <c r="CL174" s="72">
        <f t="shared" si="802"/>
        <v>132</v>
      </c>
      <c r="CM174" s="72">
        <f t="shared" si="803"/>
        <v>140</v>
      </c>
      <c r="CN174" s="72">
        <f t="shared" si="804"/>
        <v>167</v>
      </c>
      <c r="CO174" s="72">
        <f t="shared" si="805"/>
        <v>180</v>
      </c>
      <c r="CP174" s="72">
        <f t="shared" si="806"/>
        <v>223</v>
      </c>
      <c r="CQ174" s="72">
        <f t="shared" si="807"/>
        <v>265</v>
      </c>
      <c r="CR174" s="72">
        <f t="shared" si="808"/>
        <v>300</v>
      </c>
      <c r="CS174" s="72">
        <f t="shared" si="809"/>
        <v>313</v>
      </c>
      <c r="CT174" s="23" t="e">
        <f t="shared" si="810"/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>CONCATENATE(B175,"_",C175)</f>
        <v>ccr5_human_5UIW</v>
      </c>
      <c r="B175" s="3" t="s">
        <v>173</v>
      </c>
      <c r="C175" s="3" t="s">
        <v>1423</v>
      </c>
      <c r="D175" s="3" t="str">
        <f>IFERROR(MID(VLOOKUP($B175,Seqs!$A:$B,2,0),E175,1),"")</f>
        <v>K</v>
      </c>
      <c r="E175" s="3">
        <v>22</v>
      </c>
      <c r="F175" s="3" t="str">
        <f>IFERROR(MID(VLOOKUP($B175,Seqs!$A:$B,2,0),G175,1),"")</f>
        <v>C</v>
      </c>
      <c r="G175" s="3">
        <v>58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S</v>
      </c>
      <c r="M175" s="3">
        <v>63</v>
      </c>
      <c r="N175" s="3" t="str">
        <f>IFERROR(MID(VLOOKUP($B175,Seqs!$A:$B,2,0),O175,1),"")</f>
        <v>A</v>
      </c>
      <c r="O175" s="3">
        <v>92</v>
      </c>
      <c r="P175" s="3" t="str">
        <f>IFERROR(MID(VLOOKUP($B175,Seqs!$A:$B,2,0),Q175,1),"")</f>
        <v>Q</v>
      </c>
      <c r="Q175" s="3">
        <v>93</v>
      </c>
      <c r="R175" s="3" t="str">
        <f>IFERROR(MID(VLOOKUP($B175,Seqs!$A:$B,2,0),S175,1),"")</f>
        <v>F</v>
      </c>
      <c r="S175" s="3">
        <v>96</v>
      </c>
      <c r="T175" s="3" t="str">
        <f>IFERROR(MID(VLOOKUP($B175,Seqs!$A:$B,2,0),U175,1),"")</f>
        <v>G</v>
      </c>
      <c r="U175" s="3">
        <v>97</v>
      </c>
      <c r="V175" s="3" t="str">
        <f>IFERROR(MID(VLOOKUP($B175,Seqs!$A:$B,2,0),W175,1),"")</f>
        <v>H</v>
      </c>
      <c r="W175" s="3">
        <v>132</v>
      </c>
      <c r="X175" s="3" t="str">
        <f>IFERROR(MID(VLOOKUP($B175,Seqs!$A:$B,2,0),Y175,1),"")</f>
        <v>A</v>
      </c>
      <c r="Y175" s="3">
        <v>133</v>
      </c>
      <c r="Z175" s="3" t="str">
        <f>IFERROR(MID(VLOOKUP($B175,Seqs!$A:$B,2,0),AA175,1),"")</f>
        <v>R</v>
      </c>
      <c r="AA175" s="3">
        <v>140</v>
      </c>
      <c r="AB175" s="3" t="str">
        <f>IFERROR(MID(VLOOKUP($B175,Seqs!$A:$B,2,0),AC175,1),"")</f>
        <v>T</v>
      </c>
      <c r="AC175" s="3">
        <v>141</v>
      </c>
      <c r="AD175" s="3" t="str">
        <f>IFERROR(MID(VLOOKUP($B175,Seqs!$A:$B,2,0),AE175,1),"")</f>
        <v>T</v>
      </c>
      <c r="AE175" s="3">
        <v>167</v>
      </c>
      <c r="AF175" s="3" t="str">
        <f>IFERROR(MID(VLOOKUP($B175,Seqs!$A:$B,2,0),AG175,1),"")</f>
        <v>C</v>
      </c>
      <c r="AG175" s="3">
        <v>178</v>
      </c>
      <c r="AH175" s="3" t="str">
        <f>IFERROR(MID(VLOOKUP($B175,Seqs!$A:$B,2,0),AI175,1),"")</f>
        <v>S</v>
      </c>
      <c r="AI175" s="3">
        <v>180</v>
      </c>
      <c r="AJ175" s="3" t="str">
        <f>IFERROR(MID(VLOOKUP($B175,Seqs!$A:$B,2,0),AK175,1),"")</f>
        <v>Q</v>
      </c>
      <c r="AK175" s="3">
        <v>186</v>
      </c>
      <c r="AL175" s="3" t="str">
        <f>IFERROR(MID(VLOOKUP($B175,Seqs!$A:$B,2,0),AM175,1),"")</f>
        <v>R</v>
      </c>
      <c r="AM175" s="3">
        <v>223</v>
      </c>
      <c r="AN175" s="3" t="str">
        <f>IFERROR(MID(VLOOKUP($B175,Seqs!$A:$B,2,0),AO175,1),"")</f>
        <v>E</v>
      </c>
      <c r="AO175" s="3">
        <v>227</v>
      </c>
      <c r="AP175" s="3" t="str">
        <f>IFERROR(MID(VLOOKUP($B175,Seqs!$A:$B,2,0),AQ175,1),"")</f>
        <v>Q</v>
      </c>
      <c r="AQ175" s="3">
        <v>261</v>
      </c>
      <c r="AR175" s="3" t="str">
        <f>IFERROR(MID(VLOOKUP($B175,Seqs!$A:$B,2,0),AS175,1),"")</f>
        <v>N</v>
      </c>
      <c r="AS175" s="3">
        <v>268</v>
      </c>
      <c r="AT175" s="3" t="str">
        <f>IFERROR(MID(VLOOKUP($B175,Seqs!$A:$B,2,0),AU175,1),"")</f>
        <v>V</v>
      </c>
      <c r="AU175" s="3">
        <v>300</v>
      </c>
      <c r="AV175" s="3" t="str">
        <f>IFERROR(MID(VLOOKUP($B175,Seqs!$A:$B,2,0),AW175,1),"")</f>
        <v>G</v>
      </c>
      <c r="AW175" s="3">
        <v>301</v>
      </c>
      <c r="AX175" s="3" t="str">
        <f>IFERROR(MID(VLOOKUP($B175,Seqs!$A:$B,2,0),AY175,1),"")</f>
        <v>I</v>
      </c>
      <c r="AY175" s="3">
        <v>316</v>
      </c>
      <c r="AZ175" s="77" t="str">
        <f>VLOOKUP(B175,Classification!A:D,2,0)</f>
        <v>A</v>
      </c>
      <c r="BA175" s="94" t="str">
        <f>VLOOKUP(B175,Classification!A:D,4,0)</f>
        <v>Chemokine</v>
      </c>
      <c r="BB175" s="27" t="b">
        <f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>_xlfn.AGGREGATE(9,6,CH175:CS175)-_xlfn.AGGREGATE(9,6,BV175:CG175)+12</f>
        <v>268</v>
      </c>
      <c r="BD175" s="2" t="s">
        <v>1376</v>
      </c>
      <c r="BE175" s="3" t="s">
        <v>1374</v>
      </c>
      <c r="BF175" s="118">
        <v>2.2000000000000002</v>
      </c>
      <c r="BG175" s="49" t="s">
        <v>1377</v>
      </c>
      <c r="BH175" s="49" t="s">
        <v>1377</v>
      </c>
      <c r="BI175" s="1"/>
      <c r="BJ175" s="70" t="s">
        <v>1287</v>
      </c>
      <c r="BK175" s="57" t="s">
        <v>1287</v>
      </c>
      <c r="BL175" s="57" t="s">
        <v>1287</v>
      </c>
      <c r="BM175" s="57" t="s">
        <v>1287</v>
      </c>
      <c r="BN175" s="57" t="s">
        <v>1287</v>
      </c>
      <c r="BO175" s="57" t="s">
        <v>1287</v>
      </c>
      <c r="BP175" s="57" t="s">
        <v>1287</v>
      </c>
      <c r="BQ175" s="57" t="s">
        <v>1287</v>
      </c>
      <c r="BR175" s="57" t="s">
        <v>1287</v>
      </c>
      <c r="BS175" s="57" t="s">
        <v>1287</v>
      </c>
      <c r="BT175" s="57" t="s">
        <v>1287</v>
      </c>
      <c r="BU175" s="57" t="s">
        <v>1287</v>
      </c>
      <c r="BV175" s="70">
        <f>E175</f>
        <v>22</v>
      </c>
      <c r="BW175" s="71" t="str">
        <f>I175</f>
        <v>-</v>
      </c>
      <c r="BX175" s="72">
        <f>M175</f>
        <v>63</v>
      </c>
      <c r="BY175" s="71">
        <f>Q175</f>
        <v>93</v>
      </c>
      <c r="BZ175" s="72">
        <f>U175</f>
        <v>97</v>
      </c>
      <c r="CA175" s="71">
        <f>Y175</f>
        <v>133</v>
      </c>
      <c r="CB175" s="72">
        <f>AC175</f>
        <v>141</v>
      </c>
      <c r="CC175" s="71">
        <f>AG175</f>
        <v>178</v>
      </c>
      <c r="CD175" s="72">
        <f>AK175</f>
        <v>186</v>
      </c>
      <c r="CE175" s="71">
        <f>AO175</f>
        <v>227</v>
      </c>
      <c r="CF175" s="72">
        <f>AS175</f>
        <v>268</v>
      </c>
      <c r="CG175" s="71">
        <f>AW175</f>
        <v>301</v>
      </c>
      <c r="CH175" s="70">
        <f>G175</f>
        <v>58</v>
      </c>
      <c r="CI175" s="71" t="str">
        <f>K175</f>
        <v>-</v>
      </c>
      <c r="CJ175" s="72">
        <f>O175</f>
        <v>92</v>
      </c>
      <c r="CK175" s="72">
        <f>S175</f>
        <v>96</v>
      </c>
      <c r="CL175" s="72">
        <f>W175</f>
        <v>132</v>
      </c>
      <c r="CM175" s="72">
        <f>AA175</f>
        <v>140</v>
      </c>
      <c r="CN175" s="72">
        <f>AE175</f>
        <v>167</v>
      </c>
      <c r="CO175" s="72">
        <f>AI175</f>
        <v>180</v>
      </c>
      <c r="CP175" s="72">
        <f>AM175</f>
        <v>223</v>
      </c>
      <c r="CQ175" s="72">
        <f>AQ175</f>
        <v>261</v>
      </c>
      <c r="CR175" s="72">
        <f>AU175</f>
        <v>300</v>
      </c>
      <c r="CS175" s="72">
        <f>AY175</f>
        <v>316</v>
      </c>
      <c r="CT175" s="23" t="e">
        <f>M175-K175</f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>CONCATENATE(B176,"_",C176)</f>
        <v>ccr5_human_6AKX</v>
      </c>
      <c r="B176" s="3" t="s">
        <v>173</v>
      </c>
      <c r="C176" s="3" t="s">
        <v>1524</v>
      </c>
      <c r="D176" s="3" t="str">
        <f>IFERROR(MID(VLOOKUP($B176,Seqs!$A:$B,2,0),E176,1),"")</f>
        <v>V</v>
      </c>
      <c r="E176" s="3">
        <v>25</v>
      </c>
      <c r="F176" s="3" t="str">
        <f>IFERROR(MID(VLOOKUP($B176,Seqs!$A:$B,2,0),G176,1),"")</f>
        <v>C</v>
      </c>
      <c r="G176" s="3">
        <v>58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S</v>
      </c>
      <c r="M176" s="3">
        <v>63</v>
      </c>
      <c r="N176" s="3" t="str">
        <f>IFERROR(MID(VLOOKUP($B176,Seqs!$A:$B,2,0),O176,1),"")</f>
        <v>A</v>
      </c>
      <c r="O176" s="3">
        <v>92</v>
      </c>
      <c r="P176" s="3" t="str">
        <f>IFERROR(MID(VLOOKUP($B176,Seqs!$A:$B,2,0),Q176,1),"")</f>
        <v>Q</v>
      </c>
      <c r="Q176" s="3">
        <v>93</v>
      </c>
      <c r="R176" s="3" t="str">
        <f>IFERROR(MID(VLOOKUP($B176,Seqs!$A:$B,2,0),S176,1),"")</f>
        <v>F</v>
      </c>
      <c r="S176" s="3">
        <v>96</v>
      </c>
      <c r="T176" s="3" t="str">
        <f>IFERROR(MID(VLOOKUP($B176,Seqs!$A:$B,2,0),U176,1),"")</f>
        <v>G</v>
      </c>
      <c r="U176" s="3">
        <v>97</v>
      </c>
      <c r="V176" s="3" t="str">
        <f>IFERROR(MID(VLOOKUP($B176,Seqs!$A:$B,2,0),W176,1),"")</f>
        <v>H</v>
      </c>
      <c r="W176" s="3">
        <v>132</v>
      </c>
      <c r="X176" s="3" t="str">
        <f>IFERROR(MID(VLOOKUP($B176,Seqs!$A:$B,2,0),Y176,1),"")</f>
        <v>A</v>
      </c>
      <c r="Y176" s="3">
        <v>133</v>
      </c>
      <c r="Z176" s="3" t="str">
        <f>IFERROR(MID(VLOOKUP($B176,Seqs!$A:$B,2,0),AA176,1),"")</f>
        <v>R</v>
      </c>
      <c r="AA176" s="3">
        <v>140</v>
      </c>
      <c r="AB176" s="3" t="str">
        <f>IFERROR(MID(VLOOKUP($B176,Seqs!$A:$B,2,0),AC176,1),"")</f>
        <v>T</v>
      </c>
      <c r="AC176" s="3">
        <v>141</v>
      </c>
      <c r="AD176" s="3" t="str">
        <f>IFERROR(MID(VLOOKUP($B176,Seqs!$A:$B,2,0),AE176,1),"")</f>
        <v>T</v>
      </c>
      <c r="AE176" s="3">
        <v>167</v>
      </c>
      <c r="AF176" s="3" t="str">
        <f>IFERROR(MID(VLOOKUP($B176,Seqs!$A:$B,2,0),AG176,1),"")</f>
        <v>C</v>
      </c>
      <c r="AG176" s="3">
        <v>178</v>
      </c>
      <c r="AH176" s="3" t="str">
        <f>IFERROR(MID(VLOOKUP($B176,Seqs!$A:$B,2,0),AI176,1),"")</f>
        <v>S</v>
      </c>
      <c r="AI176" s="3">
        <v>180</v>
      </c>
      <c r="AJ176" s="3" t="str">
        <f>IFERROR(MID(VLOOKUP($B176,Seqs!$A:$B,2,0),AK176,1),"")</f>
        <v>Q</v>
      </c>
      <c r="AK176" s="3">
        <v>186</v>
      </c>
      <c r="AL176" s="3" t="str">
        <f>IFERROR(MID(VLOOKUP($B176,Seqs!$A:$B,2,0),AM176,1),"")</f>
        <v>R</v>
      </c>
      <c r="AM176" s="3">
        <v>223</v>
      </c>
      <c r="AN176" s="3" t="str">
        <f>IFERROR(MID(VLOOKUP($B176,Seqs!$A:$B,2,0),AO176,1),"")</f>
        <v>K</v>
      </c>
      <c r="AO176" s="3">
        <v>228</v>
      </c>
      <c r="AP176" s="3" t="str">
        <f>IFERROR(MID(VLOOKUP($B176,Seqs!$A:$B,2,0),AQ176,1),"")</f>
        <v>G</v>
      </c>
      <c r="AQ176" s="3">
        <v>265</v>
      </c>
      <c r="AR176" s="3" t="str">
        <f>IFERROR(MID(VLOOKUP($B176,Seqs!$A:$B,2,0),AS176,1),"")</f>
        <v>N</v>
      </c>
      <c r="AS176" s="3">
        <v>268</v>
      </c>
      <c r="AT176" s="3" t="str">
        <f>IFERROR(MID(VLOOKUP($B176,Seqs!$A:$B,2,0),AU176,1),"")</f>
        <v>V</v>
      </c>
      <c r="AU176" s="3">
        <v>300</v>
      </c>
      <c r="AV176" s="3" t="str">
        <f>IFERROR(MID(VLOOKUP($B176,Seqs!$A:$B,2,0),AW176,1),"")</f>
        <v>G</v>
      </c>
      <c r="AW176" s="3">
        <v>301</v>
      </c>
      <c r="AX176" s="3" t="str">
        <f>IFERROR(MID(VLOOKUP($B176,Seqs!$A:$B,2,0),AY176,1),"")</f>
        <v>Q</v>
      </c>
      <c r="AY176" s="3">
        <v>313</v>
      </c>
      <c r="AZ176" s="77" t="str">
        <f>VLOOKUP(B176,Classification!A:D,2,0)</f>
        <v>A</v>
      </c>
      <c r="BA176" s="94" t="str">
        <f>VLOOKUP(B176,Classification!A:D,4,0)</f>
        <v>Chemokine</v>
      </c>
      <c r="BB176" s="27" t="b">
        <f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23">
        <f>_xlfn.AGGREGATE(9,6,CH176:CS176)-_xlfn.AGGREGATE(9,6,BV176:CG176)+12</f>
        <v>265</v>
      </c>
      <c r="BD176" s="2" t="s">
        <v>23</v>
      </c>
      <c r="BE176" s="3" t="s">
        <v>1374</v>
      </c>
      <c r="BF176" s="118">
        <v>2.8</v>
      </c>
      <c r="BG176" s="49" t="s">
        <v>1281</v>
      </c>
      <c r="BH176" s="49" t="s">
        <v>1281</v>
      </c>
      <c r="BI176" s="1"/>
      <c r="BJ176" s="70" t="s">
        <v>1287</v>
      </c>
      <c r="BK176" s="57" t="s">
        <v>1287</v>
      </c>
      <c r="BL176" s="57" t="s">
        <v>1287</v>
      </c>
      <c r="BM176" s="57" t="s">
        <v>1287</v>
      </c>
      <c r="BN176" s="57" t="s">
        <v>1287</v>
      </c>
      <c r="BO176" s="57" t="s">
        <v>1287</v>
      </c>
      <c r="BP176" s="57" t="s">
        <v>1287</v>
      </c>
      <c r="BQ176" s="57" t="s">
        <v>1287</v>
      </c>
      <c r="BR176" s="57" t="s">
        <v>1287</v>
      </c>
      <c r="BS176" s="57" t="s">
        <v>1287</v>
      </c>
      <c r="BT176" s="57" t="s">
        <v>1287</v>
      </c>
      <c r="BU176" s="57" t="s">
        <v>1287</v>
      </c>
      <c r="BV176" s="70">
        <f>E176</f>
        <v>25</v>
      </c>
      <c r="BW176" s="71" t="str">
        <f>I176</f>
        <v>-</v>
      </c>
      <c r="BX176" s="72">
        <f>M176</f>
        <v>63</v>
      </c>
      <c r="BY176" s="71">
        <f>Q176</f>
        <v>93</v>
      </c>
      <c r="BZ176" s="72">
        <f>U176</f>
        <v>97</v>
      </c>
      <c r="CA176" s="71">
        <f>Y176</f>
        <v>133</v>
      </c>
      <c r="CB176" s="72">
        <f>AC176</f>
        <v>141</v>
      </c>
      <c r="CC176" s="71">
        <f>AG176</f>
        <v>178</v>
      </c>
      <c r="CD176" s="72">
        <f>AK176</f>
        <v>186</v>
      </c>
      <c r="CE176" s="71">
        <f>AO176</f>
        <v>228</v>
      </c>
      <c r="CF176" s="72">
        <f>AS176</f>
        <v>268</v>
      </c>
      <c r="CG176" s="71">
        <f>AW176</f>
        <v>301</v>
      </c>
      <c r="CH176" s="70">
        <f>G176</f>
        <v>58</v>
      </c>
      <c r="CI176" s="71" t="str">
        <f>K176</f>
        <v>-</v>
      </c>
      <c r="CJ176" s="72">
        <f>O176</f>
        <v>92</v>
      </c>
      <c r="CK176" s="72">
        <f>S176</f>
        <v>96</v>
      </c>
      <c r="CL176" s="72">
        <f>W176</f>
        <v>132</v>
      </c>
      <c r="CM176" s="72">
        <f>AA176</f>
        <v>140</v>
      </c>
      <c r="CN176" s="72">
        <f>AE176</f>
        <v>167</v>
      </c>
      <c r="CO176" s="72">
        <f>AI176</f>
        <v>180</v>
      </c>
      <c r="CP176" s="72">
        <f>AM176</f>
        <v>223</v>
      </c>
      <c r="CQ176" s="72">
        <f>AQ176</f>
        <v>265</v>
      </c>
      <c r="CR176" s="72">
        <f>AU176</f>
        <v>300</v>
      </c>
      <c r="CS176" s="72">
        <f>AY176</f>
        <v>313</v>
      </c>
      <c r="CT176" s="23" t="e">
        <f>M176-K176</f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>CONCATENATE(B177,"_",C177)</f>
        <v>ccr5_human_6AKY</v>
      </c>
      <c r="B177" s="3" t="s">
        <v>173</v>
      </c>
      <c r="C177" s="3" t="s">
        <v>1525</v>
      </c>
      <c r="D177" s="3" t="str">
        <f>IFERROR(MID(VLOOKUP($B177,Seqs!$A:$B,2,0),E177,1),"")</f>
        <v>V</v>
      </c>
      <c r="E177" s="3">
        <v>25</v>
      </c>
      <c r="F177" s="3" t="str">
        <f>IFERROR(MID(VLOOKUP($B177,Seqs!$A:$B,2,0),G177,1),"")</f>
        <v>C</v>
      </c>
      <c r="G177" s="3">
        <v>58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S</v>
      </c>
      <c r="M177" s="3">
        <v>63</v>
      </c>
      <c r="N177" s="3" t="str">
        <f>IFERROR(MID(VLOOKUP($B177,Seqs!$A:$B,2,0),O177,1),"")</f>
        <v>A</v>
      </c>
      <c r="O177" s="3">
        <v>92</v>
      </c>
      <c r="P177" s="3" t="str">
        <f>IFERROR(MID(VLOOKUP($B177,Seqs!$A:$B,2,0),Q177,1),"")</f>
        <v>Q</v>
      </c>
      <c r="Q177" s="3">
        <v>93</v>
      </c>
      <c r="R177" s="3" t="str">
        <f>IFERROR(MID(VLOOKUP($B177,Seqs!$A:$B,2,0),S177,1),"")</f>
        <v>F</v>
      </c>
      <c r="S177" s="3">
        <v>96</v>
      </c>
      <c r="T177" s="3" t="str">
        <f>IFERROR(MID(VLOOKUP($B177,Seqs!$A:$B,2,0),U177,1),"")</f>
        <v>G</v>
      </c>
      <c r="U177" s="3">
        <v>97</v>
      </c>
      <c r="V177" s="3" t="str">
        <f>IFERROR(MID(VLOOKUP($B177,Seqs!$A:$B,2,0),W177,1),"")</f>
        <v>H</v>
      </c>
      <c r="W177" s="3">
        <v>132</v>
      </c>
      <c r="X177" s="3" t="str">
        <f>IFERROR(MID(VLOOKUP($B177,Seqs!$A:$B,2,0),Y177,1),"")</f>
        <v>A</v>
      </c>
      <c r="Y177" s="3">
        <v>133</v>
      </c>
      <c r="Z177" s="3" t="str">
        <f>IFERROR(MID(VLOOKUP($B177,Seqs!$A:$B,2,0),AA177,1),"")</f>
        <v>R</v>
      </c>
      <c r="AA177" s="3">
        <v>140</v>
      </c>
      <c r="AB177" s="3" t="str">
        <f>IFERROR(MID(VLOOKUP($B177,Seqs!$A:$B,2,0),AC177,1),"")</f>
        <v>T</v>
      </c>
      <c r="AC177" s="3">
        <v>141</v>
      </c>
      <c r="AD177" s="3" t="str">
        <f>IFERROR(MID(VLOOKUP($B177,Seqs!$A:$B,2,0),AE177,1),"")</f>
        <v>T</v>
      </c>
      <c r="AE177" s="3">
        <v>167</v>
      </c>
      <c r="AF177" s="3" t="str">
        <f>IFERROR(MID(VLOOKUP($B177,Seqs!$A:$B,2,0),AG177,1),"")</f>
        <v>C</v>
      </c>
      <c r="AG177" s="3">
        <v>178</v>
      </c>
      <c r="AH177" s="3" t="str">
        <f>IFERROR(MID(VLOOKUP($B177,Seqs!$A:$B,2,0),AI177,1),"")</f>
        <v>S</v>
      </c>
      <c r="AI177" s="3">
        <v>180</v>
      </c>
      <c r="AJ177" s="3" t="str">
        <f>IFERROR(MID(VLOOKUP($B177,Seqs!$A:$B,2,0),AK177,1),"")</f>
        <v>Q</v>
      </c>
      <c r="AK177" s="3">
        <v>186</v>
      </c>
      <c r="AL177" s="3" t="str">
        <f>IFERROR(MID(VLOOKUP($B177,Seqs!$A:$B,2,0),AM177,1),"")</f>
        <v>R</v>
      </c>
      <c r="AM177" s="3">
        <v>223</v>
      </c>
      <c r="AN177" s="3" t="str">
        <f>IFERROR(MID(VLOOKUP($B177,Seqs!$A:$B,2,0),AO177,1),"")</f>
        <v>H</v>
      </c>
      <c r="AO177" s="3">
        <v>231</v>
      </c>
      <c r="AP177" s="3" t="str">
        <f>IFERROR(MID(VLOOKUP($B177,Seqs!$A:$B,2,0),AQ177,1),"")</f>
        <v>F</v>
      </c>
      <c r="AQ177" s="3">
        <v>260</v>
      </c>
      <c r="AR177" s="3" t="str">
        <f>IFERROR(MID(VLOOKUP($B177,Seqs!$A:$B,2,0),AS177,1),"")</f>
        <v>N</v>
      </c>
      <c r="AS177" s="3">
        <v>268</v>
      </c>
      <c r="AT177" s="3" t="str">
        <f>IFERROR(MID(VLOOKUP($B177,Seqs!$A:$B,2,0),AU177,1),"")</f>
        <v>V</v>
      </c>
      <c r="AU177" s="3">
        <v>300</v>
      </c>
      <c r="AV177" s="3" t="str">
        <f>IFERROR(MID(VLOOKUP($B177,Seqs!$A:$B,2,0),AW177,1),"")</f>
        <v>G</v>
      </c>
      <c r="AW177" s="3">
        <v>301</v>
      </c>
      <c r="AX177" s="3" t="str">
        <f>IFERROR(MID(VLOOKUP($B177,Seqs!$A:$B,2,0),AY177,1),"")</f>
        <v>L</v>
      </c>
      <c r="AY177" s="3">
        <v>308</v>
      </c>
      <c r="AZ177" s="77" t="str">
        <f>VLOOKUP(B177,Classification!A:D,2,0)</f>
        <v>A</v>
      </c>
      <c r="BA177" s="94" t="str">
        <f>VLOOKUP(B177,Classification!A:D,4,0)</f>
        <v>Chemokine</v>
      </c>
      <c r="BB177" s="27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252</v>
      </c>
      <c r="BD177" s="2" t="s">
        <v>23</v>
      </c>
      <c r="BE177" s="3" t="s">
        <v>1374</v>
      </c>
      <c r="BF177" s="118">
        <v>2.8</v>
      </c>
      <c r="BG177" s="49" t="s">
        <v>1281</v>
      </c>
      <c r="BH177" s="49" t="s">
        <v>1281</v>
      </c>
      <c r="BI177" s="1"/>
      <c r="BJ177" s="70" t="s">
        <v>1287</v>
      </c>
      <c r="BK177" s="57" t="s">
        <v>1287</v>
      </c>
      <c r="BL177" s="57" t="s">
        <v>1287</v>
      </c>
      <c r="BM177" s="57" t="s">
        <v>1287</v>
      </c>
      <c r="BN177" s="57" t="s">
        <v>1287</v>
      </c>
      <c r="BO177" s="57" t="s">
        <v>1287</v>
      </c>
      <c r="BP177" s="57" t="s">
        <v>1287</v>
      </c>
      <c r="BQ177" s="57" t="s">
        <v>1287</v>
      </c>
      <c r="BR177" s="57" t="s">
        <v>1287</v>
      </c>
      <c r="BS177" s="57" t="s">
        <v>1287</v>
      </c>
      <c r="BT177" s="57" t="s">
        <v>1287</v>
      </c>
      <c r="BU177" s="57" t="s">
        <v>1287</v>
      </c>
      <c r="BV177" s="70">
        <f>E177</f>
        <v>25</v>
      </c>
      <c r="BW177" s="71" t="str">
        <f>I177</f>
        <v>-</v>
      </c>
      <c r="BX177" s="72">
        <f>M177</f>
        <v>63</v>
      </c>
      <c r="BY177" s="71">
        <f>Q177</f>
        <v>93</v>
      </c>
      <c r="BZ177" s="72">
        <f>U177</f>
        <v>97</v>
      </c>
      <c r="CA177" s="71">
        <f>Y177</f>
        <v>133</v>
      </c>
      <c r="CB177" s="72">
        <f>AC177</f>
        <v>141</v>
      </c>
      <c r="CC177" s="71">
        <f>AG177</f>
        <v>178</v>
      </c>
      <c r="CD177" s="72">
        <f>AK177</f>
        <v>186</v>
      </c>
      <c r="CE177" s="71">
        <f>AO177</f>
        <v>231</v>
      </c>
      <c r="CF177" s="72">
        <f>AS177</f>
        <v>268</v>
      </c>
      <c r="CG177" s="71">
        <f>AW177</f>
        <v>301</v>
      </c>
      <c r="CH177" s="70">
        <f>G177</f>
        <v>58</v>
      </c>
      <c r="CI177" s="71" t="str">
        <f>K177</f>
        <v>-</v>
      </c>
      <c r="CJ177" s="72">
        <f>O177</f>
        <v>92</v>
      </c>
      <c r="CK177" s="72">
        <f>S177</f>
        <v>96</v>
      </c>
      <c r="CL177" s="72">
        <f>W177</f>
        <v>132</v>
      </c>
      <c r="CM177" s="72">
        <f>AA177</f>
        <v>140</v>
      </c>
      <c r="CN177" s="72">
        <f>AE177</f>
        <v>167</v>
      </c>
      <c r="CO177" s="72">
        <f>AI177</f>
        <v>180</v>
      </c>
      <c r="CP177" s="72">
        <f>AM177</f>
        <v>223</v>
      </c>
      <c r="CQ177" s="72">
        <f>AQ177</f>
        <v>260</v>
      </c>
      <c r="CR177" s="72">
        <f>AU177</f>
        <v>300</v>
      </c>
      <c r="CS177" s="72">
        <f>AY177</f>
        <v>308</v>
      </c>
      <c r="CT177" s="23" t="e">
        <f>M177-K177</f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>CONCATENATE(B178,"_",C178)</f>
        <v>ccr5_human_6MEO</v>
      </c>
      <c r="B178" s="3" t="s">
        <v>173</v>
      </c>
      <c r="C178" s="3" t="s">
        <v>1541</v>
      </c>
      <c r="D178" s="3" t="str">
        <f>IFERROR(MID(VLOOKUP($B178,Seqs!$A:$B,2,0),E178,1),"")</f>
        <v>K</v>
      </c>
      <c r="E178" s="3">
        <v>26</v>
      </c>
      <c r="F178" s="3" t="str">
        <f>IFERROR(MID(VLOOKUP($B178,Seqs!$A:$B,2,0),G178,1),"")</f>
        <v>R</v>
      </c>
      <c r="G178" s="3">
        <v>60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S</v>
      </c>
      <c r="M178" s="3">
        <v>63</v>
      </c>
      <c r="N178" s="3" t="str">
        <f>IFERROR(MID(VLOOKUP($B178,Seqs!$A:$B,2,0),O178,1),"")</f>
        <v>A</v>
      </c>
      <c r="O178" s="3">
        <v>90</v>
      </c>
      <c r="P178" s="3" t="str">
        <f>IFERROR(MID(VLOOKUP($B178,Seqs!$A:$B,2,0),Q178,1),"")</f>
        <v>Q</v>
      </c>
      <c r="Q178" s="3">
        <v>93</v>
      </c>
      <c r="R178" s="3" t="str">
        <f>IFERROR(MID(VLOOKUP($B178,Seqs!$A:$B,2,0),S178,1),"")</f>
        <v>F</v>
      </c>
      <c r="S178" s="3">
        <v>96</v>
      </c>
      <c r="T178" s="3" t="str">
        <f>IFERROR(MID(VLOOKUP($B178,Seqs!$A:$B,2,0),U178,1),"")</f>
        <v>M</v>
      </c>
      <c r="U178" s="3">
        <v>100</v>
      </c>
      <c r="V178" s="3" t="str">
        <f>IFERROR(MID(VLOOKUP($B178,Seqs!$A:$B,2,0),W178,1),"")</f>
        <v>H</v>
      </c>
      <c r="W178" s="3">
        <v>132</v>
      </c>
      <c r="X178" s="3" t="str">
        <f>IFERROR(MID(VLOOKUP($B178,Seqs!$A:$B,2,0),Y178,1),"")</f>
        <v>A</v>
      </c>
      <c r="Y178" s="3">
        <v>133</v>
      </c>
      <c r="Z178" s="3" t="str">
        <f>IFERROR(MID(VLOOKUP($B178,Seqs!$A:$B,2,0),AA178,1),"")</f>
        <v>R</v>
      </c>
      <c r="AA178" s="3">
        <v>140</v>
      </c>
      <c r="AB178" s="3" t="str">
        <f>IFERROR(MID(VLOOKUP($B178,Seqs!$A:$B,2,0),AC178,1),"")</f>
        <v>T</v>
      </c>
      <c r="AC178" s="3">
        <v>141</v>
      </c>
      <c r="AD178" s="3" t="str">
        <f>IFERROR(MID(VLOOKUP($B178,Seqs!$A:$B,2,0),AE178,1),"")</f>
        <v>I</v>
      </c>
      <c r="AE178" s="3">
        <v>165</v>
      </c>
      <c r="AF178" s="3" t="str">
        <f>IFERROR(MID(VLOOKUP($B178,Seqs!$A:$B,2,0),AG178,1),"")</f>
        <v>C</v>
      </c>
      <c r="AG178" s="3">
        <v>178</v>
      </c>
      <c r="AH178" s="3" t="str">
        <f>IFERROR(MID(VLOOKUP($B178,Seqs!$A:$B,2,0),AI178,1),"")</f>
        <v>S</v>
      </c>
      <c r="AI178" s="3">
        <v>180</v>
      </c>
      <c r="AJ178" s="3" t="str">
        <f>IFERROR(MID(VLOOKUP($B178,Seqs!$A:$B,2,0),AK178,1),"")</f>
        <v>Q</v>
      </c>
      <c r="AK178" s="3">
        <v>186</v>
      </c>
      <c r="AL178" s="3" t="str">
        <f>IFERROR(MID(VLOOKUP($B178,Seqs!$A:$B,2,0),AM178,1),"")</f>
        <v>C</v>
      </c>
      <c r="AM178" s="3">
        <v>224</v>
      </c>
      <c r="AN178" s="3" t="str">
        <f>IFERROR(MID(VLOOKUP($B178,Seqs!$A:$B,2,0),AO178,1),"")</f>
        <v>K</v>
      </c>
      <c r="AO178" s="3">
        <v>228</v>
      </c>
      <c r="AP178" s="3" t="str">
        <f>IFERROR(MID(VLOOKUP($B178,Seqs!$A:$B,2,0),AQ178,1),"")</f>
        <v>F</v>
      </c>
      <c r="AQ178" s="3">
        <v>260</v>
      </c>
      <c r="AR178" s="3" t="str">
        <f>IFERROR(MID(VLOOKUP($B178,Seqs!$A:$B,2,0),AS178,1),"")</f>
        <v>N</v>
      </c>
      <c r="AS178" s="3">
        <v>268</v>
      </c>
      <c r="AT178" s="3" t="str">
        <f>IFERROR(MID(VLOOKUP($B178,Seqs!$A:$B,2,0),AU178,1),"")</f>
        <v>V</v>
      </c>
      <c r="AU178" s="3">
        <v>300</v>
      </c>
      <c r="AV178" s="3" t="str">
        <f>IFERROR(MID(VLOOKUP($B178,Seqs!$A:$B,2,0),AW178,1),"")</f>
        <v/>
      </c>
      <c r="AW178" s="3" t="s">
        <v>23</v>
      </c>
      <c r="AX178" s="3" t="str">
        <f>IFERROR(MID(VLOOKUP($B178,Seqs!$A:$B,2,0),AY178,1),"")</f>
        <v/>
      </c>
      <c r="AY178" s="3" t="s">
        <v>23</v>
      </c>
      <c r="AZ178" s="77" t="str">
        <f>VLOOKUP(B178,Classification!A:D,2,0)</f>
        <v>A</v>
      </c>
      <c r="BA178" s="94" t="str">
        <f>VLOOKUP(B178,Classification!A:D,4,0)</f>
        <v>Chemokine</v>
      </c>
      <c r="BB178" s="27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>_xlfn.AGGREGATE(9,6,CH178:CS178)-_xlfn.AGGREGATE(9,6,BV178:CG178)+12</f>
        <v>243</v>
      </c>
      <c r="BD178" s="2" t="s">
        <v>23</v>
      </c>
      <c r="BE178" s="3" t="s">
        <v>1374</v>
      </c>
      <c r="BF178" s="118">
        <v>3.9</v>
      </c>
      <c r="BG178" s="49" t="s">
        <v>1281</v>
      </c>
      <c r="BH178" s="49" t="s">
        <v>1281</v>
      </c>
      <c r="BI178" s="1"/>
      <c r="BJ178" s="70" t="s">
        <v>1287</v>
      </c>
      <c r="BK178" s="57" t="s">
        <v>1287</v>
      </c>
      <c r="BL178" s="57" t="s">
        <v>1287</v>
      </c>
      <c r="BM178" s="57" t="s">
        <v>1287</v>
      </c>
      <c r="BN178" s="57" t="s">
        <v>1287</v>
      </c>
      <c r="BO178" s="57" t="s">
        <v>1287</v>
      </c>
      <c r="BP178" s="57" t="s">
        <v>1287</v>
      </c>
      <c r="BQ178" s="57" t="s">
        <v>1287</v>
      </c>
      <c r="BR178" s="57" t="s">
        <v>1287</v>
      </c>
      <c r="BS178" s="57" t="s">
        <v>1287</v>
      </c>
      <c r="BT178" s="57" t="s">
        <v>1287</v>
      </c>
      <c r="BU178" s="57" t="s">
        <v>1287</v>
      </c>
      <c r="BV178" s="70">
        <f>E178</f>
        <v>26</v>
      </c>
      <c r="BW178" s="71" t="str">
        <f>I178</f>
        <v>-</v>
      </c>
      <c r="BX178" s="72">
        <f>M178</f>
        <v>63</v>
      </c>
      <c r="BY178" s="71">
        <f>Q178</f>
        <v>93</v>
      </c>
      <c r="BZ178" s="72">
        <f>U178</f>
        <v>100</v>
      </c>
      <c r="CA178" s="71">
        <f>Y178</f>
        <v>133</v>
      </c>
      <c r="CB178" s="72">
        <f>AC178</f>
        <v>141</v>
      </c>
      <c r="CC178" s="71">
        <f>AG178</f>
        <v>178</v>
      </c>
      <c r="CD178" s="72">
        <f>AK178</f>
        <v>186</v>
      </c>
      <c r="CE178" s="71">
        <f>AO178</f>
        <v>228</v>
      </c>
      <c r="CF178" s="72">
        <f>AS178</f>
        <v>268</v>
      </c>
      <c r="CG178" s="71" t="str">
        <f>AW178</f>
        <v>-</v>
      </c>
      <c r="CH178" s="70">
        <f>G178</f>
        <v>60</v>
      </c>
      <c r="CI178" s="71" t="str">
        <f>K178</f>
        <v>-</v>
      </c>
      <c r="CJ178" s="72">
        <f>O178</f>
        <v>90</v>
      </c>
      <c r="CK178" s="72">
        <f>S178</f>
        <v>96</v>
      </c>
      <c r="CL178" s="72">
        <f>W178</f>
        <v>132</v>
      </c>
      <c r="CM178" s="72">
        <f>AA178</f>
        <v>140</v>
      </c>
      <c r="CN178" s="72">
        <f>AE178</f>
        <v>165</v>
      </c>
      <c r="CO178" s="72">
        <f>AI178</f>
        <v>180</v>
      </c>
      <c r="CP178" s="72">
        <f>AM178</f>
        <v>224</v>
      </c>
      <c r="CQ178" s="72">
        <f>AQ178</f>
        <v>260</v>
      </c>
      <c r="CR178" s="72">
        <f>AU178</f>
        <v>300</v>
      </c>
      <c r="CS178" s="72" t="str">
        <f>AY178</f>
        <v>-</v>
      </c>
      <c r="CT178" s="23" t="e">
        <f>M178-K178</f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>CONCATENATE(B179,"_",C179)</f>
        <v>ccr5_human_6MET</v>
      </c>
      <c r="B179" s="3" t="s">
        <v>173</v>
      </c>
      <c r="C179" s="3" t="s">
        <v>1540</v>
      </c>
      <c r="D179" s="3" t="str">
        <f>IFERROR(MID(VLOOKUP($B179,Seqs!$A:$B,2,0),E179,1),"")</f>
        <v>K</v>
      </c>
      <c r="E179" s="3">
        <v>26</v>
      </c>
      <c r="F179" s="3" t="str">
        <f>IFERROR(MID(VLOOKUP($B179,Seqs!$A:$B,2,0),G179,1),"")</f>
        <v>R</v>
      </c>
      <c r="G179" s="3">
        <v>60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S</v>
      </c>
      <c r="M179" s="3">
        <v>63</v>
      </c>
      <c r="N179" s="3" t="str">
        <f>IFERROR(MID(VLOOKUP($B179,Seqs!$A:$B,2,0),O179,1),"")</f>
        <v>A</v>
      </c>
      <c r="O179" s="3">
        <v>90</v>
      </c>
      <c r="P179" s="3" t="str">
        <f>IFERROR(MID(VLOOKUP($B179,Seqs!$A:$B,2,0),Q179,1),"")</f>
        <v>Q</v>
      </c>
      <c r="Q179" s="3">
        <v>93</v>
      </c>
      <c r="R179" s="3" t="str">
        <f>IFERROR(MID(VLOOKUP($B179,Seqs!$A:$B,2,0),S179,1),"")</f>
        <v>F</v>
      </c>
      <c r="S179" s="3">
        <v>96</v>
      </c>
      <c r="T179" s="3" t="str">
        <f>IFERROR(MID(VLOOKUP($B179,Seqs!$A:$B,2,0),U179,1),"")</f>
        <v>M</v>
      </c>
      <c r="U179" s="3">
        <v>100</v>
      </c>
      <c r="V179" s="3" t="str">
        <f>IFERROR(MID(VLOOKUP($B179,Seqs!$A:$B,2,0),W179,1),"")</f>
        <v>H</v>
      </c>
      <c r="W179" s="3">
        <v>132</v>
      </c>
      <c r="X179" s="3" t="str">
        <f>IFERROR(MID(VLOOKUP($B179,Seqs!$A:$B,2,0),Y179,1),"")</f>
        <v>A</v>
      </c>
      <c r="Y179" s="3">
        <v>133</v>
      </c>
      <c r="Z179" s="3" t="str">
        <f>IFERROR(MID(VLOOKUP($B179,Seqs!$A:$B,2,0),AA179,1),"")</f>
        <v>R</v>
      </c>
      <c r="AA179" s="3">
        <v>140</v>
      </c>
      <c r="AB179" s="3" t="str">
        <f>IFERROR(MID(VLOOKUP($B179,Seqs!$A:$B,2,0),AC179,1),"")</f>
        <v>T</v>
      </c>
      <c r="AC179" s="3">
        <v>141</v>
      </c>
      <c r="AD179" s="3" t="str">
        <f>IFERROR(MID(VLOOKUP($B179,Seqs!$A:$B,2,0),AE179,1),"")</f>
        <v>I</v>
      </c>
      <c r="AE179" s="3">
        <v>165</v>
      </c>
      <c r="AF179" s="3" t="str">
        <f>IFERROR(MID(VLOOKUP($B179,Seqs!$A:$B,2,0),AG179,1),"")</f>
        <v>C</v>
      </c>
      <c r="AG179" s="3">
        <v>178</v>
      </c>
      <c r="AH179" s="3" t="str">
        <f>IFERROR(MID(VLOOKUP($B179,Seqs!$A:$B,2,0),AI179,1),"")</f>
        <v>S</v>
      </c>
      <c r="AI179" s="3">
        <v>180</v>
      </c>
      <c r="AJ179" s="3" t="str">
        <f>IFERROR(MID(VLOOKUP($B179,Seqs!$A:$B,2,0),AK179,1),"")</f>
        <v>Q</v>
      </c>
      <c r="AK179" s="3">
        <v>186</v>
      </c>
      <c r="AL179" s="3" t="str">
        <f>IFERROR(MID(VLOOKUP($B179,Seqs!$A:$B,2,0),AM179,1),"")</f>
        <v>C</v>
      </c>
      <c r="AM179" s="3">
        <v>224</v>
      </c>
      <c r="AN179" s="3" t="str">
        <f>IFERROR(MID(VLOOKUP($B179,Seqs!$A:$B,2,0),AO179,1),"")</f>
        <v>K</v>
      </c>
      <c r="AO179" s="3">
        <v>228</v>
      </c>
      <c r="AP179" s="3" t="str">
        <f>IFERROR(MID(VLOOKUP($B179,Seqs!$A:$B,2,0),AQ179,1),"")</f>
        <v>F</v>
      </c>
      <c r="AQ179" s="3">
        <v>260</v>
      </c>
      <c r="AR179" s="3" t="str">
        <f>IFERROR(MID(VLOOKUP($B179,Seqs!$A:$B,2,0),AS179,1),"")</f>
        <v>N</v>
      </c>
      <c r="AS179" s="3">
        <v>268</v>
      </c>
      <c r="AT179" s="3" t="str">
        <f>IFERROR(MID(VLOOKUP($B179,Seqs!$A:$B,2,0),AU179,1),"")</f>
        <v>V</v>
      </c>
      <c r="AU179" s="3">
        <v>300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7" t="str">
        <f>VLOOKUP(B179,Classification!A:D,2,0)</f>
        <v>A</v>
      </c>
      <c r="BA179" s="94" t="str">
        <f>VLOOKUP(B179,Classification!A:D,4,0)</f>
        <v>Chemokine</v>
      </c>
      <c r="BB179" s="27" t="b">
        <f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>_xlfn.AGGREGATE(9,6,CH179:CS179)-_xlfn.AGGREGATE(9,6,BV179:CG179)+12</f>
        <v>243</v>
      </c>
      <c r="BD179" s="2" t="s">
        <v>23</v>
      </c>
      <c r="BE179" s="3" t="s">
        <v>1374</v>
      </c>
      <c r="BF179" s="118">
        <v>4.5</v>
      </c>
      <c r="BG179" s="49" t="s">
        <v>1281</v>
      </c>
      <c r="BH179" s="49" t="s">
        <v>1281</v>
      </c>
      <c r="BI179" s="1"/>
      <c r="BJ179" s="70" t="s">
        <v>1287</v>
      </c>
      <c r="BK179" s="57" t="s">
        <v>1287</v>
      </c>
      <c r="BL179" s="57" t="s">
        <v>1287</v>
      </c>
      <c r="BM179" s="57" t="s">
        <v>1287</v>
      </c>
      <c r="BN179" s="57" t="s">
        <v>1287</v>
      </c>
      <c r="BO179" s="57" t="s">
        <v>1287</v>
      </c>
      <c r="BP179" s="57" t="s">
        <v>1287</v>
      </c>
      <c r="BQ179" s="57" t="s">
        <v>1287</v>
      </c>
      <c r="BR179" s="57" t="s">
        <v>1287</v>
      </c>
      <c r="BS179" s="57" t="s">
        <v>1287</v>
      </c>
      <c r="BT179" s="57" t="s">
        <v>1287</v>
      </c>
      <c r="BU179" s="57" t="s">
        <v>1287</v>
      </c>
      <c r="BV179" s="70">
        <f>E179</f>
        <v>26</v>
      </c>
      <c r="BW179" s="71" t="str">
        <f>I179</f>
        <v>-</v>
      </c>
      <c r="BX179" s="72">
        <f>M179</f>
        <v>63</v>
      </c>
      <c r="BY179" s="71">
        <f>Q179</f>
        <v>93</v>
      </c>
      <c r="BZ179" s="72">
        <f>U179</f>
        <v>100</v>
      </c>
      <c r="CA179" s="71">
        <f>Y179</f>
        <v>133</v>
      </c>
      <c r="CB179" s="72">
        <f>AC179</f>
        <v>141</v>
      </c>
      <c r="CC179" s="71">
        <f>AG179</f>
        <v>178</v>
      </c>
      <c r="CD179" s="72">
        <f>AK179</f>
        <v>186</v>
      </c>
      <c r="CE179" s="71">
        <f>AO179</f>
        <v>228</v>
      </c>
      <c r="CF179" s="72">
        <f>AS179</f>
        <v>268</v>
      </c>
      <c r="CG179" s="71" t="str">
        <f>AW179</f>
        <v>-</v>
      </c>
      <c r="CH179" s="70">
        <f>G179</f>
        <v>60</v>
      </c>
      <c r="CI179" s="71" t="str">
        <f>K179</f>
        <v>-</v>
      </c>
      <c r="CJ179" s="72">
        <f>O179</f>
        <v>90</v>
      </c>
      <c r="CK179" s="72">
        <f>S179</f>
        <v>96</v>
      </c>
      <c r="CL179" s="72">
        <f>W179</f>
        <v>132</v>
      </c>
      <c r="CM179" s="72">
        <f>AA179</f>
        <v>140</v>
      </c>
      <c r="CN179" s="72">
        <f>AE179</f>
        <v>165</v>
      </c>
      <c r="CO179" s="72">
        <f>AI179</f>
        <v>180</v>
      </c>
      <c r="CP179" s="72">
        <f>AM179</f>
        <v>224</v>
      </c>
      <c r="CQ179" s="72">
        <f>AQ179</f>
        <v>260</v>
      </c>
      <c r="CR179" s="72">
        <f>AU179</f>
        <v>300</v>
      </c>
      <c r="CS179" s="72" t="str">
        <f>AY179</f>
        <v>-</v>
      </c>
      <c r="CT179" s="23" t="e">
        <f>M179-K179</f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s="12" customFormat="1" x14ac:dyDescent="0.2">
      <c r="A180" s="9" t="str">
        <f t="shared" ref="A180:A181" si="1344">CONCATENATE(B180,"_",C180)</f>
        <v>ccr7_human__wt</v>
      </c>
      <c r="B180" s="9" t="s">
        <v>175</v>
      </c>
      <c r="C180" s="9" t="s">
        <v>100</v>
      </c>
      <c r="D180" s="9" t="str">
        <f>IFERROR(MID(VLOOKUP($B180,Seqs!$A:$B,2,0),E180,1),"")</f>
        <v>N</v>
      </c>
      <c r="E180" s="9">
        <v>55</v>
      </c>
      <c r="F180" s="9" t="str">
        <f>IFERROR(MID(VLOOKUP($B180,Seqs!$A:$B,2,0),G180,1),"")</f>
        <v>F</v>
      </c>
      <c r="G180" s="9">
        <v>86</v>
      </c>
      <c r="H180" s="9" t="str">
        <f>IFERROR(MID(VLOOKUP($B180,Seqs!$A:$B,2,0),I180,1),"")</f>
        <v>K</v>
      </c>
      <c r="I180" s="109">
        <v>87</v>
      </c>
      <c r="J180" s="9" t="str">
        <f>IFERROR(MID(VLOOKUP($B180,Seqs!$A:$B,2,0),K180,1),"")</f>
        <v>K</v>
      </c>
      <c r="K180" s="109">
        <v>90</v>
      </c>
      <c r="L180" s="9" t="str">
        <f>IFERROR(MID(VLOOKUP($B180,Seqs!$A:$B,2,0),M180,1),"")</f>
        <v>T</v>
      </c>
      <c r="M180" s="9">
        <v>91</v>
      </c>
      <c r="N180" s="9" t="str">
        <f>IFERROR(MID(VLOOKUP($B180,Seqs!$A:$B,2,0),O180,1),"")</f>
        <v>K</v>
      </c>
      <c r="O180" s="9">
        <v>120</v>
      </c>
      <c r="P180" s="9" t="str">
        <f>IFERROR(MID(VLOOKUP($B180,Seqs!$A:$B,2,0),Q180,1),"")</f>
        <v>S</v>
      </c>
      <c r="Q180" s="9">
        <v>121</v>
      </c>
      <c r="R180" s="9" t="str">
        <f>IFERROR(MID(VLOOKUP($B180,Seqs!$A:$B,2,0),S180,1),"")</f>
        <v>F</v>
      </c>
      <c r="S180" s="9">
        <v>124</v>
      </c>
      <c r="T180" s="9" t="str">
        <f>IFERROR(MID(VLOOKUP($B180,Seqs!$A:$B,2,0),U180,1),"")</f>
        <v>G</v>
      </c>
      <c r="U180" s="9">
        <v>125</v>
      </c>
      <c r="V180" s="9" t="str">
        <f>IFERROR(MID(VLOOKUP($B180,Seqs!$A:$B,2,0),W180,1),"")</f>
        <v>Q</v>
      </c>
      <c r="W180" s="9">
        <v>160</v>
      </c>
      <c r="X180" s="9" t="str">
        <f>IFERROR(MID(VLOOKUP($B180,Seqs!$A:$B,2,0),Y180,1),"")</f>
        <v>A</v>
      </c>
      <c r="Y180" s="9">
        <v>161</v>
      </c>
      <c r="Z180" s="9" t="str">
        <f>IFERROR(MID(VLOOKUP($B180,Seqs!$A:$B,2,0),AA180,1),"")</f>
        <v>A</v>
      </c>
      <c r="AA180" s="9">
        <v>169</v>
      </c>
      <c r="AB180" s="9" t="str">
        <f>IFERROR(MID(VLOOKUP($B180,Seqs!$A:$B,2,0),AC180,1),"")</f>
        <v>V</v>
      </c>
      <c r="AC180" s="9">
        <v>171</v>
      </c>
      <c r="AD180" s="9" t="str">
        <f>IFERROR(MID(VLOOKUP($B180,Seqs!$A:$B,2,0),AE180,1),"")</f>
        <v>S</v>
      </c>
      <c r="AE180" s="9">
        <v>197</v>
      </c>
      <c r="AF180" s="9" t="str">
        <f>IFERROR(MID(VLOOKUP($B180,Seqs!$A:$B,2,0),AG180,1),"")</f>
        <v>C</v>
      </c>
      <c r="AG180" s="9">
        <v>210</v>
      </c>
      <c r="AH180" s="9" t="str">
        <f>IFERROR(MID(VLOOKUP($B180,Seqs!$A:$B,2,0),AI180,1),"")</f>
        <v>L</v>
      </c>
      <c r="AI180" s="9">
        <v>212</v>
      </c>
      <c r="AJ180" s="9" t="str">
        <f>IFERROR(MID(VLOOKUP($B180,Seqs!$A:$B,2,0),AK180,1),"")</f>
        <v>E</v>
      </c>
      <c r="AK180" s="9">
        <v>218</v>
      </c>
      <c r="AL180" s="9" t="str">
        <f>IFERROR(MID(VLOOKUP($B180,Seqs!$A:$B,2,0),AM180,1),"")</f>
        <v>A</v>
      </c>
      <c r="AM180" s="9">
        <v>253</v>
      </c>
      <c r="AN180" s="9" t="str">
        <f>IFERROR(MID(VLOOKUP($B180,Seqs!$A:$B,2,0),AO180,1),"")</f>
        <v>R</v>
      </c>
      <c r="AO180" s="9">
        <v>258</v>
      </c>
      <c r="AP180" s="9" t="str">
        <f>IFERROR(MID(VLOOKUP($B180,Seqs!$A:$B,2,0),AQ180,1),"")</f>
        <v>I</v>
      </c>
      <c r="AQ180" s="9">
        <v>293</v>
      </c>
      <c r="AR180" s="9" t="str">
        <f>IFERROR(MID(VLOOKUP($B180,Seqs!$A:$B,2,0),AS180,1),"")</f>
        <v>T</v>
      </c>
      <c r="AS180" s="9">
        <v>297</v>
      </c>
      <c r="AT180" s="9" t="str">
        <f>IFERROR(MID(VLOOKUP($B180,Seqs!$A:$B,2,0),AU180,1),"")</f>
        <v>I</v>
      </c>
      <c r="AU180" s="9">
        <v>329</v>
      </c>
      <c r="AV180" s="9" t="str">
        <f>IFERROR(MID(VLOOKUP($B180,Seqs!$A:$B,2,0),AW180,1),"")</f>
        <v>G</v>
      </c>
      <c r="AW180" s="9">
        <v>330</v>
      </c>
      <c r="AX180" s="9" t="str">
        <f>IFERROR(MID(VLOOKUP($B180,Seqs!$A:$B,2,0),AY180,1),"")</f>
        <v>K</v>
      </c>
      <c r="AY180" s="9">
        <v>342</v>
      </c>
      <c r="AZ180" s="110" t="str">
        <f>VLOOKUP(B180,Classification!A:D,2,0)</f>
        <v>A</v>
      </c>
      <c r="BA180" s="98" t="str">
        <f>VLOOKUP(B180,Classification!A:D,4,0)</f>
        <v>Chemokine</v>
      </c>
      <c r="BB180" s="36" t="b">
        <f t="shared" ref="BB180:BB181" si="1345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109">
        <f t="shared" ref="BC180:BC181" si="1346">_xlfn.AGGREGATE(9,6,CH180:CS180)-_xlfn.AGGREGATE(9,6,BV180:CG180)+12</f>
        <v>263</v>
      </c>
      <c r="BD180" s="40" t="s">
        <v>23</v>
      </c>
      <c r="BE180" s="9" t="s">
        <v>1374</v>
      </c>
      <c r="BF180" s="119">
        <v>5.5</v>
      </c>
      <c r="BG180" s="51" t="s">
        <v>1281</v>
      </c>
      <c r="BH180" s="51" t="s">
        <v>1281</v>
      </c>
      <c r="BJ180" s="111" t="s">
        <v>1287</v>
      </c>
      <c r="BK180" s="112" t="s">
        <v>1287</v>
      </c>
      <c r="BL180" s="112" t="s">
        <v>1287</v>
      </c>
      <c r="BM180" s="112" t="s">
        <v>1287</v>
      </c>
      <c r="BN180" s="112" t="s">
        <v>1287</v>
      </c>
      <c r="BO180" s="112" t="s">
        <v>1287</v>
      </c>
      <c r="BP180" s="112" t="s">
        <v>1287</v>
      </c>
      <c r="BQ180" s="112" t="s">
        <v>1287</v>
      </c>
      <c r="BR180" s="112" t="s">
        <v>1287</v>
      </c>
      <c r="BS180" s="112" t="s">
        <v>1287</v>
      </c>
      <c r="BT180" s="112" t="s">
        <v>1287</v>
      </c>
      <c r="BU180" s="112" t="s">
        <v>1287</v>
      </c>
      <c r="BV180" s="111">
        <f t="shared" ref="BV180:BV181" si="1347">E180</f>
        <v>55</v>
      </c>
      <c r="BW180" s="113">
        <f t="shared" ref="BW180:BW181" si="1348">I180</f>
        <v>87</v>
      </c>
      <c r="BX180" s="114">
        <f t="shared" ref="BX180:BX181" si="1349">M180</f>
        <v>91</v>
      </c>
      <c r="BY180" s="113">
        <f t="shared" ref="BY180:BY181" si="1350">Q180</f>
        <v>121</v>
      </c>
      <c r="BZ180" s="114">
        <f t="shared" ref="BZ180:BZ181" si="1351">U180</f>
        <v>125</v>
      </c>
      <c r="CA180" s="113">
        <f t="shared" ref="CA180:CA181" si="1352">Y180</f>
        <v>161</v>
      </c>
      <c r="CB180" s="114">
        <f t="shared" ref="CB180:CB181" si="1353">AC180</f>
        <v>171</v>
      </c>
      <c r="CC180" s="113">
        <f t="shared" ref="CC180:CC181" si="1354">AG180</f>
        <v>210</v>
      </c>
      <c r="CD180" s="114">
        <f t="shared" ref="CD180:CD181" si="1355">AK180</f>
        <v>218</v>
      </c>
      <c r="CE180" s="113">
        <f t="shared" ref="CE180:CE181" si="1356">AO180</f>
        <v>258</v>
      </c>
      <c r="CF180" s="114">
        <f t="shared" ref="CF180:CF181" si="1357">AS180</f>
        <v>297</v>
      </c>
      <c r="CG180" s="113">
        <f t="shared" ref="CG180:CG181" si="1358">AW180</f>
        <v>330</v>
      </c>
      <c r="CH180" s="111">
        <f t="shared" ref="CH180:CH181" si="1359">G180</f>
        <v>86</v>
      </c>
      <c r="CI180" s="113">
        <f t="shared" ref="CI180:CI181" si="1360">K180</f>
        <v>90</v>
      </c>
      <c r="CJ180" s="114">
        <f t="shared" ref="CJ180:CJ181" si="1361">O180</f>
        <v>120</v>
      </c>
      <c r="CK180" s="114">
        <f t="shared" ref="CK180:CK181" si="1362">S180</f>
        <v>124</v>
      </c>
      <c r="CL180" s="114">
        <f t="shared" ref="CL180:CL181" si="1363">W180</f>
        <v>160</v>
      </c>
      <c r="CM180" s="114">
        <f t="shared" ref="CM180:CM181" si="1364">AA180</f>
        <v>169</v>
      </c>
      <c r="CN180" s="114">
        <f t="shared" ref="CN180:CN181" si="1365">AE180</f>
        <v>197</v>
      </c>
      <c r="CO180" s="114">
        <f t="shared" ref="CO180:CO181" si="1366">AI180</f>
        <v>212</v>
      </c>
      <c r="CP180" s="114">
        <f t="shared" ref="CP180:CP181" si="1367">AM180</f>
        <v>253</v>
      </c>
      <c r="CQ180" s="114">
        <f t="shared" ref="CQ180:CQ181" si="1368">AQ180</f>
        <v>293</v>
      </c>
      <c r="CR180" s="114">
        <f t="shared" ref="CR180:CR181" si="1369">AU180</f>
        <v>329</v>
      </c>
      <c r="CS180" s="114">
        <f t="shared" ref="CS180:CS181" si="1370">AY180</f>
        <v>342</v>
      </c>
      <c r="CT180" s="109">
        <f t="shared" ref="CT180:CT181" si="1371">M180-K180</f>
        <v>1</v>
      </c>
    </row>
    <row r="181" spans="1:1029" s="12" customFormat="1" x14ac:dyDescent="0.2">
      <c r="A181" s="9" t="str">
        <f t="shared" si="1344"/>
        <v>ccr7_human_6QZH</v>
      </c>
      <c r="B181" s="9" t="s">
        <v>175</v>
      </c>
      <c r="C181" s="9" t="s">
        <v>1592</v>
      </c>
      <c r="D181" s="9" t="str">
        <f>IFERROR(MID(VLOOKUP($B181,Seqs!$A:$B,2,0),E181,1),"")</f>
        <v>F</v>
      </c>
      <c r="E181" s="9">
        <v>56</v>
      </c>
      <c r="F181" s="9" t="str">
        <f>IFERROR(MID(VLOOKUP($B181,Seqs!$A:$B,2,0),G181,1),"")</f>
        <v>Y</v>
      </c>
      <c r="G181" s="9">
        <v>85</v>
      </c>
      <c r="H181" s="9" t="str">
        <f>IFERROR(MID(VLOOKUP($B181,Seqs!$A:$B,2,0),I181,1),"")</f>
        <v>K</v>
      </c>
      <c r="I181" s="109">
        <v>87</v>
      </c>
      <c r="J181" s="9" t="str">
        <f>IFERROR(MID(VLOOKUP($B181,Seqs!$A:$B,2,0),K181,1),"")</f>
        <v>K</v>
      </c>
      <c r="K181" s="109">
        <v>90</v>
      </c>
      <c r="L181" s="9" t="str">
        <f>IFERROR(MID(VLOOKUP($B181,Seqs!$A:$B,2,0),M181,1),"")</f>
        <v>T</v>
      </c>
      <c r="M181" s="9">
        <v>91</v>
      </c>
      <c r="N181" s="9" t="str">
        <f>IFERROR(MID(VLOOKUP($B181,Seqs!$A:$B,2,0),O181,1),"")</f>
        <v>K</v>
      </c>
      <c r="O181" s="9">
        <v>120</v>
      </c>
      <c r="P181" s="9" t="str">
        <f>IFERROR(MID(VLOOKUP($B181,Seqs!$A:$B,2,0),Q181,1),"")</f>
        <v>S</v>
      </c>
      <c r="Q181" s="9">
        <v>121</v>
      </c>
      <c r="R181" s="9" t="str">
        <f>IFERROR(MID(VLOOKUP($B181,Seqs!$A:$B,2,0),S181,1),"")</f>
        <v>F</v>
      </c>
      <c r="S181" s="9">
        <v>124</v>
      </c>
      <c r="T181" s="9" t="str">
        <f>IFERROR(MID(VLOOKUP($B181,Seqs!$A:$B,2,0),U181,1),"")</f>
        <v>G</v>
      </c>
      <c r="U181" s="9">
        <v>125</v>
      </c>
      <c r="V181" s="9" t="str">
        <f>IFERROR(MID(VLOOKUP($B181,Seqs!$A:$B,2,0),W181,1),"")</f>
        <v>V</v>
      </c>
      <c r="W181" s="9">
        <v>159</v>
      </c>
      <c r="X181" s="9" t="str">
        <f>IFERROR(MID(VLOOKUP($B181,Seqs!$A:$B,2,0),Y181,1),"")</f>
        <v/>
      </c>
      <c r="Y181" s="9" t="s">
        <v>23</v>
      </c>
      <c r="Z181" s="9" t="str">
        <f>IFERROR(MID(VLOOKUP($B181,Seqs!$A:$B,2,0),AA181,1),"")</f>
        <v/>
      </c>
      <c r="AA181" s="9" t="s">
        <v>23</v>
      </c>
      <c r="AB181" s="9" t="str">
        <f>IFERROR(MID(VLOOKUP($B181,Seqs!$A:$B,2,0),AC181,1),"")</f>
        <v>H</v>
      </c>
      <c r="AC181" s="9">
        <v>167</v>
      </c>
      <c r="AD181" s="9" t="str">
        <f>IFERROR(MID(VLOOKUP($B181,Seqs!$A:$B,2,0),AE181,1),"")</f>
        <v>Y</v>
      </c>
      <c r="AE181" s="9">
        <v>196</v>
      </c>
      <c r="AF181" s="9" t="str">
        <f>IFERROR(MID(VLOOKUP($B181,Seqs!$A:$B,2,0),AG181,1),"")</f>
        <v>C</v>
      </c>
      <c r="AG181" s="9">
        <v>210</v>
      </c>
      <c r="AH181" s="9" t="str">
        <f>IFERROR(MID(VLOOKUP($B181,Seqs!$A:$B,2,0),AI181,1),"")</f>
        <v>L</v>
      </c>
      <c r="AI181" s="9">
        <v>212</v>
      </c>
      <c r="AJ181" s="9" t="str">
        <f>IFERROR(MID(VLOOKUP($B181,Seqs!$A:$B,2,0),AK181,1),"")</f>
        <v>F</v>
      </c>
      <c r="AK181" s="9">
        <v>220</v>
      </c>
      <c r="AL181" s="9" t="str">
        <f>IFERROR(MID(VLOOKUP($B181,Seqs!$A:$B,2,0),AM181,1),"")</f>
        <v>L</v>
      </c>
      <c r="AM181" s="9">
        <v>251</v>
      </c>
      <c r="AN181" s="9" t="str">
        <f>IFERROR(MID(VLOOKUP($B181,Seqs!$A:$B,2,0),AO181,1),"")</f>
        <v>K</v>
      </c>
      <c r="AO181" s="9">
        <v>263</v>
      </c>
      <c r="AP181" s="9" t="str">
        <f>IFERROR(MID(VLOOKUP($B181,Seqs!$A:$B,2,0),AQ181,1),"")</f>
        <v>Q</v>
      </c>
      <c r="AQ181" s="9">
        <v>286</v>
      </c>
      <c r="AR181" s="9" t="str">
        <f>IFERROR(MID(VLOOKUP($B181,Seqs!$A:$B,2,0),AS181,1),"")</f>
        <v>C</v>
      </c>
      <c r="AS181" s="9">
        <v>298</v>
      </c>
      <c r="AT181" s="9" t="str">
        <f>IFERROR(MID(VLOOKUP($B181,Seqs!$A:$B,2,0),AU181,1),"")</f>
        <v>F</v>
      </c>
      <c r="AU181" s="9">
        <v>328</v>
      </c>
      <c r="AV181" s="9" t="str">
        <f>IFERROR(MID(VLOOKUP($B181,Seqs!$A:$B,2,0),AW181,1),"")</f>
        <v>K</v>
      </c>
      <c r="AW181" s="9">
        <v>332</v>
      </c>
      <c r="AX181" s="9" t="str">
        <f>IFERROR(MID(VLOOKUP($B181,Seqs!$A:$B,2,0),AY181,1),"")</f>
        <v>F</v>
      </c>
      <c r="AY181" s="9">
        <v>341</v>
      </c>
      <c r="AZ181" s="110" t="str">
        <f>VLOOKUP(B181,Classification!A:D,2,0)</f>
        <v>A</v>
      </c>
      <c r="BA181" s="98" t="str">
        <f>VLOOKUP(B181,Classification!A:D,4,0)</f>
        <v>Chemokine</v>
      </c>
      <c r="BB181" s="36" t="b">
        <f t="shared" si="1345"/>
        <v>1</v>
      </c>
      <c r="BC181" s="109">
        <f t="shared" si="1346"/>
        <v>234</v>
      </c>
      <c r="BD181" s="40" t="s">
        <v>1376</v>
      </c>
      <c r="BE181" s="9" t="s">
        <v>1374</v>
      </c>
      <c r="BF181" s="119">
        <v>2.1</v>
      </c>
      <c r="BG181" s="51" t="s">
        <v>1</v>
      </c>
      <c r="BH181" s="51" t="s">
        <v>1</v>
      </c>
      <c r="BJ181" s="111" t="s">
        <v>1287</v>
      </c>
      <c r="BK181" s="112" t="s">
        <v>1287</v>
      </c>
      <c r="BL181" s="112" t="s">
        <v>1287</v>
      </c>
      <c r="BM181" s="112" t="s">
        <v>1287</v>
      </c>
      <c r="BN181" s="112" t="s">
        <v>1287</v>
      </c>
      <c r="BO181" s="112" t="s">
        <v>1287</v>
      </c>
      <c r="BP181" s="112" t="s">
        <v>1287</v>
      </c>
      <c r="BQ181" s="112" t="s">
        <v>1287</v>
      </c>
      <c r="BR181" s="112" t="s">
        <v>1287</v>
      </c>
      <c r="BS181" s="112" t="s">
        <v>1287</v>
      </c>
      <c r="BT181" s="112" t="s">
        <v>1287</v>
      </c>
      <c r="BU181" s="112" t="s">
        <v>1287</v>
      </c>
      <c r="BV181" s="111">
        <f t="shared" si="1347"/>
        <v>56</v>
      </c>
      <c r="BW181" s="113">
        <f t="shared" si="1348"/>
        <v>87</v>
      </c>
      <c r="BX181" s="114">
        <f t="shared" si="1349"/>
        <v>91</v>
      </c>
      <c r="BY181" s="113">
        <f t="shared" si="1350"/>
        <v>121</v>
      </c>
      <c r="BZ181" s="114">
        <f t="shared" si="1351"/>
        <v>125</v>
      </c>
      <c r="CA181" s="113" t="str">
        <f t="shared" si="1352"/>
        <v>-</v>
      </c>
      <c r="CB181" s="114">
        <f t="shared" si="1353"/>
        <v>167</v>
      </c>
      <c r="CC181" s="113">
        <f t="shared" si="1354"/>
        <v>210</v>
      </c>
      <c r="CD181" s="114">
        <f t="shared" si="1355"/>
        <v>220</v>
      </c>
      <c r="CE181" s="113">
        <f t="shared" si="1356"/>
        <v>263</v>
      </c>
      <c r="CF181" s="114">
        <f t="shared" si="1357"/>
        <v>298</v>
      </c>
      <c r="CG181" s="113">
        <f t="shared" si="1358"/>
        <v>332</v>
      </c>
      <c r="CH181" s="111">
        <f t="shared" si="1359"/>
        <v>85</v>
      </c>
      <c r="CI181" s="113">
        <f t="shared" si="1360"/>
        <v>90</v>
      </c>
      <c r="CJ181" s="114">
        <f t="shared" si="1361"/>
        <v>120</v>
      </c>
      <c r="CK181" s="114">
        <f t="shared" si="1362"/>
        <v>124</v>
      </c>
      <c r="CL181" s="114">
        <f t="shared" si="1363"/>
        <v>159</v>
      </c>
      <c r="CM181" s="114" t="str">
        <f t="shared" si="1364"/>
        <v>-</v>
      </c>
      <c r="CN181" s="114">
        <f t="shared" si="1365"/>
        <v>196</v>
      </c>
      <c r="CO181" s="114">
        <f t="shared" si="1366"/>
        <v>212</v>
      </c>
      <c r="CP181" s="114">
        <f t="shared" si="1367"/>
        <v>251</v>
      </c>
      <c r="CQ181" s="114">
        <f t="shared" si="1368"/>
        <v>286</v>
      </c>
      <c r="CR181" s="114">
        <f t="shared" si="1369"/>
        <v>328</v>
      </c>
      <c r="CS181" s="114">
        <f t="shared" si="1370"/>
        <v>341</v>
      </c>
      <c r="CT181" s="109">
        <f t="shared" si="1371"/>
        <v>1</v>
      </c>
    </row>
    <row r="182" spans="1:1029" x14ac:dyDescent="0.2">
      <c r="A182" s="3" t="str">
        <f t="shared" si="1007"/>
        <v>ccr9_human__wt</v>
      </c>
      <c r="B182" s="3" t="s">
        <v>177</v>
      </c>
      <c r="C182" s="3" t="s">
        <v>100</v>
      </c>
      <c r="D182" s="3" t="str">
        <f>IFERROR(MID(VLOOKUP($B182,Seqs!$A:$B,2,0),E182,1),"")</f>
        <v>V</v>
      </c>
      <c r="E182" s="3">
        <v>43</v>
      </c>
      <c r="F182" s="3" t="str">
        <f>IFERROR(MID(VLOOKUP($B182,Seqs!$A:$B,2,0),G182,1),"")</f>
        <v>C</v>
      </c>
      <c r="G182" s="3">
        <v>76</v>
      </c>
      <c r="H182" s="3" t="str">
        <f>IFERROR(MID(VLOOKUP($B182,Seqs!$A:$B,2,0),I182,1),"")</f>
        <v>T</v>
      </c>
      <c r="I182" s="23">
        <v>77</v>
      </c>
      <c r="J182" s="3" t="str">
        <f>IFERROR(MID(VLOOKUP($B182,Seqs!$A:$B,2,0),K182,1),"")</f>
        <v>K</v>
      </c>
      <c r="K182" s="23">
        <v>80</v>
      </c>
      <c r="L182" s="3" t="str">
        <f>IFERROR(MID(VLOOKUP($B182,Seqs!$A:$B,2,0),M182,1),"")</f>
        <v>T</v>
      </c>
      <c r="M182" s="3">
        <v>81</v>
      </c>
      <c r="N182" s="3" t="str">
        <f>IFERROR(MID(VLOOKUP($B182,Seqs!$A:$B,2,0),O182,1),"")</f>
        <v>D</v>
      </c>
      <c r="O182" s="3">
        <v>110</v>
      </c>
      <c r="P182" s="3" t="str">
        <f>IFERROR(MID(VLOOKUP($B182,Seqs!$A:$B,2,0),Q182,1),"")</f>
        <v>Q</v>
      </c>
      <c r="Q182" s="3">
        <v>111</v>
      </c>
      <c r="R182" s="3" t="str">
        <f>IFERROR(MID(VLOOKUP($B182,Seqs!$A:$B,2,0),S182,1),"")</f>
        <v>F</v>
      </c>
      <c r="S182" s="3">
        <v>114</v>
      </c>
      <c r="T182" s="3" t="str">
        <f>IFERROR(MID(VLOOKUP($B182,Seqs!$A:$B,2,0),U182,1),"")</f>
        <v>Q</v>
      </c>
      <c r="U182" s="3">
        <v>115</v>
      </c>
      <c r="V182" s="3" t="str">
        <f>IFERROR(MID(VLOOKUP($B182,Seqs!$A:$B,2,0),W182,1),"")</f>
        <v>Q</v>
      </c>
      <c r="W182" s="3">
        <v>150</v>
      </c>
      <c r="X182" s="3" t="str">
        <f>IFERROR(MID(VLOOKUP($B182,Seqs!$A:$B,2,0),Y182,1),"")</f>
        <v>A</v>
      </c>
      <c r="Y182" s="3">
        <v>151</v>
      </c>
      <c r="Z182" s="3" t="str">
        <f>IFERROR(MID(VLOOKUP($B182,Seqs!$A:$B,2,0),AA182,1),"")</f>
        <v>W</v>
      </c>
      <c r="AA182" s="3">
        <v>157</v>
      </c>
      <c r="AB182" s="3" t="str">
        <f>IFERROR(MID(VLOOKUP($B182,Seqs!$A:$B,2,0),AC182,1),"")</f>
        <v>R</v>
      </c>
      <c r="AC182" s="9">
        <v>158</v>
      </c>
      <c r="AD182" s="3" t="str">
        <f>IFERROR(MID(VLOOKUP($B182,Seqs!$A:$B,2,0),AE182,1),"")</f>
        <v>S</v>
      </c>
      <c r="AE182" s="3">
        <v>187</v>
      </c>
      <c r="AF182" s="3" t="str">
        <f>IFERROR(MID(VLOOKUP($B182,Seqs!$A:$B,2,0),AG182,1),"")</f>
        <v>C</v>
      </c>
      <c r="AG182" s="3">
        <v>198</v>
      </c>
      <c r="AH182" s="3" t="str">
        <f>IFERROR(MID(VLOOKUP($B182,Seqs!$A:$B,2,0),AI182,1),"")</f>
        <v>M</v>
      </c>
      <c r="AI182" s="3">
        <v>200</v>
      </c>
      <c r="AJ182" s="3" t="str">
        <f>IFERROR(MID(VLOOKUP($B182,Seqs!$A:$B,2,0),AK182,1),"")</f>
        <v>K</v>
      </c>
      <c r="AK182" s="3">
        <v>209</v>
      </c>
      <c r="AL182" s="3" t="str">
        <f>IFERROR(MID(VLOOKUP($B182,Seqs!$A:$B,2,0),AM182,1),"")</f>
        <v>A</v>
      </c>
      <c r="AM182" s="3">
        <v>244</v>
      </c>
      <c r="AN182" s="3" t="str">
        <f>IFERROR(MID(VLOOKUP($B182,Seqs!$A:$B,2,0),AO182,1),"")</f>
        <v>S</v>
      </c>
      <c r="AO182" s="3">
        <v>247</v>
      </c>
      <c r="AP182" s="3" t="str">
        <f>IFERROR(MID(VLOOKUP($B182,Seqs!$A:$B,2,0),AQ182,1),"")</f>
        <v>M</v>
      </c>
      <c r="AQ182" s="3">
        <v>284</v>
      </c>
      <c r="AR182" s="3" t="str">
        <f>IFERROR(MID(VLOOKUP($B182,Seqs!$A:$B,2,0),AS182,1),"")</f>
        <v>N</v>
      </c>
      <c r="AS182" s="3">
        <v>288</v>
      </c>
      <c r="AT182" s="3" t="str">
        <f>IFERROR(MID(VLOOKUP($B182,Seqs!$A:$B,2,0),AU182,1),"")</f>
        <v>V</v>
      </c>
      <c r="AU182" s="3">
        <v>320</v>
      </c>
      <c r="AV182" s="3" t="str">
        <f>IFERROR(MID(VLOOKUP($B182,Seqs!$A:$B,2,0),AW182,1),"")</f>
        <v>G</v>
      </c>
      <c r="AW182" s="3">
        <v>321</v>
      </c>
      <c r="AX182" s="3" t="str">
        <f>IFERROR(MID(VLOOKUP($B182,Seqs!$A:$B,2,0),AY182,1),"")</f>
        <v>A</v>
      </c>
      <c r="AY182" s="3">
        <v>341</v>
      </c>
      <c r="AZ182" s="77" t="str">
        <f>VLOOKUP(B182,Classification!A:D,2,0)</f>
        <v>A</v>
      </c>
      <c r="BA182" s="94" t="str">
        <f>VLOOKUP(B182,Classification!A:D,4,0)</f>
        <v>Chemokine</v>
      </c>
      <c r="BB182" s="27" t="b">
        <f t="shared" si="1008"/>
        <v>1</v>
      </c>
      <c r="BC182" s="23">
        <f t="shared" si="785"/>
        <v>276</v>
      </c>
      <c r="BD182" s="56" t="s">
        <v>23</v>
      </c>
      <c r="BE182" s="3" t="s">
        <v>23</v>
      </c>
      <c r="BF182" s="118" t="s">
        <v>23</v>
      </c>
      <c r="BG182" s="49" t="s">
        <v>1372</v>
      </c>
      <c r="BH182" s="49" t="s">
        <v>1377</v>
      </c>
      <c r="BI182" s="1"/>
      <c r="BJ182" s="70" t="s">
        <v>1287</v>
      </c>
      <c r="BK182" s="57" t="s">
        <v>1287</v>
      </c>
      <c r="BL182" s="57" t="s">
        <v>1287</v>
      </c>
      <c r="BM182" s="57" t="s">
        <v>1287</v>
      </c>
      <c r="BN182" s="57" t="s">
        <v>1287</v>
      </c>
      <c r="BO182" s="57" t="s">
        <v>1287</v>
      </c>
      <c r="BP182" s="57" t="s">
        <v>1287</v>
      </c>
      <c r="BQ182" s="57" t="s">
        <v>1287</v>
      </c>
      <c r="BR182" s="57" t="s">
        <v>1287</v>
      </c>
      <c r="BS182" s="57" t="s">
        <v>1287</v>
      </c>
      <c r="BT182" s="57" t="s">
        <v>1287</v>
      </c>
      <c r="BU182" s="57" t="s">
        <v>1287</v>
      </c>
      <c r="BV182" s="70">
        <f t="shared" si="786"/>
        <v>43</v>
      </c>
      <c r="BW182" s="71">
        <f t="shared" si="787"/>
        <v>77</v>
      </c>
      <c r="BX182" s="72">
        <f t="shared" si="788"/>
        <v>81</v>
      </c>
      <c r="BY182" s="71">
        <f t="shared" si="789"/>
        <v>111</v>
      </c>
      <c r="BZ182" s="72">
        <f t="shared" si="790"/>
        <v>115</v>
      </c>
      <c r="CA182" s="71">
        <f t="shared" si="791"/>
        <v>151</v>
      </c>
      <c r="CB182" s="72">
        <f t="shared" si="792"/>
        <v>158</v>
      </c>
      <c r="CC182" s="71">
        <f t="shared" si="793"/>
        <v>198</v>
      </c>
      <c r="CD182" s="72">
        <f t="shared" si="794"/>
        <v>209</v>
      </c>
      <c r="CE182" s="71">
        <f t="shared" si="795"/>
        <v>247</v>
      </c>
      <c r="CF182" s="72">
        <f t="shared" si="796"/>
        <v>288</v>
      </c>
      <c r="CG182" s="71">
        <f t="shared" si="797"/>
        <v>321</v>
      </c>
      <c r="CH182" s="70">
        <f t="shared" si="798"/>
        <v>76</v>
      </c>
      <c r="CI182" s="71">
        <f t="shared" si="799"/>
        <v>80</v>
      </c>
      <c r="CJ182" s="72">
        <f t="shared" si="800"/>
        <v>110</v>
      </c>
      <c r="CK182" s="72">
        <f t="shared" si="801"/>
        <v>114</v>
      </c>
      <c r="CL182" s="72">
        <f t="shared" si="802"/>
        <v>150</v>
      </c>
      <c r="CM182" s="72">
        <f t="shared" si="803"/>
        <v>157</v>
      </c>
      <c r="CN182" s="72">
        <f t="shared" si="804"/>
        <v>187</v>
      </c>
      <c r="CO182" s="72">
        <f t="shared" si="805"/>
        <v>200</v>
      </c>
      <c r="CP182" s="72">
        <f t="shared" si="806"/>
        <v>244</v>
      </c>
      <c r="CQ182" s="72">
        <f t="shared" si="807"/>
        <v>284</v>
      </c>
      <c r="CR182" s="72">
        <f t="shared" si="808"/>
        <v>320</v>
      </c>
      <c r="CS182" s="72">
        <f t="shared" si="809"/>
        <v>341</v>
      </c>
      <c r="CT182" s="23">
        <f t="shared" si="810"/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3" t="str">
        <f t="shared" si="1007"/>
        <v>ccr9_human_5LWE</v>
      </c>
      <c r="B183" s="3" t="s">
        <v>177</v>
      </c>
      <c r="C183" s="3" t="s">
        <v>1365</v>
      </c>
      <c r="D183" s="3" t="str">
        <f>IFERROR(MID(VLOOKUP($B183,Seqs!$A:$B,2,0),E183,1),"")</f>
        <v>V</v>
      </c>
      <c r="E183" s="3">
        <v>43</v>
      </c>
      <c r="F183" s="3" t="str">
        <f>IFERROR(MID(VLOOKUP($B183,Seqs!$A:$B,2,0),G183,1),"")</f>
        <v>C</v>
      </c>
      <c r="G183" s="3">
        <v>76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T</v>
      </c>
      <c r="M183" s="3">
        <v>81</v>
      </c>
      <c r="N183" s="3" t="str">
        <f>IFERROR(MID(VLOOKUP($B183,Seqs!$A:$B,2,0),O183,1),"")</f>
        <v>A</v>
      </c>
      <c r="O183" s="3">
        <v>108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C</v>
      </c>
      <c r="U183" s="3">
        <v>119</v>
      </c>
      <c r="V183" s="3" t="str">
        <f>IFERROR(MID(VLOOKUP($B183,Seqs!$A:$B,2,0),W183,1),"")</f>
        <v>Q</v>
      </c>
      <c r="W183" s="3">
        <v>150</v>
      </c>
      <c r="X183" s="3" t="str">
        <f>IFERROR(MID(VLOOKUP($B183,Seqs!$A:$B,2,0),Y183,1),"")</f>
        <v>A</v>
      </c>
      <c r="Y183" s="3">
        <v>151</v>
      </c>
      <c r="Z183" s="3" t="str">
        <f>IFERROR(MID(VLOOKUP($B183,Seqs!$A:$B,2,0),AA183,1),"")</f>
        <v>W</v>
      </c>
      <c r="AA183" s="3">
        <v>157</v>
      </c>
      <c r="AB183" s="3" t="str">
        <f>IFERROR(MID(VLOOKUP($B183,Seqs!$A:$B,2,0),AC183,1),"")</f>
        <v>R</v>
      </c>
      <c r="AC183" s="9">
        <v>158</v>
      </c>
      <c r="AD183" s="3" t="str">
        <f>IFERROR(MID(VLOOKUP($B183,Seqs!$A:$B,2,0),AE183,1),"")</f>
        <v>I</v>
      </c>
      <c r="AE183" s="3">
        <v>184</v>
      </c>
      <c r="AF183" s="3" t="str">
        <f>IFERROR(MID(VLOOKUP($B183,Seqs!$A:$B,2,0),AG183,1),"")</f>
        <v/>
      </c>
      <c r="AG183" s="3" t="s">
        <v>23</v>
      </c>
      <c r="AH183" s="3" t="str">
        <f>IFERROR(MID(VLOOKUP($B183,Seqs!$A:$B,2,0),AI183,1),"")</f>
        <v/>
      </c>
      <c r="AI183" s="3" t="s">
        <v>23</v>
      </c>
      <c r="AJ183" s="3" t="str">
        <f>IFERROR(MID(VLOOKUP($B183,Seqs!$A:$B,2,0),AK183,1),"")</f>
        <v/>
      </c>
      <c r="AK183" s="3" t="s">
        <v>23</v>
      </c>
      <c r="AL183" s="3" t="str">
        <f>IFERROR(MID(VLOOKUP($B183,Seqs!$A:$B,2,0),AM183,1),"")</f>
        <v/>
      </c>
      <c r="AM183" s="3" t="s">
        <v>23</v>
      </c>
      <c r="AN183" s="3" t="str">
        <f>IFERROR(MID(VLOOKUP($B183,Seqs!$A:$B,2,0),AO183,1),"")</f>
        <v>S</v>
      </c>
      <c r="AO183" s="3">
        <v>247</v>
      </c>
      <c r="AP183" s="3" t="str">
        <f>IFERROR(MID(VLOOKUP($B183,Seqs!$A:$B,2,0),AQ183,1),"")</f>
        <v>M</v>
      </c>
      <c r="AQ183" s="3">
        <v>284</v>
      </c>
      <c r="AR183" s="3" t="str">
        <f>IFERROR(MID(VLOOKUP($B183,Seqs!$A:$B,2,0),AS183,1),"")</f>
        <v>N</v>
      </c>
      <c r="AS183" s="3">
        <v>288</v>
      </c>
      <c r="AT183" s="3" t="str">
        <f>IFERROR(MID(VLOOKUP($B183,Seqs!$A:$B,2,0),AU183,1),"")</f>
        <v>V</v>
      </c>
      <c r="AU183" s="3">
        <v>320</v>
      </c>
      <c r="AV183" s="3" t="str">
        <f>IFERROR(MID(VLOOKUP($B183,Seqs!$A:$B,2,0),AW183,1),"")</f>
        <v>G</v>
      </c>
      <c r="AW183" s="3">
        <v>321</v>
      </c>
      <c r="AX183" s="3" t="str">
        <f>IFERROR(MID(VLOOKUP($B183,Seqs!$A:$B,2,0),AY183,1),"")</f>
        <v>A</v>
      </c>
      <c r="AY183" s="3">
        <v>341</v>
      </c>
      <c r="AZ183" s="77" t="str">
        <f>VLOOKUP(B183,Classification!A:D,2,0)</f>
        <v>A</v>
      </c>
      <c r="BA183" s="94" t="str">
        <f>VLOOKUP(B183,Classification!A:D,4,0)</f>
        <v>Chemokine</v>
      </c>
      <c r="BB183" s="27" t="b">
        <f t="shared" si="1008"/>
        <v>0</v>
      </c>
      <c r="BC183" s="23">
        <f t="shared" si="785"/>
        <v>224</v>
      </c>
      <c r="BD183" s="16" t="s">
        <v>1376</v>
      </c>
      <c r="BE183" s="3" t="s">
        <v>1374</v>
      </c>
      <c r="BF183" s="118">
        <v>2.8</v>
      </c>
      <c r="BG183" s="49" t="s">
        <v>1377</v>
      </c>
      <c r="BH183" s="49" t="s">
        <v>1377</v>
      </c>
      <c r="BI183" s="1"/>
      <c r="BJ183" s="70" t="s">
        <v>1287</v>
      </c>
      <c r="BK183" s="57" t="s">
        <v>1287</v>
      </c>
      <c r="BL183" s="57" t="s">
        <v>1287</v>
      </c>
      <c r="BM183" s="57" t="s">
        <v>1287</v>
      </c>
      <c r="BN183" s="57" t="s">
        <v>1287</v>
      </c>
      <c r="BO183" s="57" t="s">
        <v>1287</v>
      </c>
      <c r="BP183" s="57" t="s">
        <v>1287</v>
      </c>
      <c r="BQ183" s="57" t="s">
        <v>1287</v>
      </c>
      <c r="BR183" s="57" t="s">
        <v>1287</v>
      </c>
      <c r="BS183" s="57" t="s">
        <v>1287</v>
      </c>
      <c r="BT183" s="57" t="s">
        <v>1287</v>
      </c>
      <c r="BU183" s="57" t="s">
        <v>1287</v>
      </c>
      <c r="BV183" s="70">
        <f t="shared" si="786"/>
        <v>43</v>
      </c>
      <c r="BW183" s="71" t="str">
        <f t="shared" si="787"/>
        <v>-</v>
      </c>
      <c r="BX183" s="72">
        <f t="shared" si="788"/>
        <v>81</v>
      </c>
      <c r="BY183" s="71" t="str">
        <f t="shared" si="789"/>
        <v>-</v>
      </c>
      <c r="BZ183" s="72">
        <f t="shared" si="790"/>
        <v>119</v>
      </c>
      <c r="CA183" s="71">
        <f t="shared" si="791"/>
        <v>151</v>
      </c>
      <c r="CB183" s="72">
        <f t="shared" si="792"/>
        <v>158</v>
      </c>
      <c r="CC183" s="71" t="str">
        <f t="shared" si="793"/>
        <v>-</v>
      </c>
      <c r="CD183" s="72" t="str">
        <f t="shared" si="794"/>
        <v>-</v>
      </c>
      <c r="CE183" s="71">
        <f t="shared" si="795"/>
        <v>247</v>
      </c>
      <c r="CF183" s="72">
        <f t="shared" si="796"/>
        <v>288</v>
      </c>
      <c r="CG183" s="71">
        <f t="shared" si="797"/>
        <v>321</v>
      </c>
      <c r="CH183" s="70">
        <f t="shared" si="798"/>
        <v>76</v>
      </c>
      <c r="CI183" s="71" t="str">
        <f t="shared" si="799"/>
        <v>-</v>
      </c>
      <c r="CJ183" s="72">
        <f t="shared" si="800"/>
        <v>108</v>
      </c>
      <c r="CK183" s="72" t="str">
        <f t="shared" si="801"/>
        <v>-</v>
      </c>
      <c r="CL183" s="72">
        <f t="shared" si="802"/>
        <v>150</v>
      </c>
      <c r="CM183" s="72">
        <f t="shared" si="803"/>
        <v>157</v>
      </c>
      <c r="CN183" s="72">
        <f t="shared" si="804"/>
        <v>184</v>
      </c>
      <c r="CO183" s="72" t="str">
        <f t="shared" si="805"/>
        <v>-</v>
      </c>
      <c r="CP183" s="72" t="str">
        <f t="shared" si="806"/>
        <v>-</v>
      </c>
      <c r="CQ183" s="72">
        <f t="shared" si="807"/>
        <v>284</v>
      </c>
      <c r="CR183" s="72">
        <f t="shared" si="808"/>
        <v>320</v>
      </c>
      <c r="CS183" s="72">
        <f t="shared" si="809"/>
        <v>341</v>
      </c>
      <c r="CT183" s="23" t="e">
        <f t="shared" si="810"/>
        <v>#VALUE!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3" t="str">
        <f>CONCATENATE(B184,"_",C184)</f>
        <v>ccr9_human_5LWE_dist</v>
      </c>
      <c r="B184" s="3" t="s">
        <v>177</v>
      </c>
      <c r="C184" s="3" t="s">
        <v>1384</v>
      </c>
      <c r="D184" s="3" t="str">
        <f>IFERROR(MID(VLOOKUP($B184,Seqs!$A:$B,2,0),E184,1),"")</f>
        <v>V</v>
      </c>
      <c r="E184" s="3">
        <v>43</v>
      </c>
      <c r="F184" s="3" t="str">
        <f>IFERROR(MID(VLOOKUP($B184,Seqs!$A:$B,2,0),G184,1),"")</f>
        <v>C</v>
      </c>
      <c r="G184" s="3">
        <v>76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T</v>
      </c>
      <c r="M184" s="3">
        <v>81</v>
      </c>
      <c r="N184" s="3" t="str">
        <f>IFERROR(MID(VLOOKUP($B184,Seqs!$A:$B,2,0),O184,1),"")</f>
        <v>A</v>
      </c>
      <c r="O184" s="3">
        <v>108</v>
      </c>
      <c r="P184" s="3" t="str">
        <f>IFERROR(MID(VLOOKUP($B184,Seqs!$A:$B,2,0),Q184,1),"")</f>
        <v/>
      </c>
      <c r="Q184" s="3" t="s">
        <v>23</v>
      </c>
      <c r="R184" s="3" t="str">
        <f>IFERROR(MID(VLOOKUP($B184,Seqs!$A:$B,2,0),S184,1),"")</f>
        <v/>
      </c>
      <c r="S184" s="3" t="s">
        <v>23</v>
      </c>
      <c r="T184" s="3" t="str">
        <f>IFERROR(MID(VLOOKUP($B184,Seqs!$A:$B,2,0),U184,1),"")</f>
        <v>C</v>
      </c>
      <c r="U184" s="3">
        <v>119</v>
      </c>
      <c r="V184" s="3" t="str">
        <f>IFERROR(MID(VLOOKUP($B184,Seqs!$A:$B,2,0),W184,1),"")</f>
        <v>Q</v>
      </c>
      <c r="W184" s="3">
        <v>150</v>
      </c>
      <c r="X184" s="3" t="str">
        <f>IFERROR(MID(VLOOKUP($B184,Seqs!$A:$B,2,0),Y184,1),"")</f>
        <v>A</v>
      </c>
      <c r="Y184" s="3">
        <v>151</v>
      </c>
      <c r="Z184" s="3" t="str">
        <f>IFERROR(MID(VLOOKUP($B184,Seqs!$A:$B,2,0),AA184,1),"")</f>
        <v>W</v>
      </c>
      <c r="AA184" s="3">
        <v>157</v>
      </c>
      <c r="AB184" s="3" t="str">
        <f>IFERROR(MID(VLOOKUP($B184,Seqs!$A:$B,2,0),AC184,1),"")</f>
        <v>R</v>
      </c>
      <c r="AC184" s="9">
        <v>158</v>
      </c>
      <c r="AD184" s="3" t="str">
        <f>IFERROR(MID(VLOOKUP($B184,Seqs!$A:$B,2,0),AE184,1),"")</f>
        <v>I</v>
      </c>
      <c r="AE184" s="3">
        <v>184</v>
      </c>
      <c r="AF184" s="3" t="str">
        <f>IFERROR(MID(VLOOKUP($B184,Seqs!$A:$B,2,0),AG184,1),"")</f>
        <v/>
      </c>
      <c r="AG184" s="3" t="s">
        <v>23</v>
      </c>
      <c r="AH184" s="3" t="str">
        <f>IFERROR(MID(VLOOKUP($B184,Seqs!$A:$B,2,0),AI184,1),"")</f>
        <v/>
      </c>
      <c r="AI184" s="3" t="s">
        <v>23</v>
      </c>
      <c r="AJ184" s="3" t="str">
        <f>IFERROR(MID(VLOOKUP($B184,Seqs!$A:$B,2,0),AK184,1),"")</f>
        <v>K</v>
      </c>
      <c r="AK184" s="3">
        <v>209</v>
      </c>
      <c r="AL184" s="3" t="str">
        <f>IFERROR(MID(VLOOKUP($B184,Seqs!$A:$B,2,0),AM184,1),"")</f>
        <v>A</v>
      </c>
      <c r="AM184" s="3">
        <v>244</v>
      </c>
      <c r="AN184" s="3" t="str">
        <f>IFERROR(MID(VLOOKUP($B184,Seqs!$A:$B,2,0),AO184,1),"")</f>
        <v>S</v>
      </c>
      <c r="AO184" s="3">
        <v>247</v>
      </c>
      <c r="AP184" s="3" t="str">
        <f>IFERROR(MID(VLOOKUP($B184,Seqs!$A:$B,2,0),AQ184,1),"")</f>
        <v>M</v>
      </c>
      <c r="AQ184" s="3">
        <v>284</v>
      </c>
      <c r="AR184" s="3" t="str">
        <f>IFERROR(MID(VLOOKUP($B184,Seqs!$A:$B,2,0),AS184,1),"")</f>
        <v>N</v>
      </c>
      <c r="AS184" s="3">
        <v>288</v>
      </c>
      <c r="AT184" s="3" t="str">
        <f>IFERROR(MID(VLOOKUP($B184,Seqs!$A:$B,2,0),AU184,1),"")</f>
        <v>V</v>
      </c>
      <c r="AU184" s="3">
        <v>320</v>
      </c>
      <c r="AV184" s="3" t="str">
        <f>IFERROR(MID(VLOOKUP($B184,Seqs!$A:$B,2,0),AW184,1),"")</f>
        <v>G</v>
      </c>
      <c r="AW184" s="3">
        <v>321</v>
      </c>
      <c r="AX184" s="3" t="str">
        <f>IFERROR(MID(VLOOKUP($B184,Seqs!$A:$B,2,0),AY184,1),"")</f>
        <v>A</v>
      </c>
      <c r="AY184" s="3">
        <v>341</v>
      </c>
      <c r="AZ184" s="77" t="str">
        <f>VLOOKUP(B184,Classification!A:D,2,0)</f>
        <v>A</v>
      </c>
      <c r="BA184" s="94" t="str">
        <f>VLOOKUP(B184,Classification!A:D,4,0)</f>
        <v>Chemokine</v>
      </c>
      <c r="BB184" s="27" t="b">
        <f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23">
        <f>_xlfn.AGGREGATE(9,6,CH184:CS184)-_xlfn.AGGREGATE(9,6,BV184:CG184)+12</f>
        <v>259</v>
      </c>
      <c r="BD184" s="16" t="s">
        <v>23</v>
      </c>
      <c r="BE184" s="3" t="s">
        <v>1374</v>
      </c>
      <c r="BF184" s="118">
        <v>2.8</v>
      </c>
      <c r="BG184" s="49" t="s">
        <v>1377</v>
      </c>
      <c r="BH184" s="49" t="s">
        <v>1377</v>
      </c>
      <c r="BI184" s="1"/>
      <c r="BJ184" s="70" t="s">
        <v>1287</v>
      </c>
      <c r="BK184" s="57" t="s">
        <v>1287</v>
      </c>
      <c r="BL184" s="57" t="s">
        <v>1287</v>
      </c>
      <c r="BM184" s="57" t="s">
        <v>1287</v>
      </c>
      <c r="BN184" s="57" t="s">
        <v>1287</v>
      </c>
      <c r="BO184" s="57" t="s">
        <v>1287</v>
      </c>
      <c r="BP184" s="57" t="s">
        <v>1287</v>
      </c>
      <c r="BQ184" s="57" t="s">
        <v>1287</v>
      </c>
      <c r="BR184" s="57" t="s">
        <v>1287</v>
      </c>
      <c r="BS184" s="57" t="s">
        <v>1287</v>
      </c>
      <c r="BT184" s="57" t="s">
        <v>1287</v>
      </c>
      <c r="BU184" s="57" t="s">
        <v>1287</v>
      </c>
      <c r="BV184" s="70">
        <f>E184</f>
        <v>43</v>
      </c>
      <c r="BW184" s="71" t="str">
        <f>I184</f>
        <v>-</v>
      </c>
      <c r="BX184" s="72">
        <f>M184</f>
        <v>81</v>
      </c>
      <c r="BY184" s="71" t="str">
        <f>Q184</f>
        <v>-</v>
      </c>
      <c r="BZ184" s="72">
        <f>U184</f>
        <v>119</v>
      </c>
      <c r="CA184" s="71">
        <f>Y184</f>
        <v>151</v>
      </c>
      <c r="CB184" s="72">
        <f>AC184</f>
        <v>158</v>
      </c>
      <c r="CC184" s="71" t="str">
        <f>AG184</f>
        <v>-</v>
      </c>
      <c r="CD184" s="72">
        <f>AK184</f>
        <v>209</v>
      </c>
      <c r="CE184" s="71">
        <f>AO184</f>
        <v>247</v>
      </c>
      <c r="CF184" s="72">
        <f>AS184</f>
        <v>288</v>
      </c>
      <c r="CG184" s="71">
        <f>AW184</f>
        <v>321</v>
      </c>
      <c r="CH184" s="70">
        <f>G184</f>
        <v>76</v>
      </c>
      <c r="CI184" s="71" t="str">
        <f>K184</f>
        <v>-</v>
      </c>
      <c r="CJ184" s="72">
        <f>O184</f>
        <v>108</v>
      </c>
      <c r="CK184" s="72" t="str">
        <f>S184</f>
        <v>-</v>
      </c>
      <c r="CL184" s="72">
        <f>W184</f>
        <v>150</v>
      </c>
      <c r="CM184" s="72">
        <f>AA184</f>
        <v>157</v>
      </c>
      <c r="CN184" s="72">
        <f>AE184</f>
        <v>184</v>
      </c>
      <c r="CO184" s="72" t="str">
        <f>AI184</f>
        <v>-</v>
      </c>
      <c r="CP184" s="72">
        <f>AM184</f>
        <v>244</v>
      </c>
      <c r="CQ184" s="72">
        <f>AQ184</f>
        <v>284</v>
      </c>
      <c r="CR184" s="72">
        <f>AU184</f>
        <v>320</v>
      </c>
      <c r="CS184" s="72">
        <f>AY184</f>
        <v>341</v>
      </c>
      <c r="CT184" s="23" t="e">
        <f>M184-K184</f>
        <v>#VALUE!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s="12" customFormat="1" x14ac:dyDescent="0.2">
      <c r="A185" s="9" t="str">
        <f t="shared" si="1007"/>
        <v>cltr1_human__wt</v>
      </c>
      <c r="B185" s="9" t="s">
        <v>179</v>
      </c>
      <c r="C185" s="9" t="s">
        <v>100</v>
      </c>
      <c r="D185" s="9" t="str">
        <f>IFERROR(MID(VLOOKUP($B185,Seqs!$A:$B,2,0),E185,1),"")</f>
        <v>S</v>
      </c>
      <c r="E185" s="9">
        <v>11</v>
      </c>
      <c r="F185" s="9" t="str">
        <f>IFERROR(MID(VLOOKUP($B185,Seqs!$A:$B,2,0),G185,1),"")</f>
        <v>T</v>
      </c>
      <c r="G185" s="9">
        <v>51</v>
      </c>
      <c r="H185" s="9" t="str">
        <f>IFERROR(MID(VLOOKUP($B185,Seqs!$A:$B,2,0),I185,1),"")</f>
        <v/>
      </c>
      <c r="I185" s="109" t="s">
        <v>23</v>
      </c>
      <c r="J185" s="9" t="str">
        <f>IFERROR(MID(VLOOKUP($B185,Seqs!$A:$B,2,0),K185,1),"")</f>
        <v/>
      </c>
      <c r="K185" s="109" t="s">
        <v>23</v>
      </c>
      <c r="L185" s="9" t="str">
        <f>IFERROR(MID(VLOOKUP($B185,Seqs!$A:$B,2,0),M185,1),"")</f>
        <v>S</v>
      </c>
      <c r="M185" s="9">
        <v>56</v>
      </c>
      <c r="N185" s="9" t="str">
        <f>IFERROR(MID(VLOOKUP($B185,Seqs!$A:$B,2,0),O185,1),"")</f>
        <v>K</v>
      </c>
      <c r="O185" s="9">
        <v>86</v>
      </c>
      <c r="P185" s="9" t="str">
        <f>IFERROR(MID(VLOOKUP($B185,Seqs!$A:$B,2,0),Q185,1),"")</f>
        <v>I</v>
      </c>
      <c r="Q185" s="9">
        <v>88</v>
      </c>
      <c r="R185" s="9" t="str">
        <f>IFERROR(MID(VLOOKUP($B185,Seqs!$A:$B,2,0),S185,1),"")</f>
        <v>F</v>
      </c>
      <c r="S185" s="9">
        <v>91</v>
      </c>
      <c r="T185" s="9" t="str">
        <f>IFERROR(MID(VLOOKUP($B185,Seqs!$A:$B,2,0),U185,1),"")</f>
        <v>G</v>
      </c>
      <c r="U185" s="9">
        <v>92</v>
      </c>
      <c r="V185" s="9" t="str">
        <f>IFERROR(MID(VLOOKUP($B185,Seqs!$A:$B,2,0),W185,1),"")</f>
        <v>F</v>
      </c>
      <c r="W185" s="9">
        <v>127</v>
      </c>
      <c r="X185" s="9" t="str">
        <f>IFERROR(MID(VLOOKUP($B185,Seqs!$A:$B,2,0),Y185,1),"")</f>
        <v>P</v>
      </c>
      <c r="Y185" s="9">
        <v>128</v>
      </c>
      <c r="Z185" s="9" t="str">
        <f>IFERROR(MID(VLOOKUP($B185,Seqs!$A:$B,2,0),AA185,1),"")</f>
        <v>V</v>
      </c>
      <c r="AA185" s="9">
        <v>135</v>
      </c>
      <c r="AB185" s="9" t="str">
        <f>IFERROR(MID(VLOOKUP($B185,Seqs!$A:$B,2,0),AC185,1),"")</f>
        <v>T</v>
      </c>
      <c r="AC185" s="9">
        <v>136</v>
      </c>
      <c r="AD185" s="9" t="str">
        <f>IFERROR(MID(VLOOKUP($B185,Seqs!$A:$B,2,0),AE185,1),"")</f>
        <v>A</v>
      </c>
      <c r="AE185" s="9">
        <v>161</v>
      </c>
      <c r="AF185" s="9" t="str">
        <f>IFERROR(MID(VLOOKUP($B185,Seqs!$A:$B,2,0),AG185,1),"")</f>
        <v>C</v>
      </c>
      <c r="AG185" s="9">
        <v>173</v>
      </c>
      <c r="AH185" s="9" t="str">
        <f>IFERROR(MID(VLOOKUP($B185,Seqs!$A:$B,2,0),AI185,1),"")</f>
        <v>E</v>
      </c>
      <c r="AI185" s="9">
        <v>175</v>
      </c>
      <c r="AJ185" s="9" t="str">
        <f>IFERROR(MID(VLOOKUP($B185,Seqs!$A:$B,2,0),AK185,1),"")</f>
        <v>D</v>
      </c>
      <c r="AK185" s="9">
        <v>179</v>
      </c>
      <c r="AL185" s="9" t="str">
        <f>IFERROR(MID(VLOOKUP($B185,Seqs!$A:$B,2,0),AM185,1),"")</f>
        <v>K</v>
      </c>
      <c r="AM185" s="9">
        <v>218</v>
      </c>
      <c r="AN185" s="9" t="str">
        <f>IFERROR(MID(VLOOKUP($B185,Seqs!$A:$B,2,0),AO185,1),"")</f>
        <v>N</v>
      </c>
      <c r="AO185" s="9">
        <v>224</v>
      </c>
      <c r="AP185" s="9" t="str">
        <f>IFERROR(MID(VLOOKUP($B185,Seqs!$A:$B,2,0),AQ185,1),"")</f>
        <v>N</v>
      </c>
      <c r="AQ185" s="9">
        <v>262</v>
      </c>
      <c r="AR185" s="9" t="str">
        <f>IFERROR(MID(VLOOKUP($B185,Seqs!$A:$B,2,0),AS185,1),"")</f>
        <v>P</v>
      </c>
      <c r="AS185" s="9">
        <v>266</v>
      </c>
      <c r="AT185" s="9" t="str">
        <f>IFERROR(MID(VLOOKUP($B185,Seqs!$A:$B,2,0),AU185,1),"")</f>
        <v>S</v>
      </c>
      <c r="AU185" s="9">
        <v>298</v>
      </c>
      <c r="AV185" s="9" t="str">
        <f>IFERROR(MID(VLOOKUP($B185,Seqs!$A:$B,2,0),AW185,1),"")</f>
        <v>G</v>
      </c>
      <c r="AW185" s="9">
        <v>299</v>
      </c>
      <c r="AX185" s="9" t="str">
        <f>IFERROR(MID(VLOOKUP($B185,Seqs!$A:$B,2,0),AY185,1),"")</f>
        <v>K</v>
      </c>
      <c r="AY185" s="9">
        <v>311</v>
      </c>
      <c r="AZ185" s="110" t="str">
        <f>VLOOKUP(B185,Classification!A:D,2,0)</f>
        <v>A</v>
      </c>
      <c r="BA185" s="98" t="str">
        <f>VLOOKUP(B185,Classification!A:D,4,0)</f>
        <v>Leukotriene</v>
      </c>
      <c r="BB185" s="36" t="b">
        <f t="shared" ref="BB185:BB186" si="1372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109">
        <f t="shared" ref="BC185:BC186" si="1373">_xlfn.AGGREGATE(9,6,CH185:CS185)-_xlfn.AGGREGATE(9,6,BV185:CG185)+12</f>
        <v>275</v>
      </c>
      <c r="BD185" s="126" t="s">
        <v>23</v>
      </c>
      <c r="BE185" s="9" t="s">
        <v>1374</v>
      </c>
      <c r="BF185" s="119">
        <v>3.8</v>
      </c>
      <c r="BG185" s="51" t="s">
        <v>1377</v>
      </c>
      <c r="BH185" s="51" t="s">
        <v>1377</v>
      </c>
      <c r="BJ185" s="111" t="s">
        <v>1287</v>
      </c>
      <c r="BK185" s="112" t="s">
        <v>1287</v>
      </c>
      <c r="BL185" s="112" t="s">
        <v>1287</v>
      </c>
      <c r="BM185" s="112" t="s">
        <v>1287</v>
      </c>
      <c r="BN185" s="112" t="s">
        <v>1287</v>
      </c>
      <c r="BO185" s="112" t="s">
        <v>1287</v>
      </c>
      <c r="BP185" s="112" t="s">
        <v>1287</v>
      </c>
      <c r="BQ185" s="112" t="s">
        <v>1287</v>
      </c>
      <c r="BR185" s="112" t="s">
        <v>1287</v>
      </c>
      <c r="BS185" s="112" t="s">
        <v>1287</v>
      </c>
      <c r="BT185" s="112" t="s">
        <v>1287</v>
      </c>
      <c r="BU185" s="112" t="s">
        <v>1287</v>
      </c>
      <c r="BV185" s="111">
        <f t="shared" ref="BV185:BV186" si="1374">E185</f>
        <v>11</v>
      </c>
      <c r="BW185" s="113" t="str">
        <f t="shared" ref="BW185:BW186" si="1375">I185</f>
        <v>-</v>
      </c>
      <c r="BX185" s="114">
        <f t="shared" ref="BX185:BX186" si="1376">M185</f>
        <v>56</v>
      </c>
      <c r="BY185" s="113">
        <f t="shared" ref="BY185:BY186" si="1377">Q185</f>
        <v>88</v>
      </c>
      <c r="BZ185" s="114">
        <f t="shared" ref="BZ185:BZ186" si="1378">U185</f>
        <v>92</v>
      </c>
      <c r="CA185" s="113">
        <f t="shared" ref="CA185:CA186" si="1379">Y185</f>
        <v>128</v>
      </c>
      <c r="CB185" s="114">
        <f t="shared" ref="CB185:CB186" si="1380">AC185</f>
        <v>136</v>
      </c>
      <c r="CC185" s="113">
        <f t="shared" ref="CC185:CC186" si="1381">AG185</f>
        <v>173</v>
      </c>
      <c r="CD185" s="114">
        <f t="shared" ref="CD185:CD186" si="1382">AK185</f>
        <v>179</v>
      </c>
      <c r="CE185" s="113">
        <f t="shared" ref="CE185:CE186" si="1383">AO185</f>
        <v>224</v>
      </c>
      <c r="CF185" s="114">
        <f t="shared" ref="CF185:CF186" si="1384">AS185</f>
        <v>266</v>
      </c>
      <c r="CG185" s="113">
        <f t="shared" ref="CG185:CG186" si="1385">AW185</f>
        <v>299</v>
      </c>
      <c r="CH185" s="111">
        <f t="shared" ref="CH185:CH186" si="1386">G185</f>
        <v>51</v>
      </c>
      <c r="CI185" s="113" t="str">
        <f t="shared" ref="CI185:CI186" si="1387">K185</f>
        <v>-</v>
      </c>
      <c r="CJ185" s="114">
        <f t="shared" ref="CJ185:CJ186" si="1388">O185</f>
        <v>86</v>
      </c>
      <c r="CK185" s="114">
        <f t="shared" ref="CK185:CK186" si="1389">S185</f>
        <v>91</v>
      </c>
      <c r="CL185" s="114">
        <f t="shared" ref="CL185:CL186" si="1390">W185</f>
        <v>127</v>
      </c>
      <c r="CM185" s="114">
        <f t="shared" ref="CM185:CM186" si="1391">AA185</f>
        <v>135</v>
      </c>
      <c r="CN185" s="114">
        <f t="shared" ref="CN185:CN186" si="1392">AE185</f>
        <v>161</v>
      </c>
      <c r="CO185" s="114">
        <f t="shared" ref="CO185:CO186" si="1393">AI185</f>
        <v>175</v>
      </c>
      <c r="CP185" s="114">
        <f t="shared" ref="CP185:CP186" si="1394">AM185</f>
        <v>218</v>
      </c>
      <c r="CQ185" s="114">
        <f t="shared" ref="CQ185:CQ186" si="1395">AQ185</f>
        <v>262</v>
      </c>
      <c r="CR185" s="114">
        <f t="shared" ref="CR185:CR186" si="1396">AU185</f>
        <v>298</v>
      </c>
      <c r="CS185" s="114">
        <f t="shared" ref="CS185:CS186" si="1397">AY185</f>
        <v>311</v>
      </c>
      <c r="CT185" s="109" t="e">
        <f t="shared" ref="CT185:CT186" si="1398">M185-K185</f>
        <v>#VALUE!</v>
      </c>
    </row>
    <row r="186" spans="1:1029" s="12" customFormat="1" x14ac:dyDescent="0.2">
      <c r="A186" s="9" t="str">
        <f t="shared" si="1007"/>
        <v>cltr1_human_6RZ4</v>
      </c>
      <c r="B186" s="9" t="s">
        <v>179</v>
      </c>
      <c r="C186" s="9" t="s">
        <v>1601</v>
      </c>
      <c r="D186" s="9" t="str">
        <f>IFERROR(MID(VLOOKUP($B186,Seqs!$A:$B,2,0),E186,1),"")</f>
        <v>S</v>
      </c>
      <c r="E186" s="9">
        <v>11</v>
      </c>
      <c r="F186" s="9" t="str">
        <f>IFERROR(MID(VLOOKUP($B186,Seqs!$A:$B,2,0),G186,1),"")</f>
        <v>T</v>
      </c>
      <c r="G186" s="9">
        <v>51</v>
      </c>
      <c r="H186" s="9" t="str">
        <f>IFERROR(MID(VLOOKUP($B186,Seqs!$A:$B,2,0),I186,1),"")</f>
        <v/>
      </c>
      <c r="I186" s="109" t="s">
        <v>23</v>
      </c>
      <c r="J186" s="9" t="str">
        <f>IFERROR(MID(VLOOKUP($B186,Seqs!$A:$B,2,0),K186,1),"")</f>
        <v/>
      </c>
      <c r="K186" s="109" t="s">
        <v>23</v>
      </c>
      <c r="L186" s="9" t="str">
        <f>IFERROR(MID(VLOOKUP($B186,Seqs!$A:$B,2,0),M186,1),"")</f>
        <v>S</v>
      </c>
      <c r="M186" s="9">
        <v>56</v>
      </c>
      <c r="N186" s="9" t="str">
        <f>IFERROR(MID(VLOOKUP($B186,Seqs!$A:$B,2,0),O186,1),"")</f>
        <v>K</v>
      </c>
      <c r="O186" s="9">
        <v>86</v>
      </c>
      <c r="P186" s="9" t="str">
        <f>IFERROR(MID(VLOOKUP($B186,Seqs!$A:$B,2,0),Q186,1),"")</f>
        <v>I</v>
      </c>
      <c r="Q186" s="9">
        <v>88</v>
      </c>
      <c r="R186" s="9" t="str">
        <f>IFERROR(MID(VLOOKUP($B186,Seqs!$A:$B,2,0),S186,1),"")</f>
        <v>F</v>
      </c>
      <c r="S186" s="9">
        <v>91</v>
      </c>
      <c r="T186" s="9" t="str">
        <f>IFERROR(MID(VLOOKUP($B186,Seqs!$A:$B,2,0),U186,1),"")</f>
        <v>G</v>
      </c>
      <c r="U186" s="9">
        <v>92</v>
      </c>
      <c r="V186" s="9" t="str">
        <f>IFERROR(MID(VLOOKUP($B186,Seqs!$A:$B,2,0),W186,1),"")</f>
        <v>F</v>
      </c>
      <c r="W186" s="9">
        <v>127</v>
      </c>
      <c r="X186" s="9" t="str">
        <f>IFERROR(MID(VLOOKUP($B186,Seqs!$A:$B,2,0),Y186,1),"")</f>
        <v/>
      </c>
      <c r="Y186" s="9" t="s">
        <v>23</v>
      </c>
      <c r="Z186" s="9" t="str">
        <f>IFERROR(MID(VLOOKUP($B186,Seqs!$A:$B,2,0),AA186,1),"")</f>
        <v/>
      </c>
      <c r="AA186" s="9" t="s">
        <v>23</v>
      </c>
      <c r="AB186" s="9" t="str">
        <f>IFERROR(MID(VLOOKUP($B186,Seqs!$A:$B,2,0),AC186,1),"")</f>
        <v>I</v>
      </c>
      <c r="AC186" s="9">
        <v>132</v>
      </c>
      <c r="AD186" s="9" t="str">
        <f>IFERROR(MID(VLOOKUP($B186,Seqs!$A:$B,2,0),AE186,1),"")</f>
        <v>A</v>
      </c>
      <c r="AE186" s="9">
        <v>161</v>
      </c>
      <c r="AF186" s="9" t="str">
        <f>IFERROR(MID(VLOOKUP($B186,Seqs!$A:$B,2,0),AG186,1),"")</f>
        <v>C</v>
      </c>
      <c r="AG186" s="9">
        <v>173</v>
      </c>
      <c r="AH186" s="9" t="str">
        <f>IFERROR(MID(VLOOKUP($B186,Seqs!$A:$B,2,0),AI186,1),"")</f>
        <v>E</v>
      </c>
      <c r="AI186" s="9">
        <v>175</v>
      </c>
      <c r="AJ186" s="9" t="str">
        <f>IFERROR(MID(VLOOKUP($B186,Seqs!$A:$B,2,0),AK186,1),"")</f>
        <v>D</v>
      </c>
      <c r="AK186" s="9">
        <v>179</v>
      </c>
      <c r="AL186" s="9" t="str">
        <f>IFERROR(MID(VLOOKUP($B186,Seqs!$A:$B,2,0),AM186,1),"")</f>
        <v>K</v>
      </c>
      <c r="AM186" s="9">
        <v>222</v>
      </c>
      <c r="AN186" s="9" t="str">
        <f>IFERROR(MID(VLOOKUP($B186,Seqs!$A:$B,2,0),AO186,1),"")</f>
        <v>I</v>
      </c>
      <c r="AO186" s="9">
        <v>334</v>
      </c>
      <c r="AP186" s="9" t="str">
        <f>IFERROR(MID(VLOOKUP($B186,Seqs!$A:$B,2,0),AQ186,1),"")</f>
        <v/>
      </c>
      <c r="AQ186" s="9">
        <v>371</v>
      </c>
      <c r="AR186" s="9" t="str">
        <f>IFERROR(MID(VLOOKUP($B186,Seqs!$A:$B,2,0),AS186,1),"")</f>
        <v/>
      </c>
      <c r="AS186" s="9">
        <v>375</v>
      </c>
      <c r="AT186" s="9" t="str">
        <f>IFERROR(MID(VLOOKUP($B186,Seqs!$A:$B,2,0),AU186,1),"")</f>
        <v/>
      </c>
      <c r="AU186" s="9">
        <v>406</v>
      </c>
      <c r="AV186" s="9" t="str">
        <f>IFERROR(MID(VLOOKUP($B186,Seqs!$A:$B,2,0),AW186,1),"")</f>
        <v/>
      </c>
      <c r="AW186" s="9" t="s">
        <v>23</v>
      </c>
      <c r="AX186" s="9" t="str">
        <f>IFERROR(MID(VLOOKUP($B186,Seqs!$A:$B,2,0),AY186,1),"")</f>
        <v/>
      </c>
      <c r="AY186" s="9" t="s">
        <v>23</v>
      </c>
      <c r="AZ186" s="110" t="str">
        <f>VLOOKUP(B186,Classification!A:D,2,0)</f>
        <v>A</v>
      </c>
      <c r="BA186" s="98" t="str">
        <f>VLOOKUP(B186,Classification!A:D,4,0)</f>
        <v>Leukotriene</v>
      </c>
      <c r="BB186" s="36" t="b">
        <f t="shared" si="1372"/>
        <v>1</v>
      </c>
      <c r="BC186" s="109">
        <f t="shared" si="1373"/>
        <v>262</v>
      </c>
      <c r="BD186" s="126" t="s">
        <v>1429</v>
      </c>
      <c r="BE186" s="9" t="s">
        <v>1428</v>
      </c>
      <c r="BF186" s="119">
        <v>2.7</v>
      </c>
      <c r="BG186" s="51" t="s">
        <v>1</v>
      </c>
      <c r="BH186" s="51" t="s">
        <v>1</v>
      </c>
      <c r="BJ186" s="111" t="s">
        <v>1287</v>
      </c>
      <c r="BK186" s="112" t="s">
        <v>1287</v>
      </c>
      <c r="BL186" s="112" t="s">
        <v>1287</v>
      </c>
      <c r="BM186" s="112" t="s">
        <v>1287</v>
      </c>
      <c r="BN186" s="112" t="s">
        <v>1287</v>
      </c>
      <c r="BO186" s="112" t="s">
        <v>1287</v>
      </c>
      <c r="BP186" s="112" t="s">
        <v>1287</v>
      </c>
      <c r="BQ186" s="112" t="s">
        <v>1287</v>
      </c>
      <c r="BR186" s="112" t="s">
        <v>1287</v>
      </c>
      <c r="BS186" s="112" t="s">
        <v>1287</v>
      </c>
      <c r="BT186" s="112" t="s">
        <v>1287</v>
      </c>
      <c r="BU186" s="112" t="s">
        <v>1287</v>
      </c>
      <c r="BV186" s="111">
        <f t="shared" si="1374"/>
        <v>11</v>
      </c>
      <c r="BW186" s="113" t="str">
        <f t="shared" si="1375"/>
        <v>-</v>
      </c>
      <c r="BX186" s="114">
        <f t="shared" si="1376"/>
        <v>56</v>
      </c>
      <c r="BY186" s="113">
        <f t="shared" si="1377"/>
        <v>88</v>
      </c>
      <c r="BZ186" s="114">
        <f t="shared" si="1378"/>
        <v>92</v>
      </c>
      <c r="CA186" s="113" t="str">
        <f t="shared" si="1379"/>
        <v>-</v>
      </c>
      <c r="CB186" s="114">
        <f t="shared" si="1380"/>
        <v>132</v>
      </c>
      <c r="CC186" s="113">
        <f t="shared" si="1381"/>
        <v>173</v>
      </c>
      <c r="CD186" s="114">
        <f t="shared" si="1382"/>
        <v>179</v>
      </c>
      <c r="CE186" s="113">
        <f t="shared" si="1383"/>
        <v>334</v>
      </c>
      <c r="CF186" s="114">
        <f t="shared" si="1384"/>
        <v>375</v>
      </c>
      <c r="CG186" s="113" t="str">
        <f t="shared" si="1385"/>
        <v>-</v>
      </c>
      <c r="CH186" s="111">
        <f t="shared" si="1386"/>
        <v>51</v>
      </c>
      <c r="CI186" s="113" t="str">
        <f t="shared" si="1387"/>
        <v>-</v>
      </c>
      <c r="CJ186" s="114">
        <f t="shared" si="1388"/>
        <v>86</v>
      </c>
      <c r="CK186" s="114">
        <f t="shared" si="1389"/>
        <v>91</v>
      </c>
      <c r="CL186" s="114">
        <f t="shared" si="1390"/>
        <v>127</v>
      </c>
      <c r="CM186" s="114" t="str">
        <f t="shared" si="1391"/>
        <v>-</v>
      </c>
      <c r="CN186" s="114">
        <f t="shared" si="1392"/>
        <v>161</v>
      </c>
      <c r="CO186" s="114">
        <f t="shared" si="1393"/>
        <v>175</v>
      </c>
      <c r="CP186" s="114">
        <f t="shared" si="1394"/>
        <v>222</v>
      </c>
      <c r="CQ186" s="114">
        <f t="shared" si="1395"/>
        <v>371</v>
      </c>
      <c r="CR186" s="114">
        <f t="shared" si="1396"/>
        <v>406</v>
      </c>
      <c r="CS186" s="114" t="str">
        <f t="shared" si="1397"/>
        <v>-</v>
      </c>
      <c r="CT186" s="109" t="e">
        <f t="shared" si="1398"/>
        <v>#VALUE!</v>
      </c>
    </row>
    <row r="187" spans="1:1029" s="12" customFormat="1" x14ac:dyDescent="0.2">
      <c r="A187" s="9" t="str">
        <f t="shared" ref="A187" si="1399">CONCATENATE(B187,"_",C187)</f>
        <v>cltr1_human_6RZ5</v>
      </c>
      <c r="B187" s="9" t="s">
        <v>179</v>
      </c>
      <c r="C187" s="9" t="s">
        <v>1602</v>
      </c>
      <c r="D187" s="9" t="str">
        <f>IFERROR(MID(VLOOKUP($B187,Seqs!$A:$B,2,0),E187,1),"")</f>
        <v>I</v>
      </c>
      <c r="E187" s="9">
        <v>18</v>
      </c>
      <c r="F187" s="9" t="str">
        <f>IFERROR(MID(VLOOKUP($B187,Seqs!$A:$B,2,0),G187,1),"")</f>
        <v>T</v>
      </c>
      <c r="G187" s="9">
        <v>51</v>
      </c>
      <c r="H187" s="9" t="str">
        <f>IFERROR(MID(VLOOKUP($B187,Seqs!$A:$B,2,0),I187,1),"")</f>
        <v/>
      </c>
      <c r="I187" s="109" t="s">
        <v>23</v>
      </c>
      <c r="J187" s="9" t="str">
        <f>IFERROR(MID(VLOOKUP($B187,Seqs!$A:$B,2,0),K187,1),"")</f>
        <v/>
      </c>
      <c r="K187" s="109" t="s">
        <v>23</v>
      </c>
      <c r="L187" s="9" t="str">
        <f>IFERROR(MID(VLOOKUP($B187,Seqs!$A:$B,2,0),M187,1),"")</f>
        <v>S</v>
      </c>
      <c r="M187" s="9">
        <v>56</v>
      </c>
      <c r="N187" s="9" t="str">
        <f>IFERROR(MID(VLOOKUP($B187,Seqs!$A:$B,2,0),O187,1),"")</f>
        <v>K</v>
      </c>
      <c r="O187" s="9">
        <v>86</v>
      </c>
      <c r="P187" s="9" t="str">
        <f>IFERROR(MID(VLOOKUP($B187,Seqs!$A:$B,2,0),Q187,1),"")</f>
        <v>I</v>
      </c>
      <c r="Q187" s="9">
        <v>88</v>
      </c>
      <c r="R187" s="9" t="str">
        <f>IFERROR(MID(VLOOKUP($B187,Seqs!$A:$B,2,0),S187,1),"")</f>
        <v>F</v>
      </c>
      <c r="S187" s="9">
        <v>91</v>
      </c>
      <c r="T187" s="9" t="str">
        <f>IFERROR(MID(VLOOKUP($B187,Seqs!$A:$B,2,0),U187,1),"")</f>
        <v>G</v>
      </c>
      <c r="U187" s="9">
        <v>92</v>
      </c>
      <c r="V187" s="9" t="str">
        <f>IFERROR(MID(VLOOKUP($B187,Seqs!$A:$B,2,0),W187,1),"")</f>
        <v>F</v>
      </c>
      <c r="W187" s="9">
        <v>127</v>
      </c>
      <c r="X187" s="9" t="str">
        <f>IFERROR(MID(VLOOKUP($B187,Seqs!$A:$B,2,0),Y187,1),"")</f>
        <v>P</v>
      </c>
      <c r="Y187" s="9">
        <v>128</v>
      </c>
      <c r="Z187" s="9" t="str">
        <f>IFERROR(MID(VLOOKUP($B187,Seqs!$A:$B,2,0),AA187,1),"")</f>
        <v>V</v>
      </c>
      <c r="AA187" s="9">
        <v>135</v>
      </c>
      <c r="AB187" s="9" t="str">
        <f>IFERROR(MID(VLOOKUP($B187,Seqs!$A:$B,2,0),AC187,1),"")</f>
        <v>T</v>
      </c>
      <c r="AC187" s="9">
        <v>136</v>
      </c>
      <c r="AD187" s="9" t="str">
        <f>IFERROR(MID(VLOOKUP($B187,Seqs!$A:$B,2,0),AE187,1),"")</f>
        <v>M</v>
      </c>
      <c r="AE187" s="9">
        <v>160</v>
      </c>
      <c r="AF187" s="9" t="str">
        <f>IFERROR(MID(VLOOKUP($B187,Seqs!$A:$B,2,0),AG187,1),"")</f>
        <v>C</v>
      </c>
      <c r="AG187" s="9">
        <v>173</v>
      </c>
      <c r="AH187" s="9" t="str">
        <f>IFERROR(MID(VLOOKUP($B187,Seqs!$A:$B,2,0),AI187,1),"")</f>
        <v>E</v>
      </c>
      <c r="AI187" s="9">
        <v>175</v>
      </c>
      <c r="AJ187" s="9" t="str">
        <f>IFERROR(MID(VLOOKUP($B187,Seqs!$A:$B,2,0),AK187,1),"")</f>
        <v>K</v>
      </c>
      <c r="AK187" s="9">
        <v>183</v>
      </c>
      <c r="AL187" s="9" t="str">
        <f>IFERROR(MID(VLOOKUP($B187,Seqs!$A:$B,2,0),AM187,1),"")</f>
        <v>K</v>
      </c>
      <c r="AM187" s="9">
        <v>222</v>
      </c>
      <c r="AN187" s="9" t="str">
        <f>IFERROR(MID(VLOOKUP($B187,Seqs!$A:$B,2,0),AO187,1),"")</f>
        <v>C</v>
      </c>
      <c r="AO187" s="9">
        <v>335</v>
      </c>
      <c r="AP187" s="9" t="str">
        <f>IFERROR(MID(VLOOKUP($B187,Seqs!$A:$B,2,0),AQ187,1),"")</f>
        <v/>
      </c>
      <c r="AQ187" s="9">
        <v>371</v>
      </c>
      <c r="AR187" s="9" t="str">
        <f>IFERROR(MID(VLOOKUP($B187,Seqs!$A:$B,2,0),AS187,1),"")</f>
        <v/>
      </c>
      <c r="AS187" s="9">
        <v>375</v>
      </c>
      <c r="AT187" s="9" t="str">
        <f>IFERROR(MID(VLOOKUP($B187,Seqs!$A:$B,2,0),AU187,1),"")</f>
        <v/>
      </c>
      <c r="AU187" s="9">
        <v>407</v>
      </c>
      <c r="AV187" s="9" t="str">
        <f>IFERROR(MID(VLOOKUP($B187,Seqs!$A:$B,2,0),AW187,1),"")</f>
        <v/>
      </c>
      <c r="AW187" s="9" t="s">
        <v>23</v>
      </c>
      <c r="AX187" s="9" t="str">
        <f>IFERROR(MID(VLOOKUP($B187,Seqs!$A:$B,2,0),AY187,1),"")</f>
        <v/>
      </c>
      <c r="AY187" s="9" t="s">
        <v>23</v>
      </c>
      <c r="AZ187" s="110" t="str">
        <f>VLOOKUP(B187,Classification!A:D,2,0)</f>
        <v>A</v>
      </c>
      <c r="BA187" s="98" t="str">
        <f>VLOOKUP(B187,Classification!A:D,4,0)</f>
        <v>Leukotriene</v>
      </c>
      <c r="BB187" s="36" t="b">
        <f t="shared" ref="BB187" si="1400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109">
        <f t="shared" ref="BC187" si="1401">_xlfn.AGGREGATE(9,6,CH187:CS187)-_xlfn.AGGREGATE(9,6,BV187:CG187)+12</f>
        <v>253</v>
      </c>
      <c r="BD187" s="126" t="s">
        <v>23</v>
      </c>
      <c r="BE187" s="9" t="s">
        <v>1428</v>
      </c>
      <c r="BF187" s="119">
        <v>2.5299999999999998</v>
      </c>
      <c r="BG187" s="51" t="s">
        <v>1281</v>
      </c>
      <c r="BH187" s="51" t="s">
        <v>1281</v>
      </c>
      <c r="BJ187" s="111" t="s">
        <v>1287</v>
      </c>
      <c r="BK187" s="112" t="s">
        <v>1287</v>
      </c>
      <c r="BL187" s="112" t="s">
        <v>1287</v>
      </c>
      <c r="BM187" s="112" t="s">
        <v>1287</v>
      </c>
      <c r="BN187" s="112" t="s">
        <v>1287</v>
      </c>
      <c r="BO187" s="112" t="s">
        <v>1287</v>
      </c>
      <c r="BP187" s="112" t="s">
        <v>1287</v>
      </c>
      <c r="BQ187" s="112" t="s">
        <v>1287</v>
      </c>
      <c r="BR187" s="112" t="s">
        <v>1287</v>
      </c>
      <c r="BS187" s="112" t="s">
        <v>1287</v>
      </c>
      <c r="BT187" s="112" t="s">
        <v>1287</v>
      </c>
      <c r="BU187" s="112" t="s">
        <v>1287</v>
      </c>
      <c r="BV187" s="111">
        <f t="shared" ref="BV187" si="1402">E187</f>
        <v>18</v>
      </c>
      <c r="BW187" s="113" t="str">
        <f t="shared" ref="BW187" si="1403">I187</f>
        <v>-</v>
      </c>
      <c r="BX187" s="114">
        <f t="shared" ref="BX187" si="1404">M187</f>
        <v>56</v>
      </c>
      <c r="BY187" s="113">
        <f t="shared" ref="BY187" si="1405">Q187</f>
        <v>88</v>
      </c>
      <c r="BZ187" s="114">
        <f t="shared" ref="BZ187" si="1406">U187</f>
        <v>92</v>
      </c>
      <c r="CA187" s="113">
        <f t="shared" ref="CA187" si="1407">Y187</f>
        <v>128</v>
      </c>
      <c r="CB187" s="114">
        <f t="shared" ref="CB187" si="1408">AC187</f>
        <v>136</v>
      </c>
      <c r="CC187" s="113">
        <f t="shared" ref="CC187" si="1409">AG187</f>
        <v>173</v>
      </c>
      <c r="CD187" s="114">
        <f t="shared" ref="CD187" si="1410">AK187</f>
        <v>183</v>
      </c>
      <c r="CE187" s="113">
        <f t="shared" ref="CE187" si="1411">AO187</f>
        <v>335</v>
      </c>
      <c r="CF187" s="114">
        <f t="shared" ref="CF187" si="1412">AS187</f>
        <v>375</v>
      </c>
      <c r="CG187" s="113" t="str">
        <f t="shared" ref="CG187" si="1413">AW187</f>
        <v>-</v>
      </c>
      <c r="CH187" s="111">
        <f t="shared" ref="CH187" si="1414">G187</f>
        <v>51</v>
      </c>
      <c r="CI187" s="113" t="str">
        <f t="shared" ref="CI187" si="1415">K187</f>
        <v>-</v>
      </c>
      <c r="CJ187" s="114">
        <f t="shared" ref="CJ187" si="1416">O187</f>
        <v>86</v>
      </c>
      <c r="CK187" s="114">
        <f t="shared" ref="CK187" si="1417">S187</f>
        <v>91</v>
      </c>
      <c r="CL187" s="114">
        <f t="shared" ref="CL187" si="1418">W187</f>
        <v>127</v>
      </c>
      <c r="CM187" s="114">
        <f t="shared" ref="CM187" si="1419">AA187</f>
        <v>135</v>
      </c>
      <c r="CN187" s="114">
        <f t="shared" ref="CN187" si="1420">AE187</f>
        <v>160</v>
      </c>
      <c r="CO187" s="114">
        <f t="shared" ref="CO187" si="1421">AI187</f>
        <v>175</v>
      </c>
      <c r="CP187" s="114">
        <f t="shared" ref="CP187" si="1422">AM187</f>
        <v>222</v>
      </c>
      <c r="CQ187" s="114">
        <f t="shared" ref="CQ187" si="1423">AQ187</f>
        <v>371</v>
      </c>
      <c r="CR187" s="114">
        <f t="shared" ref="CR187" si="1424">AU187</f>
        <v>407</v>
      </c>
      <c r="CS187" s="114" t="str">
        <f t="shared" ref="CS187" si="1425">AY187</f>
        <v>-</v>
      </c>
      <c r="CT187" s="109" t="e">
        <f t="shared" ref="CT187" si="1426">M187-K187</f>
        <v>#VALUE!</v>
      </c>
    </row>
    <row r="188" spans="1:1029" s="12" customFormat="1" x14ac:dyDescent="0.2">
      <c r="A188" s="9" t="str">
        <f t="shared" ref="A188:A189" si="1427">CONCATENATE(B188,"_",C188)</f>
        <v>cltr2_human__wt</v>
      </c>
      <c r="B188" s="9" t="s">
        <v>180</v>
      </c>
      <c r="C188" s="9" t="s">
        <v>100</v>
      </c>
      <c r="D188" s="9" t="str">
        <f>IFERROR(MID(VLOOKUP($B188,Seqs!$A:$B,2,0),E188,1),"")</f>
        <v>C</v>
      </c>
      <c r="E188" s="9">
        <v>31</v>
      </c>
      <c r="F188" s="9" t="str">
        <f>IFERROR(MID(VLOOKUP($B188,Seqs!$A:$B,2,0),G188,1),"")</f>
        <v>P</v>
      </c>
      <c r="G188" s="9">
        <v>66</v>
      </c>
      <c r="H188" s="9" t="str">
        <f>IFERROR(MID(VLOOKUP($B188,Seqs!$A:$B,2,0),I188,1),"")</f>
        <v/>
      </c>
      <c r="I188" s="109" t="s">
        <v>23</v>
      </c>
      <c r="J188" s="9" t="str">
        <f>IFERROR(MID(VLOOKUP($B188,Seqs!$A:$B,2,0),K188,1),"")</f>
        <v/>
      </c>
      <c r="K188" s="109" t="s">
        <v>23</v>
      </c>
      <c r="L188" s="9" t="str">
        <f>IFERROR(MID(VLOOKUP($B188,Seqs!$A:$B,2,0),M188,1),"")</f>
        <v>T</v>
      </c>
      <c r="M188" s="9">
        <v>71</v>
      </c>
      <c r="N188" s="9" t="str">
        <f>IFERROR(MID(VLOOKUP($B188,Seqs!$A:$B,2,0),O188,1),"")</f>
        <v>G</v>
      </c>
      <c r="O188" s="9">
        <v>101</v>
      </c>
      <c r="P188" s="9" t="str">
        <f>IFERROR(MID(VLOOKUP($B188,Seqs!$A:$B,2,0),Q188,1),"")</f>
        <v>N</v>
      </c>
      <c r="Q188" s="9">
        <v>103</v>
      </c>
      <c r="R188" s="9" t="str">
        <f>IFERROR(MID(VLOOKUP($B188,Seqs!$A:$B,2,0),S188,1),"")</f>
        <v>F</v>
      </c>
      <c r="S188" s="9">
        <v>106</v>
      </c>
      <c r="T188" s="9" t="str">
        <f>IFERROR(MID(VLOOKUP($B188,Seqs!$A:$B,2,0),U188,1),"")</f>
        <v>G</v>
      </c>
      <c r="U188" s="9">
        <v>107</v>
      </c>
      <c r="V188" s="9" t="str">
        <f>IFERROR(MID(VLOOKUP($B188,Seqs!$A:$B,2,0),W188,1),"")</f>
        <v>H</v>
      </c>
      <c r="W188" s="9">
        <v>142</v>
      </c>
      <c r="X188" s="9" t="str">
        <f>IFERROR(MID(VLOOKUP($B188,Seqs!$A:$B,2,0),Y188,1),"")</f>
        <v>P</v>
      </c>
      <c r="Y188" s="9">
        <v>143</v>
      </c>
      <c r="Z188" s="9" t="str">
        <f>IFERROR(MID(VLOOKUP($B188,Seqs!$A:$B,2,0),AA188,1),"")</f>
        <v>T</v>
      </c>
      <c r="AA188" s="9">
        <v>150</v>
      </c>
      <c r="AB188" s="9" t="str">
        <f>IFERROR(MID(VLOOKUP($B188,Seqs!$A:$B,2,0),AC188,1),"")</f>
        <v>S</v>
      </c>
      <c r="AC188" s="9">
        <v>151</v>
      </c>
      <c r="AD188" s="9" t="str">
        <f>IFERROR(MID(VLOOKUP($B188,Seqs!$A:$B,2,0),AE188,1),"")</f>
        <v>S</v>
      </c>
      <c r="AE188" s="9">
        <v>176</v>
      </c>
      <c r="AF188" s="9" t="str">
        <f>IFERROR(MID(VLOOKUP($B188,Seqs!$A:$B,2,0),AG188,1),"")</f>
        <v>C</v>
      </c>
      <c r="AG188" s="9">
        <v>187</v>
      </c>
      <c r="AH188" s="9" t="str">
        <f>IFERROR(MID(VLOOKUP($B188,Seqs!$A:$B,2,0),AI188,1),"")</f>
        <v>E</v>
      </c>
      <c r="AI188" s="9">
        <v>189</v>
      </c>
      <c r="AJ188" s="9" t="str">
        <f>IFERROR(MID(VLOOKUP($B188,Seqs!$A:$B,2,0),AK188,1),"")</f>
        <v>I</v>
      </c>
      <c r="AK188" s="9">
        <v>195</v>
      </c>
      <c r="AL188" s="9" t="str">
        <f>IFERROR(MID(VLOOKUP($B188,Seqs!$A:$B,2,0),AM188,1),"")</f>
        <v>V</v>
      </c>
      <c r="AM188" s="9">
        <v>231</v>
      </c>
      <c r="AN188" s="9" t="str">
        <f>IFERROR(MID(VLOOKUP($B188,Seqs!$A:$B,2,0),AO188,1),"")</f>
        <v>S</v>
      </c>
      <c r="AO188" s="9">
        <v>236</v>
      </c>
      <c r="AP188" s="9" t="str">
        <f>IFERROR(MID(VLOOKUP($B188,Seqs!$A:$B,2,0),AQ188,1),"")</f>
        <v>W</v>
      </c>
      <c r="AQ188" s="9">
        <v>274</v>
      </c>
      <c r="AR188" s="9" t="str">
        <f>IFERROR(MID(VLOOKUP($B188,Seqs!$A:$B,2,0),AS188,1),"")</f>
        <v>K</v>
      </c>
      <c r="AS188" s="9">
        <v>280</v>
      </c>
      <c r="AT188" s="9" t="str">
        <f>IFERROR(MID(VLOOKUP($B188,Seqs!$A:$B,2,0),AU188,1),"")</f>
        <v>A</v>
      </c>
      <c r="AU188" s="9">
        <v>308</v>
      </c>
      <c r="AV188" s="9" t="str">
        <f>IFERROR(MID(VLOOKUP($B188,Seqs!$A:$B,2,0),AW188,1),"")</f>
        <v>G</v>
      </c>
      <c r="AW188" s="9">
        <v>309</v>
      </c>
      <c r="AX188" s="9" t="str">
        <f>IFERROR(MID(VLOOKUP($B188,Seqs!$A:$B,2,0),AY188,1),"")</f>
        <v>K</v>
      </c>
      <c r="AY188" s="9">
        <v>322</v>
      </c>
      <c r="AZ188" s="110" t="str">
        <f>VLOOKUP(B188,Classification!A:D,2,0)</f>
        <v>A</v>
      </c>
      <c r="BA188" s="98" t="str">
        <f>VLOOKUP(B188,Classification!A:D,4,0)</f>
        <v>Leukotriene</v>
      </c>
      <c r="BB188" s="36" t="b">
        <f t="shared" ref="BB188:BB189" si="1428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09">
        <f t="shared" ref="BC188:BC189" si="1429">_xlfn.AGGREGATE(9,6,CH188:CS188)-_xlfn.AGGREGATE(9,6,BV188:CG188)+12</f>
        <v>264</v>
      </c>
      <c r="BD188" s="126" t="s">
        <v>23</v>
      </c>
      <c r="BE188" s="9" t="s">
        <v>23</v>
      </c>
      <c r="BF188" s="119" t="s">
        <v>23</v>
      </c>
      <c r="BG188" s="51" t="s">
        <v>23</v>
      </c>
      <c r="BH188" s="51" t="s">
        <v>23</v>
      </c>
      <c r="BJ188" s="111" t="s">
        <v>1287</v>
      </c>
      <c r="BK188" s="112" t="s">
        <v>1287</v>
      </c>
      <c r="BL188" s="112" t="s">
        <v>1287</v>
      </c>
      <c r="BM188" s="112" t="s">
        <v>1287</v>
      </c>
      <c r="BN188" s="112" t="s">
        <v>1287</v>
      </c>
      <c r="BO188" s="112" t="s">
        <v>1287</v>
      </c>
      <c r="BP188" s="112" t="s">
        <v>1287</v>
      </c>
      <c r="BQ188" s="112" t="s">
        <v>1287</v>
      </c>
      <c r="BR188" s="112" t="s">
        <v>1287</v>
      </c>
      <c r="BS188" s="112" t="s">
        <v>1287</v>
      </c>
      <c r="BT188" s="112" t="s">
        <v>1287</v>
      </c>
      <c r="BU188" s="112" t="s">
        <v>1287</v>
      </c>
      <c r="BV188" s="111">
        <f t="shared" ref="BV188:BV189" si="1430">E188</f>
        <v>31</v>
      </c>
      <c r="BW188" s="113" t="str">
        <f t="shared" ref="BW188:BW189" si="1431">I188</f>
        <v>-</v>
      </c>
      <c r="BX188" s="114">
        <f t="shared" ref="BX188:BX189" si="1432">M188</f>
        <v>71</v>
      </c>
      <c r="BY188" s="113">
        <f t="shared" ref="BY188:BY189" si="1433">Q188</f>
        <v>103</v>
      </c>
      <c r="BZ188" s="114">
        <f t="shared" ref="BZ188:BZ189" si="1434">U188</f>
        <v>107</v>
      </c>
      <c r="CA188" s="113">
        <f t="shared" ref="CA188:CA189" si="1435">Y188</f>
        <v>143</v>
      </c>
      <c r="CB188" s="114">
        <f t="shared" ref="CB188:CB189" si="1436">AC188</f>
        <v>151</v>
      </c>
      <c r="CC188" s="113">
        <f t="shared" ref="CC188:CC189" si="1437">AG188</f>
        <v>187</v>
      </c>
      <c r="CD188" s="114">
        <f t="shared" ref="CD188:CD189" si="1438">AK188</f>
        <v>195</v>
      </c>
      <c r="CE188" s="113">
        <f t="shared" ref="CE188:CE189" si="1439">AO188</f>
        <v>236</v>
      </c>
      <c r="CF188" s="114">
        <f t="shared" ref="CF188:CF189" si="1440">AS188</f>
        <v>280</v>
      </c>
      <c r="CG188" s="113">
        <f t="shared" ref="CG188:CG189" si="1441">AW188</f>
        <v>309</v>
      </c>
      <c r="CH188" s="111">
        <f t="shared" ref="CH188:CH189" si="1442">G188</f>
        <v>66</v>
      </c>
      <c r="CI188" s="113" t="str">
        <f t="shared" ref="CI188:CI189" si="1443">K188</f>
        <v>-</v>
      </c>
      <c r="CJ188" s="114">
        <f t="shared" ref="CJ188:CJ189" si="1444">O188</f>
        <v>101</v>
      </c>
      <c r="CK188" s="114">
        <f t="shared" ref="CK188:CK189" si="1445">S188</f>
        <v>106</v>
      </c>
      <c r="CL188" s="114">
        <f t="shared" ref="CL188:CL189" si="1446">W188</f>
        <v>142</v>
      </c>
      <c r="CM188" s="114">
        <f t="shared" ref="CM188:CM189" si="1447">AA188</f>
        <v>150</v>
      </c>
      <c r="CN188" s="114">
        <f t="shared" ref="CN188:CN189" si="1448">AE188</f>
        <v>176</v>
      </c>
      <c r="CO188" s="114">
        <f t="shared" ref="CO188:CO189" si="1449">AI188</f>
        <v>189</v>
      </c>
      <c r="CP188" s="114">
        <f t="shared" ref="CP188:CP189" si="1450">AM188</f>
        <v>231</v>
      </c>
      <c r="CQ188" s="114">
        <f t="shared" ref="CQ188:CQ189" si="1451">AQ188</f>
        <v>274</v>
      </c>
      <c r="CR188" s="114">
        <f t="shared" ref="CR188:CR189" si="1452">AU188</f>
        <v>308</v>
      </c>
      <c r="CS188" s="114">
        <f t="shared" ref="CS188:CS189" si="1453">AY188</f>
        <v>322</v>
      </c>
      <c r="CT188" s="109" t="e">
        <f t="shared" ref="CT188:CT189" si="1454">M188-K188</f>
        <v>#VALUE!</v>
      </c>
    </row>
    <row r="189" spans="1:1029" s="12" customFormat="1" x14ac:dyDescent="0.2">
      <c r="A189" s="9" t="str">
        <f t="shared" si="1427"/>
        <v>cltr2_human_6RZ6</v>
      </c>
      <c r="B189" s="9" t="s">
        <v>180</v>
      </c>
      <c r="C189" s="9" t="s">
        <v>1619</v>
      </c>
      <c r="D189" s="9" t="str">
        <f>IFERROR(MID(VLOOKUP($B189,Seqs!$A:$B,2,0),E189,1),"")</f>
        <v>C</v>
      </c>
      <c r="E189" s="9">
        <v>31</v>
      </c>
      <c r="F189" s="9" t="str">
        <f>IFERROR(MID(VLOOKUP($B189,Seqs!$A:$B,2,0),G189,1),"")</f>
        <v>Q</v>
      </c>
      <c r="G189" s="9">
        <v>65</v>
      </c>
      <c r="H189" s="9" t="str">
        <f>IFERROR(MID(VLOOKUP($B189,Seqs!$A:$B,2,0),I189,1),"")</f>
        <v/>
      </c>
      <c r="I189" s="109" t="s">
        <v>23</v>
      </c>
      <c r="J189" s="9" t="str">
        <f>IFERROR(MID(VLOOKUP($B189,Seqs!$A:$B,2,0),K189,1),"")</f>
        <v/>
      </c>
      <c r="K189" s="109" t="s">
        <v>23</v>
      </c>
      <c r="L189" s="9" t="str">
        <f>IFERROR(MID(VLOOKUP($B189,Seqs!$A:$B,2,0),M189,1),"")</f>
        <v>T</v>
      </c>
      <c r="M189" s="9">
        <v>71</v>
      </c>
      <c r="N189" s="9" t="str">
        <f>IFERROR(MID(VLOOKUP($B189,Seqs!$A:$B,2,0),O189,1),"")</f>
        <v>G</v>
      </c>
      <c r="O189" s="9">
        <v>101</v>
      </c>
      <c r="P189" s="9" t="str">
        <f>IFERROR(MID(VLOOKUP($B189,Seqs!$A:$B,2,0),Q189,1),"")</f>
        <v>N</v>
      </c>
      <c r="Q189" s="9">
        <v>103</v>
      </c>
      <c r="R189" s="9" t="str">
        <f>IFERROR(MID(VLOOKUP($B189,Seqs!$A:$B,2,0),S189,1),"")</f>
        <v>F</v>
      </c>
      <c r="S189" s="9">
        <v>106</v>
      </c>
      <c r="T189" s="9" t="str">
        <f>IFERROR(MID(VLOOKUP($B189,Seqs!$A:$B,2,0),U189,1),"")</f>
        <v>G</v>
      </c>
      <c r="U189" s="9">
        <v>107</v>
      </c>
      <c r="V189" s="9" t="str">
        <f>IFERROR(MID(VLOOKUP($B189,Seqs!$A:$B,2,0),W189,1),"")</f>
        <v>H</v>
      </c>
      <c r="W189" s="9">
        <v>142</v>
      </c>
      <c r="X189" s="9" t="str">
        <f>IFERROR(MID(VLOOKUP($B189,Seqs!$A:$B,2,0),Y189,1),"")</f>
        <v/>
      </c>
      <c r="Y189" s="9" t="s">
        <v>23</v>
      </c>
      <c r="Z189" s="9" t="str">
        <f>IFERROR(MID(VLOOKUP($B189,Seqs!$A:$B,2,0),AA189,1),"")</f>
        <v/>
      </c>
      <c r="AA189" s="9" t="s">
        <v>23</v>
      </c>
      <c r="AB189" s="9" t="str">
        <f>IFERROR(MID(VLOOKUP($B189,Seqs!$A:$B,2,0),AC189,1),"")</f>
        <v>V</v>
      </c>
      <c r="AC189" s="9">
        <v>149</v>
      </c>
      <c r="AD189" s="9" t="str">
        <f>IFERROR(MID(VLOOKUP($B189,Seqs!$A:$B,2,0),AE189,1),"")</f>
        <v>S</v>
      </c>
      <c r="AE189" s="9">
        <v>176</v>
      </c>
      <c r="AF189" s="9" t="str">
        <f>IFERROR(MID(VLOOKUP($B189,Seqs!$A:$B,2,0),AG189,1),"")</f>
        <v>C</v>
      </c>
      <c r="AG189" s="9">
        <v>187</v>
      </c>
      <c r="AH189" s="9" t="str">
        <f>IFERROR(MID(VLOOKUP($B189,Seqs!$A:$B,2,0),AI189,1),"")</f>
        <v>E</v>
      </c>
      <c r="AI189" s="9">
        <v>189</v>
      </c>
      <c r="AJ189" s="9" t="str">
        <f>IFERROR(MID(VLOOKUP($B189,Seqs!$A:$B,2,0),AK189,1),"")</f>
        <v>K</v>
      </c>
      <c r="AK189" s="9">
        <v>194</v>
      </c>
      <c r="AL189" s="9" t="str">
        <f>IFERROR(MID(VLOOKUP($B189,Seqs!$A:$B,2,0),AM189,1),"")</f>
        <v>E</v>
      </c>
      <c r="AM189" s="9">
        <v>232</v>
      </c>
      <c r="AN189" s="9" t="str">
        <f>IFERROR(MID(VLOOKUP($B189,Seqs!$A:$B,2,0),AO189,1),"")</f>
        <v>S</v>
      </c>
      <c r="AO189" s="9">
        <v>241</v>
      </c>
      <c r="AP189" s="9" t="str">
        <f>IFERROR(MID(VLOOKUP($B189,Seqs!$A:$B,2,0),AQ189,1),"")</f>
        <v>W</v>
      </c>
      <c r="AQ189" s="9">
        <v>274</v>
      </c>
      <c r="AR189" s="9" t="str">
        <f>IFERROR(MID(VLOOKUP($B189,Seqs!$A:$B,2,0),AS189,1),"")</f>
        <v>K</v>
      </c>
      <c r="AS189" s="9">
        <v>280</v>
      </c>
      <c r="AT189" s="9" t="str">
        <f>IFERROR(MID(VLOOKUP($B189,Seqs!$A:$B,2,0),AU189,1),"")</f>
        <v>A</v>
      </c>
      <c r="AU189" s="9">
        <v>308</v>
      </c>
      <c r="AV189" s="9" t="str">
        <f>IFERROR(MID(VLOOKUP($B189,Seqs!$A:$B,2,0),AW189,1),"")</f>
        <v>N</v>
      </c>
      <c r="AW189" s="9">
        <v>311</v>
      </c>
      <c r="AX189" s="9" t="str">
        <f>IFERROR(MID(VLOOKUP($B189,Seqs!$A:$B,2,0),AY189,1),"")</f>
        <v>K</v>
      </c>
      <c r="AY189" s="9">
        <v>322</v>
      </c>
      <c r="AZ189" s="110" t="str">
        <f>VLOOKUP(B189,Classification!A:D,2,0)</f>
        <v>A</v>
      </c>
      <c r="BA189" s="98" t="str">
        <f>VLOOKUP(B189,Classification!A:D,4,0)</f>
        <v>Leukotriene</v>
      </c>
      <c r="BB189" s="36" t="b">
        <f t="shared" si="1428"/>
        <v>1</v>
      </c>
      <c r="BC189" s="109">
        <f t="shared" si="1429"/>
        <v>253</v>
      </c>
      <c r="BD189" s="126" t="s">
        <v>23</v>
      </c>
      <c r="BE189" s="9" t="s">
        <v>1471</v>
      </c>
      <c r="BF189" s="119">
        <v>2.4300000000000002</v>
      </c>
      <c r="BG189" s="51" t="s">
        <v>1</v>
      </c>
      <c r="BH189" s="51" t="s">
        <v>1</v>
      </c>
      <c r="BJ189" s="111" t="s">
        <v>1287</v>
      </c>
      <c r="BK189" s="112" t="s">
        <v>1287</v>
      </c>
      <c r="BL189" s="112" t="s">
        <v>1287</v>
      </c>
      <c r="BM189" s="112" t="s">
        <v>1287</v>
      </c>
      <c r="BN189" s="112" t="s">
        <v>1287</v>
      </c>
      <c r="BO189" s="112" t="s">
        <v>1287</v>
      </c>
      <c r="BP189" s="112" t="s">
        <v>1287</v>
      </c>
      <c r="BQ189" s="112" t="s">
        <v>1287</v>
      </c>
      <c r="BR189" s="112" t="s">
        <v>1287</v>
      </c>
      <c r="BS189" s="112" t="s">
        <v>1287</v>
      </c>
      <c r="BT189" s="112" t="s">
        <v>1287</v>
      </c>
      <c r="BU189" s="112" t="s">
        <v>1287</v>
      </c>
      <c r="BV189" s="111">
        <f t="shared" si="1430"/>
        <v>31</v>
      </c>
      <c r="BW189" s="113" t="str">
        <f t="shared" si="1431"/>
        <v>-</v>
      </c>
      <c r="BX189" s="114">
        <f t="shared" si="1432"/>
        <v>71</v>
      </c>
      <c r="BY189" s="113">
        <f t="shared" si="1433"/>
        <v>103</v>
      </c>
      <c r="BZ189" s="114">
        <f t="shared" si="1434"/>
        <v>107</v>
      </c>
      <c r="CA189" s="113" t="str">
        <f t="shared" si="1435"/>
        <v>-</v>
      </c>
      <c r="CB189" s="114">
        <f t="shared" si="1436"/>
        <v>149</v>
      </c>
      <c r="CC189" s="113">
        <f t="shared" si="1437"/>
        <v>187</v>
      </c>
      <c r="CD189" s="114">
        <f t="shared" si="1438"/>
        <v>194</v>
      </c>
      <c r="CE189" s="113">
        <f t="shared" si="1439"/>
        <v>241</v>
      </c>
      <c r="CF189" s="114">
        <f t="shared" si="1440"/>
        <v>280</v>
      </c>
      <c r="CG189" s="113">
        <f t="shared" si="1441"/>
        <v>311</v>
      </c>
      <c r="CH189" s="111">
        <f t="shared" si="1442"/>
        <v>65</v>
      </c>
      <c r="CI189" s="113" t="str">
        <f t="shared" si="1443"/>
        <v>-</v>
      </c>
      <c r="CJ189" s="114">
        <f t="shared" si="1444"/>
        <v>101</v>
      </c>
      <c r="CK189" s="114">
        <f t="shared" si="1445"/>
        <v>106</v>
      </c>
      <c r="CL189" s="114">
        <f t="shared" si="1446"/>
        <v>142</v>
      </c>
      <c r="CM189" s="114" t="str">
        <f t="shared" si="1447"/>
        <v>-</v>
      </c>
      <c r="CN189" s="114">
        <f t="shared" si="1448"/>
        <v>176</v>
      </c>
      <c r="CO189" s="114">
        <f t="shared" si="1449"/>
        <v>189</v>
      </c>
      <c r="CP189" s="114">
        <f t="shared" si="1450"/>
        <v>232</v>
      </c>
      <c r="CQ189" s="114">
        <f t="shared" si="1451"/>
        <v>274</v>
      </c>
      <c r="CR189" s="114">
        <f t="shared" si="1452"/>
        <v>308</v>
      </c>
      <c r="CS189" s="114">
        <f t="shared" si="1453"/>
        <v>322</v>
      </c>
      <c r="CT189" s="109" t="e">
        <f t="shared" si="1454"/>
        <v>#VALUE!</v>
      </c>
    </row>
    <row r="190" spans="1:1029" s="12" customFormat="1" ht="17" customHeight="1" x14ac:dyDescent="0.2">
      <c r="A190" s="9" t="str">
        <f t="shared" ref="A190" si="1455">CONCATENATE(B190,"_",C190)</f>
        <v>cltr2_human_6RZ7</v>
      </c>
      <c r="B190" s="9" t="s">
        <v>180</v>
      </c>
      <c r="C190" s="9" t="s">
        <v>1620</v>
      </c>
      <c r="D190" s="9" t="str">
        <f>IFERROR(MID(VLOOKUP($B190,Seqs!$A:$B,2,0),E190,1),"")</f>
        <v>C</v>
      </c>
      <c r="E190" s="9">
        <v>31</v>
      </c>
      <c r="F190" s="9" t="str">
        <f>IFERROR(MID(VLOOKUP($B190,Seqs!$A:$B,2,0),G190,1),"")</f>
        <v>Q</v>
      </c>
      <c r="G190" s="9">
        <v>65</v>
      </c>
      <c r="H190" s="9" t="str">
        <f>IFERROR(MID(VLOOKUP($B190,Seqs!$A:$B,2,0),I190,1),"")</f>
        <v/>
      </c>
      <c r="I190" s="109" t="s">
        <v>23</v>
      </c>
      <c r="J190" s="9" t="str">
        <f>IFERROR(MID(VLOOKUP($B190,Seqs!$A:$B,2,0),K190,1),"")</f>
        <v/>
      </c>
      <c r="K190" s="109" t="s">
        <v>23</v>
      </c>
      <c r="L190" s="9" t="str">
        <f>IFERROR(MID(VLOOKUP($B190,Seqs!$A:$B,2,0),M190,1),"")</f>
        <v>T</v>
      </c>
      <c r="M190" s="9">
        <v>71</v>
      </c>
      <c r="N190" s="9" t="str">
        <f>IFERROR(MID(VLOOKUP($B190,Seqs!$A:$B,2,0),O190,1),"")</f>
        <v>G</v>
      </c>
      <c r="O190" s="9">
        <v>101</v>
      </c>
      <c r="P190" s="9" t="str">
        <f>IFERROR(MID(VLOOKUP($B190,Seqs!$A:$B,2,0),Q190,1),"")</f>
        <v>N</v>
      </c>
      <c r="Q190" s="9">
        <v>103</v>
      </c>
      <c r="R190" s="9" t="str">
        <f>IFERROR(MID(VLOOKUP($B190,Seqs!$A:$B,2,0),S190,1),"")</f>
        <v>F</v>
      </c>
      <c r="S190" s="9">
        <v>106</v>
      </c>
      <c r="T190" s="9" t="str">
        <f>IFERROR(MID(VLOOKUP($B190,Seqs!$A:$B,2,0),U190,1),"")</f>
        <v>G</v>
      </c>
      <c r="U190" s="9">
        <v>107</v>
      </c>
      <c r="V190" s="9" t="str">
        <f>IFERROR(MID(VLOOKUP($B190,Seqs!$A:$B,2,0),W190,1),"")</f>
        <v>H</v>
      </c>
      <c r="W190" s="9">
        <v>142</v>
      </c>
      <c r="X190" s="9" t="str">
        <f>IFERROR(MID(VLOOKUP($B190,Seqs!$A:$B,2,0),Y190,1),"")</f>
        <v/>
      </c>
      <c r="Y190" s="9" t="s">
        <v>23</v>
      </c>
      <c r="Z190" s="9" t="str">
        <f>IFERROR(MID(VLOOKUP($B190,Seqs!$A:$B,2,0),AA190,1),"")</f>
        <v/>
      </c>
      <c r="AA190" s="9" t="s">
        <v>23</v>
      </c>
      <c r="AB190" s="9" t="str">
        <f>IFERROR(MID(VLOOKUP($B190,Seqs!$A:$B,2,0),AC190,1),"")</f>
        <v>S</v>
      </c>
      <c r="AC190" s="9">
        <v>151</v>
      </c>
      <c r="AD190" s="9" t="str">
        <f>IFERROR(MID(VLOOKUP($B190,Seqs!$A:$B,2,0),AE190,1),"")</f>
        <v>L</v>
      </c>
      <c r="AE190" s="9">
        <v>174</v>
      </c>
      <c r="AF190" s="9" t="str">
        <f>IFERROR(MID(VLOOKUP($B190,Seqs!$A:$B,2,0),AG190,1),"")</f>
        <v>C</v>
      </c>
      <c r="AG190" s="9">
        <v>187</v>
      </c>
      <c r="AH190" s="9" t="str">
        <f>IFERROR(MID(VLOOKUP($B190,Seqs!$A:$B,2,0),AI190,1),"")</f>
        <v>E</v>
      </c>
      <c r="AI190" s="9">
        <v>189</v>
      </c>
      <c r="AJ190" s="9" t="str">
        <f>IFERROR(MID(VLOOKUP($B190,Seqs!$A:$B,2,0),AK190,1),"")</f>
        <v>K</v>
      </c>
      <c r="AK190" s="9">
        <v>194</v>
      </c>
      <c r="AL190" s="9" t="str">
        <f>IFERROR(MID(VLOOKUP($B190,Seqs!$A:$B,2,0),AM190,1),"")</f>
        <v>E</v>
      </c>
      <c r="AM190" s="9">
        <v>232</v>
      </c>
      <c r="AN190" s="9" t="str">
        <f>IFERROR(MID(VLOOKUP($B190,Seqs!$A:$B,2,0),AO190,1),"")</f>
        <v>S</v>
      </c>
      <c r="AO190" s="9">
        <v>241</v>
      </c>
      <c r="AP190" s="9" t="str">
        <f>IFERROR(MID(VLOOKUP($B190,Seqs!$A:$B,2,0),AQ190,1),"")</f>
        <v>W</v>
      </c>
      <c r="AQ190" s="9">
        <v>274</v>
      </c>
      <c r="AR190" s="9" t="str">
        <f>IFERROR(MID(VLOOKUP($B190,Seqs!$A:$B,2,0),AS190,1),"")</f>
        <v>K</v>
      </c>
      <c r="AS190" s="9">
        <v>280</v>
      </c>
      <c r="AT190" s="9" t="str">
        <f>IFERROR(MID(VLOOKUP($B190,Seqs!$A:$B,2,0),AU190,1),"")</f>
        <v>G</v>
      </c>
      <c r="AU190" s="9">
        <v>309</v>
      </c>
      <c r="AV190" s="9" t="str">
        <f>IFERROR(MID(VLOOKUP($B190,Seqs!$A:$B,2,0),AW190,1),"")</f>
        <v>N</v>
      </c>
      <c r="AW190" s="9">
        <v>311</v>
      </c>
      <c r="AX190" s="9" t="str">
        <f>IFERROR(MID(VLOOKUP($B190,Seqs!$A:$B,2,0),AY190,1),"")</f>
        <v>R</v>
      </c>
      <c r="AY190" s="9">
        <v>321</v>
      </c>
      <c r="AZ190" s="110" t="str">
        <f>VLOOKUP(B190,Classification!A:D,2,0)</f>
        <v>A</v>
      </c>
      <c r="BA190" s="98" t="str">
        <f>VLOOKUP(B190,Classification!A:D,4,0)</f>
        <v>Leukotriene</v>
      </c>
      <c r="BB190" s="36" t="b">
        <f t="shared" ref="BB190" si="1456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109">
        <f t="shared" ref="BC190" si="1457">_xlfn.AGGREGATE(9,6,CH190:CS190)-_xlfn.AGGREGATE(9,6,BV190:CG190)+12</f>
        <v>249</v>
      </c>
      <c r="BD190" s="126" t="s">
        <v>23</v>
      </c>
      <c r="BE190" s="9" t="s">
        <v>1471</v>
      </c>
      <c r="BF190" s="119">
        <v>2.4300000000000002</v>
      </c>
      <c r="BG190" s="51" t="s">
        <v>1</v>
      </c>
      <c r="BH190" s="51" t="s">
        <v>1</v>
      </c>
      <c r="BJ190" s="111" t="s">
        <v>1287</v>
      </c>
      <c r="BK190" s="112" t="s">
        <v>1287</v>
      </c>
      <c r="BL190" s="112" t="s">
        <v>1287</v>
      </c>
      <c r="BM190" s="112" t="s">
        <v>1287</v>
      </c>
      <c r="BN190" s="112" t="s">
        <v>1287</v>
      </c>
      <c r="BO190" s="112" t="s">
        <v>1287</v>
      </c>
      <c r="BP190" s="112" t="s">
        <v>1287</v>
      </c>
      <c r="BQ190" s="112" t="s">
        <v>1287</v>
      </c>
      <c r="BR190" s="112" t="s">
        <v>1287</v>
      </c>
      <c r="BS190" s="112" t="s">
        <v>1287</v>
      </c>
      <c r="BT190" s="112" t="s">
        <v>1287</v>
      </c>
      <c r="BU190" s="112" t="s">
        <v>1287</v>
      </c>
      <c r="BV190" s="111">
        <f t="shared" ref="BV190" si="1458">E190</f>
        <v>31</v>
      </c>
      <c r="BW190" s="113" t="str">
        <f t="shared" ref="BW190" si="1459">I190</f>
        <v>-</v>
      </c>
      <c r="BX190" s="114">
        <f t="shared" ref="BX190" si="1460">M190</f>
        <v>71</v>
      </c>
      <c r="BY190" s="113">
        <f t="shared" ref="BY190" si="1461">Q190</f>
        <v>103</v>
      </c>
      <c r="BZ190" s="114">
        <f t="shared" ref="BZ190" si="1462">U190</f>
        <v>107</v>
      </c>
      <c r="CA190" s="113" t="str">
        <f t="shared" ref="CA190" si="1463">Y190</f>
        <v>-</v>
      </c>
      <c r="CB190" s="114">
        <f t="shared" ref="CB190" si="1464">AC190</f>
        <v>151</v>
      </c>
      <c r="CC190" s="113">
        <f t="shared" ref="CC190" si="1465">AG190</f>
        <v>187</v>
      </c>
      <c r="CD190" s="114">
        <f t="shared" ref="CD190" si="1466">AK190</f>
        <v>194</v>
      </c>
      <c r="CE190" s="113">
        <f t="shared" ref="CE190" si="1467">AO190</f>
        <v>241</v>
      </c>
      <c r="CF190" s="114">
        <f t="shared" ref="CF190" si="1468">AS190</f>
        <v>280</v>
      </c>
      <c r="CG190" s="113">
        <f t="shared" ref="CG190" si="1469">AW190</f>
        <v>311</v>
      </c>
      <c r="CH190" s="111">
        <f t="shared" ref="CH190" si="1470">G190</f>
        <v>65</v>
      </c>
      <c r="CI190" s="113" t="str">
        <f t="shared" ref="CI190" si="1471">K190</f>
        <v>-</v>
      </c>
      <c r="CJ190" s="114">
        <f t="shared" ref="CJ190" si="1472">O190</f>
        <v>101</v>
      </c>
      <c r="CK190" s="114">
        <f t="shared" ref="CK190" si="1473">S190</f>
        <v>106</v>
      </c>
      <c r="CL190" s="114">
        <f t="shared" ref="CL190" si="1474">W190</f>
        <v>142</v>
      </c>
      <c r="CM190" s="114" t="str">
        <f t="shared" ref="CM190" si="1475">AA190</f>
        <v>-</v>
      </c>
      <c r="CN190" s="114">
        <f t="shared" ref="CN190" si="1476">AE190</f>
        <v>174</v>
      </c>
      <c r="CO190" s="114">
        <f t="shared" ref="CO190" si="1477">AI190</f>
        <v>189</v>
      </c>
      <c r="CP190" s="114">
        <f t="shared" ref="CP190" si="1478">AM190</f>
        <v>232</v>
      </c>
      <c r="CQ190" s="114">
        <f t="shared" ref="CQ190" si="1479">AQ190</f>
        <v>274</v>
      </c>
      <c r="CR190" s="114">
        <f t="shared" ref="CR190" si="1480">AU190</f>
        <v>309</v>
      </c>
      <c r="CS190" s="114">
        <f t="shared" ref="CS190" si="1481">AY190</f>
        <v>321</v>
      </c>
      <c r="CT190" s="109" t="e">
        <f t="shared" ref="CT190" si="1482">M190-K190</f>
        <v>#VALUE!</v>
      </c>
    </row>
    <row r="191" spans="1:1029" s="12" customFormat="1" x14ac:dyDescent="0.2">
      <c r="A191" s="9" t="str">
        <f t="shared" ref="A191" si="1483">CONCATENATE(B191,"_",C191)</f>
        <v>cltr2_human_6RZ8</v>
      </c>
      <c r="B191" s="9" t="s">
        <v>180</v>
      </c>
      <c r="C191" s="9" t="s">
        <v>1621</v>
      </c>
      <c r="D191" s="9" t="str">
        <f>IFERROR(MID(VLOOKUP($B191,Seqs!$A:$B,2,0),E191,1),"")</f>
        <v>T</v>
      </c>
      <c r="E191" s="9">
        <v>32</v>
      </c>
      <c r="F191" s="9" t="str">
        <f>IFERROR(MID(VLOOKUP($B191,Seqs!$A:$B,2,0),G191,1),"")</f>
        <v>Q</v>
      </c>
      <c r="G191" s="9">
        <v>65</v>
      </c>
      <c r="H191" s="9" t="str">
        <f>IFERROR(MID(VLOOKUP($B191,Seqs!$A:$B,2,0),I191,1),"")</f>
        <v/>
      </c>
      <c r="I191" s="109" t="s">
        <v>23</v>
      </c>
      <c r="J191" s="9" t="str">
        <f>IFERROR(MID(VLOOKUP($B191,Seqs!$A:$B,2,0),K191,1),"")</f>
        <v/>
      </c>
      <c r="K191" s="109" t="s">
        <v>23</v>
      </c>
      <c r="L191" s="9" t="str">
        <f>IFERROR(MID(VLOOKUP($B191,Seqs!$A:$B,2,0),M191,1),"")</f>
        <v>T</v>
      </c>
      <c r="M191" s="9">
        <v>71</v>
      </c>
      <c r="N191" s="9" t="str">
        <f>IFERROR(MID(VLOOKUP($B191,Seqs!$A:$B,2,0),O191,1),"")</f>
        <v>G</v>
      </c>
      <c r="O191" s="9">
        <v>101</v>
      </c>
      <c r="P191" s="9" t="str">
        <f>IFERROR(MID(VLOOKUP($B191,Seqs!$A:$B,2,0),Q191,1),"")</f>
        <v>N</v>
      </c>
      <c r="Q191" s="9">
        <v>103</v>
      </c>
      <c r="R191" s="9" t="str">
        <f>IFERROR(MID(VLOOKUP($B191,Seqs!$A:$B,2,0),S191,1),"")</f>
        <v>F</v>
      </c>
      <c r="S191" s="9">
        <v>106</v>
      </c>
      <c r="T191" s="9" t="str">
        <f>IFERROR(MID(VLOOKUP($B191,Seqs!$A:$B,2,0),U191,1),"")</f>
        <v>G</v>
      </c>
      <c r="U191" s="9">
        <v>107</v>
      </c>
      <c r="V191" s="9" t="str">
        <f>IFERROR(MID(VLOOKUP($B191,Seqs!$A:$B,2,0),W191,1),"")</f>
        <v>H</v>
      </c>
      <c r="W191" s="9">
        <v>142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S</v>
      </c>
      <c r="AC191" s="9">
        <v>151</v>
      </c>
      <c r="AD191" s="9" t="str">
        <f>IFERROR(MID(VLOOKUP($B191,Seqs!$A:$B,2,0),AE191,1),"")</f>
        <v>S</v>
      </c>
      <c r="AE191" s="9">
        <v>176</v>
      </c>
      <c r="AF191" s="9" t="str">
        <f>IFERROR(MID(VLOOKUP($B191,Seqs!$A:$B,2,0),AG191,1),"")</f>
        <v>C</v>
      </c>
      <c r="AG191" s="9">
        <v>187</v>
      </c>
      <c r="AH191" s="9" t="str">
        <f>IFERROR(MID(VLOOKUP($B191,Seqs!$A:$B,2,0),AI191,1),"")</f>
        <v>E</v>
      </c>
      <c r="AI191" s="9">
        <v>189</v>
      </c>
      <c r="AJ191" s="9" t="str">
        <f>IFERROR(MID(VLOOKUP($B191,Seqs!$A:$B,2,0),AK191,1),"")</f>
        <v>K</v>
      </c>
      <c r="AK191" s="9">
        <v>194</v>
      </c>
      <c r="AL191" s="9" t="str">
        <f>IFERROR(MID(VLOOKUP($B191,Seqs!$A:$B,2,0),AM191,1),"")</f>
        <v>E</v>
      </c>
      <c r="AM191" s="9">
        <v>232</v>
      </c>
      <c r="AN191" s="9" t="str">
        <f>IFERROR(MID(VLOOKUP($B191,Seqs!$A:$B,2,0),AO191,1),"")</f>
        <v>S</v>
      </c>
      <c r="AO191" s="9">
        <v>241</v>
      </c>
      <c r="AP191" s="9" t="str">
        <f>IFERROR(MID(VLOOKUP($B191,Seqs!$A:$B,2,0),AQ191,1),"")</f>
        <v>W</v>
      </c>
      <c r="AQ191" s="9">
        <v>274</v>
      </c>
      <c r="AR191" s="9" t="str">
        <f>IFERROR(MID(VLOOKUP($B191,Seqs!$A:$B,2,0),AS191,1),"")</f>
        <v>K</v>
      </c>
      <c r="AS191" s="9">
        <v>280</v>
      </c>
      <c r="AT191" s="9" t="str">
        <f>IFERROR(MID(VLOOKUP($B191,Seqs!$A:$B,2,0),AU191,1),"")</f>
        <v>E</v>
      </c>
      <c r="AU191" s="9">
        <v>310</v>
      </c>
      <c r="AV191" s="9" t="str">
        <f>IFERROR(MID(VLOOKUP($B191,Seqs!$A:$B,2,0),AW191,1),"")</f>
        <v/>
      </c>
      <c r="AW191" s="9" t="s">
        <v>23</v>
      </c>
      <c r="AX191" s="9" t="str">
        <f>IFERROR(MID(VLOOKUP($B191,Seqs!$A:$B,2,0),AY191,1),"")</f>
        <v/>
      </c>
      <c r="AY191" s="9" t="s">
        <v>23</v>
      </c>
      <c r="AZ191" s="110" t="str">
        <f>VLOOKUP(B191,Classification!A:D,2,0)</f>
        <v>A</v>
      </c>
      <c r="BA191" s="98" t="str">
        <f>VLOOKUP(B191,Classification!A:D,4,0)</f>
        <v>Leukotriene</v>
      </c>
      <c r="BB191" s="36" t="b">
        <f t="shared" ref="BB191" si="1484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09">
        <f t="shared" ref="BC191" si="1485">_xlfn.AGGREGATE(9,6,CH191:CS191)-_xlfn.AGGREGATE(9,6,BV191:CG191)+12</f>
        <v>241</v>
      </c>
      <c r="BD191" s="126" t="s">
        <v>23</v>
      </c>
      <c r="BE191" s="9" t="s">
        <v>1471</v>
      </c>
      <c r="BF191" s="119">
        <v>2.7</v>
      </c>
      <c r="BG191" s="51" t="s">
        <v>1</v>
      </c>
      <c r="BH191" s="51" t="s">
        <v>1</v>
      </c>
      <c r="BJ191" s="111" t="s">
        <v>1287</v>
      </c>
      <c r="BK191" s="112" t="s">
        <v>1287</v>
      </c>
      <c r="BL191" s="112" t="s">
        <v>1287</v>
      </c>
      <c r="BM191" s="112" t="s">
        <v>1287</v>
      </c>
      <c r="BN191" s="112" t="s">
        <v>1287</v>
      </c>
      <c r="BO191" s="112" t="s">
        <v>1287</v>
      </c>
      <c r="BP191" s="112" t="s">
        <v>1287</v>
      </c>
      <c r="BQ191" s="112" t="s">
        <v>1287</v>
      </c>
      <c r="BR191" s="112" t="s">
        <v>1287</v>
      </c>
      <c r="BS191" s="112" t="s">
        <v>1287</v>
      </c>
      <c r="BT191" s="112" t="s">
        <v>1287</v>
      </c>
      <c r="BU191" s="112" t="s">
        <v>1287</v>
      </c>
      <c r="BV191" s="111">
        <f t="shared" ref="BV191" si="1486">E191</f>
        <v>32</v>
      </c>
      <c r="BW191" s="113" t="str">
        <f t="shared" ref="BW191" si="1487">I191</f>
        <v>-</v>
      </c>
      <c r="BX191" s="114">
        <f t="shared" ref="BX191" si="1488">M191</f>
        <v>71</v>
      </c>
      <c r="BY191" s="113">
        <f t="shared" ref="BY191" si="1489">Q191</f>
        <v>103</v>
      </c>
      <c r="BZ191" s="114">
        <f t="shared" ref="BZ191" si="1490">U191</f>
        <v>107</v>
      </c>
      <c r="CA191" s="113" t="str">
        <f t="shared" ref="CA191" si="1491">Y191</f>
        <v>-</v>
      </c>
      <c r="CB191" s="114">
        <f t="shared" ref="CB191" si="1492">AC191</f>
        <v>151</v>
      </c>
      <c r="CC191" s="113">
        <f t="shared" ref="CC191" si="1493">AG191</f>
        <v>187</v>
      </c>
      <c r="CD191" s="114">
        <f t="shared" ref="CD191" si="1494">AK191</f>
        <v>194</v>
      </c>
      <c r="CE191" s="113">
        <f t="shared" ref="CE191" si="1495">AO191</f>
        <v>241</v>
      </c>
      <c r="CF191" s="114">
        <f t="shared" ref="CF191" si="1496">AS191</f>
        <v>280</v>
      </c>
      <c r="CG191" s="113" t="str">
        <f t="shared" ref="CG191" si="1497">AW191</f>
        <v>-</v>
      </c>
      <c r="CH191" s="111">
        <f t="shared" ref="CH191" si="1498">G191</f>
        <v>65</v>
      </c>
      <c r="CI191" s="113" t="str">
        <f t="shared" ref="CI191" si="1499">K191</f>
        <v>-</v>
      </c>
      <c r="CJ191" s="114">
        <f t="shared" ref="CJ191" si="1500">O191</f>
        <v>101</v>
      </c>
      <c r="CK191" s="114">
        <f t="shared" ref="CK191" si="1501">S191</f>
        <v>106</v>
      </c>
      <c r="CL191" s="114">
        <f t="shared" ref="CL191" si="1502">W191</f>
        <v>142</v>
      </c>
      <c r="CM191" s="114" t="str">
        <f t="shared" ref="CM191" si="1503">AA191</f>
        <v>-</v>
      </c>
      <c r="CN191" s="114">
        <f t="shared" ref="CN191" si="1504">AE191</f>
        <v>176</v>
      </c>
      <c r="CO191" s="114">
        <f t="shared" ref="CO191" si="1505">AI191</f>
        <v>189</v>
      </c>
      <c r="CP191" s="114">
        <f t="shared" ref="CP191" si="1506">AM191</f>
        <v>232</v>
      </c>
      <c r="CQ191" s="114">
        <f t="shared" ref="CQ191" si="1507">AQ191</f>
        <v>274</v>
      </c>
      <c r="CR191" s="114">
        <f t="shared" ref="CR191" si="1508">AU191</f>
        <v>310</v>
      </c>
      <c r="CS191" s="114" t="str">
        <f t="shared" ref="CS191" si="1509">AY191</f>
        <v>-</v>
      </c>
      <c r="CT191" s="109" t="e">
        <f t="shared" ref="CT191" si="1510">M191-K191</f>
        <v>#VALUE!</v>
      </c>
    </row>
    <row r="192" spans="1:1029" s="12" customFormat="1" x14ac:dyDescent="0.2">
      <c r="A192" s="9" t="str">
        <f t="shared" ref="A192" si="1511">CONCATENATE(B192,"_",C192)</f>
        <v>cltr2_human_6RZ9</v>
      </c>
      <c r="B192" s="9" t="s">
        <v>180</v>
      </c>
      <c r="C192" s="9" t="s">
        <v>1622</v>
      </c>
      <c r="D192" s="9" t="str">
        <f>IFERROR(MID(VLOOKUP($B192,Seqs!$A:$B,2,0),E192,1),"")</f>
        <v>C</v>
      </c>
      <c r="E192" s="9">
        <v>31</v>
      </c>
      <c r="F192" s="9" t="str">
        <f>IFERROR(MID(VLOOKUP($B192,Seqs!$A:$B,2,0),G192,1),"")</f>
        <v>Q</v>
      </c>
      <c r="G192" s="9">
        <v>65</v>
      </c>
      <c r="H192" s="9" t="str">
        <f>IFERROR(MID(VLOOKUP($B192,Seqs!$A:$B,2,0),I192,1),"")</f>
        <v/>
      </c>
      <c r="I192" s="109" t="s">
        <v>23</v>
      </c>
      <c r="J192" s="9" t="str">
        <f>IFERROR(MID(VLOOKUP($B192,Seqs!$A:$B,2,0),K192,1),"")</f>
        <v/>
      </c>
      <c r="K192" s="109" t="s">
        <v>23</v>
      </c>
      <c r="L192" s="9" t="str">
        <f>IFERROR(MID(VLOOKUP($B192,Seqs!$A:$B,2,0),M192,1),"")</f>
        <v>T</v>
      </c>
      <c r="M192" s="9">
        <v>71</v>
      </c>
      <c r="N192" s="9" t="str">
        <f>IFERROR(MID(VLOOKUP($B192,Seqs!$A:$B,2,0),O192,1),"")</f>
        <v>G</v>
      </c>
      <c r="O192" s="9">
        <v>101</v>
      </c>
      <c r="P192" s="9" t="str">
        <f>IFERROR(MID(VLOOKUP($B192,Seqs!$A:$B,2,0),Q192,1),"")</f>
        <v>N</v>
      </c>
      <c r="Q192" s="9">
        <v>103</v>
      </c>
      <c r="R192" s="9" t="str">
        <f>IFERROR(MID(VLOOKUP($B192,Seqs!$A:$B,2,0),S192,1),"")</f>
        <v>F</v>
      </c>
      <c r="S192" s="9">
        <v>106</v>
      </c>
      <c r="T192" s="9" t="str">
        <f>IFERROR(MID(VLOOKUP($B192,Seqs!$A:$B,2,0),U192,1),"")</f>
        <v>G</v>
      </c>
      <c r="U192" s="9">
        <v>107</v>
      </c>
      <c r="V192" s="9" t="str">
        <f>IFERROR(MID(VLOOKUP($B192,Seqs!$A:$B,2,0),W192,1),"")</f>
        <v>H</v>
      </c>
      <c r="W192" s="9">
        <v>142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H</v>
      </c>
      <c r="AC192" s="9">
        <v>148</v>
      </c>
      <c r="AD192" s="9" t="str">
        <f>IFERROR(MID(VLOOKUP($B192,Seqs!$A:$B,2,0),AE192,1),"")</f>
        <v>S</v>
      </c>
      <c r="AE192" s="9">
        <v>176</v>
      </c>
      <c r="AF192" s="9" t="str">
        <f>IFERROR(MID(VLOOKUP($B192,Seqs!$A:$B,2,0),AG192,1),"")</f>
        <v>C</v>
      </c>
      <c r="AG192" s="9">
        <v>187</v>
      </c>
      <c r="AH192" s="9" t="str">
        <f>IFERROR(MID(VLOOKUP($B192,Seqs!$A:$B,2,0),AI192,1),"")</f>
        <v>E</v>
      </c>
      <c r="AI192" s="9">
        <v>189</v>
      </c>
      <c r="AJ192" s="9" t="str">
        <f>IFERROR(MID(VLOOKUP($B192,Seqs!$A:$B,2,0),AK192,1),"")</f>
        <v>K</v>
      </c>
      <c r="AK192" s="9">
        <v>194</v>
      </c>
      <c r="AL192" s="9" t="str">
        <f>IFERROR(MID(VLOOKUP($B192,Seqs!$A:$B,2,0),AM192,1),"")</f>
        <v>E</v>
      </c>
      <c r="AM192" s="9">
        <v>232</v>
      </c>
      <c r="AN192" s="9" t="str">
        <f>IFERROR(MID(VLOOKUP($B192,Seqs!$A:$B,2,0),AO192,1),"")</f>
        <v>S</v>
      </c>
      <c r="AO192" s="9">
        <v>241</v>
      </c>
      <c r="AP192" s="9" t="str">
        <f>IFERROR(MID(VLOOKUP($B192,Seqs!$A:$B,2,0),AQ192,1),"")</f>
        <v>W</v>
      </c>
      <c r="AQ192" s="9">
        <v>274</v>
      </c>
      <c r="AR192" s="9" t="str">
        <f>IFERROR(MID(VLOOKUP($B192,Seqs!$A:$B,2,0),AS192,1),"")</f>
        <v>K</v>
      </c>
      <c r="AS192" s="9">
        <v>280</v>
      </c>
      <c r="AT192" s="9" t="str">
        <f>IFERROR(MID(VLOOKUP($B192,Seqs!$A:$B,2,0),AU192,1),"")</f>
        <v>A</v>
      </c>
      <c r="AU192" s="9">
        <v>308</v>
      </c>
      <c r="AV192" s="9" t="str">
        <f>IFERROR(MID(VLOOKUP($B192,Seqs!$A:$B,2,0),AW192,1),"")</f>
        <v>N</v>
      </c>
      <c r="AW192" s="9">
        <v>311</v>
      </c>
      <c r="AX192" s="9" t="str">
        <f>IFERROR(MID(VLOOKUP($B192,Seqs!$A:$B,2,0),AY192,1),"")</f>
        <v>R</v>
      </c>
      <c r="AY192" s="9">
        <v>321</v>
      </c>
      <c r="AZ192" s="110" t="str">
        <f>VLOOKUP(B192,Classification!A:D,2,0)</f>
        <v>A</v>
      </c>
      <c r="BA192" s="98" t="str">
        <f>VLOOKUP(B192,Classification!A:D,4,0)</f>
        <v>Leukotriene</v>
      </c>
      <c r="BB192" s="36" t="b">
        <f t="shared" ref="BB192" si="1512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09">
        <f t="shared" ref="BC192" si="1513">_xlfn.AGGREGATE(9,6,CH192:CS192)-_xlfn.AGGREGATE(9,6,BV192:CG192)+12</f>
        <v>253</v>
      </c>
      <c r="BD192" s="126" t="s">
        <v>1429</v>
      </c>
      <c r="BE192" s="9" t="s">
        <v>1471</v>
      </c>
      <c r="BF192" s="119">
        <v>2.73</v>
      </c>
      <c r="BG192" s="51" t="s">
        <v>1</v>
      </c>
      <c r="BH192" s="51" t="s">
        <v>1</v>
      </c>
      <c r="BJ192" s="111" t="s">
        <v>1287</v>
      </c>
      <c r="BK192" s="112" t="s">
        <v>1287</v>
      </c>
      <c r="BL192" s="112" t="s">
        <v>1287</v>
      </c>
      <c r="BM192" s="112" t="s">
        <v>1287</v>
      </c>
      <c r="BN192" s="112" t="s">
        <v>1287</v>
      </c>
      <c r="BO192" s="112" t="s">
        <v>1287</v>
      </c>
      <c r="BP192" s="112" t="s">
        <v>1287</v>
      </c>
      <c r="BQ192" s="112" t="s">
        <v>1287</v>
      </c>
      <c r="BR192" s="112" t="s">
        <v>1287</v>
      </c>
      <c r="BS192" s="112" t="s">
        <v>1287</v>
      </c>
      <c r="BT192" s="112" t="s">
        <v>1287</v>
      </c>
      <c r="BU192" s="112" t="s">
        <v>1287</v>
      </c>
      <c r="BV192" s="111">
        <f t="shared" ref="BV192" si="1514">E192</f>
        <v>31</v>
      </c>
      <c r="BW192" s="113" t="str">
        <f t="shared" ref="BW192" si="1515">I192</f>
        <v>-</v>
      </c>
      <c r="BX192" s="114">
        <f t="shared" ref="BX192" si="1516">M192</f>
        <v>71</v>
      </c>
      <c r="BY192" s="113">
        <f t="shared" ref="BY192" si="1517">Q192</f>
        <v>103</v>
      </c>
      <c r="BZ192" s="114">
        <f t="shared" ref="BZ192" si="1518">U192</f>
        <v>107</v>
      </c>
      <c r="CA192" s="113" t="str">
        <f t="shared" ref="CA192" si="1519">Y192</f>
        <v>-</v>
      </c>
      <c r="CB192" s="114">
        <f t="shared" ref="CB192" si="1520">AC192</f>
        <v>148</v>
      </c>
      <c r="CC192" s="113">
        <f t="shared" ref="CC192" si="1521">AG192</f>
        <v>187</v>
      </c>
      <c r="CD192" s="114">
        <f t="shared" ref="CD192" si="1522">AK192</f>
        <v>194</v>
      </c>
      <c r="CE192" s="113">
        <f t="shared" ref="CE192" si="1523">AO192</f>
        <v>241</v>
      </c>
      <c r="CF192" s="114">
        <f t="shared" ref="CF192" si="1524">AS192</f>
        <v>280</v>
      </c>
      <c r="CG192" s="113">
        <f t="shared" ref="CG192" si="1525">AW192</f>
        <v>311</v>
      </c>
      <c r="CH192" s="111">
        <f t="shared" ref="CH192" si="1526">G192</f>
        <v>65</v>
      </c>
      <c r="CI192" s="113" t="str">
        <f t="shared" ref="CI192" si="1527">K192</f>
        <v>-</v>
      </c>
      <c r="CJ192" s="114">
        <f t="shared" ref="CJ192" si="1528">O192</f>
        <v>101</v>
      </c>
      <c r="CK192" s="114">
        <f t="shared" ref="CK192" si="1529">S192</f>
        <v>106</v>
      </c>
      <c r="CL192" s="114">
        <f t="shared" ref="CL192" si="1530">W192</f>
        <v>142</v>
      </c>
      <c r="CM192" s="114" t="str">
        <f t="shared" ref="CM192" si="1531">AA192</f>
        <v>-</v>
      </c>
      <c r="CN192" s="114">
        <f t="shared" ref="CN192" si="1532">AE192</f>
        <v>176</v>
      </c>
      <c r="CO192" s="114">
        <f t="shared" ref="CO192" si="1533">AI192</f>
        <v>189</v>
      </c>
      <c r="CP192" s="114">
        <f t="shared" ref="CP192" si="1534">AM192</f>
        <v>232</v>
      </c>
      <c r="CQ192" s="114">
        <f t="shared" ref="CQ192" si="1535">AQ192</f>
        <v>274</v>
      </c>
      <c r="CR192" s="114">
        <f t="shared" ref="CR192" si="1536">AU192</f>
        <v>308</v>
      </c>
      <c r="CS192" s="114">
        <f t="shared" ref="CS192" si="1537">AY192</f>
        <v>321</v>
      </c>
      <c r="CT192" s="109" t="e">
        <f t="shared" ref="CT192" si="1538">M192-K192</f>
        <v>#VALUE!</v>
      </c>
    </row>
    <row r="193" spans="1:1030" x14ac:dyDescent="0.2">
      <c r="A193" s="3" t="str">
        <f t="shared" si="1007"/>
        <v>cnr1_human__wt</v>
      </c>
      <c r="B193" s="3" t="s">
        <v>182</v>
      </c>
      <c r="C193" s="3" t="s">
        <v>100</v>
      </c>
      <c r="D193" s="3" t="str">
        <f>IFERROR(MID(VLOOKUP($B193,Seqs!$A:$B,2,0),E193,1),"")</f>
        <v>N</v>
      </c>
      <c r="E193" s="3">
        <v>112</v>
      </c>
      <c r="F193" s="3" t="str">
        <f>IFERROR(MID(VLOOKUP($B193,Seqs!$A:$B,2,0),G193,1),"")</f>
        <v>S</v>
      </c>
      <c r="G193" s="3">
        <v>144</v>
      </c>
      <c r="H193" s="3" t="str">
        <f>IFERROR(MID(VLOOKUP($B193,Seqs!$A:$B,2,0),I193,1),"")</f>
        <v>R</v>
      </c>
      <c r="I193" s="23">
        <v>145</v>
      </c>
      <c r="J193" s="3" t="str">
        <f>IFERROR(MID(VLOOKUP($B193,Seqs!$A:$B,2,0),K193,1),"")</f>
        <v>R</v>
      </c>
      <c r="K193" s="23">
        <v>148</v>
      </c>
      <c r="L193" s="3" t="str">
        <f>IFERROR(MID(VLOOKUP($B193,Seqs!$A:$B,2,0),M193,1),"")</f>
        <v>R</v>
      </c>
      <c r="M193" s="3">
        <v>150</v>
      </c>
      <c r="N193" s="3" t="str">
        <f>IFERROR(MID(VLOOKUP($B193,Seqs!$A:$B,2,0),O193,1),"")</f>
        <v>V</v>
      </c>
      <c r="O193" s="3">
        <v>179</v>
      </c>
      <c r="P193" s="3" t="str">
        <f>IFERROR(MID(VLOOKUP($B193,Seqs!$A:$B,2,0),Q193,1),"")</f>
        <v/>
      </c>
      <c r="Q193" s="3" t="s">
        <v>23</v>
      </c>
      <c r="R193" s="3" t="str">
        <f>IFERROR(MID(VLOOKUP($B193,Seqs!$A:$B,2,0),S193,1),"")</f>
        <v/>
      </c>
      <c r="S193" s="3" t="s">
        <v>23</v>
      </c>
      <c r="T193" s="3" t="str">
        <f>IFERROR(MID(VLOOKUP($B193,Seqs!$A:$B,2,0),U193,1),"")</f>
        <v>S</v>
      </c>
      <c r="U193" s="3">
        <v>185</v>
      </c>
      <c r="V193" s="3" t="str">
        <f>IFERROR(MID(VLOOKUP($B193,Seqs!$A:$B,2,0),W193,1),"")</f>
        <v>R</v>
      </c>
      <c r="W193" s="3">
        <v>220</v>
      </c>
      <c r="X193" s="3" t="str">
        <f>IFERROR(MID(VLOOKUP($B193,Seqs!$A:$B,2,0),Y193,1),"")</f>
        <v>P</v>
      </c>
      <c r="Y193" s="3">
        <v>221</v>
      </c>
      <c r="Z193" s="3" t="str">
        <f>IFERROR(MID(VLOOKUP($B193,Seqs!$A:$B,2,0),AA193,1),"")</f>
        <v>V</v>
      </c>
      <c r="AA193" s="3">
        <v>228</v>
      </c>
      <c r="AB193" s="3" t="str">
        <f>IFERROR(MID(VLOOKUP($B193,Seqs!$A:$B,2,0),AC193,1),"")</f>
        <v>T</v>
      </c>
      <c r="AC193" s="9">
        <v>229</v>
      </c>
      <c r="AD193" s="3" t="str">
        <f>IFERROR(MID(VLOOKUP($B193,Seqs!$A:$B,2,0),AE193,1),"")</f>
        <v>G</v>
      </c>
      <c r="AE193" s="3">
        <v>254</v>
      </c>
      <c r="AF193" s="3" t="str">
        <f>IFERROR(MID(VLOOKUP($B193,Seqs!$A:$B,2,0),AG193,1),"")</f>
        <v/>
      </c>
      <c r="AG193" s="3" t="s">
        <v>23</v>
      </c>
      <c r="AH193" s="3" t="str">
        <f>IFERROR(MID(VLOOKUP($B193,Seqs!$A:$B,2,0),AI193,1),"")</f>
        <v/>
      </c>
      <c r="AI193" s="3" t="s">
        <v>23</v>
      </c>
      <c r="AJ193" s="3" t="str">
        <f>IFERROR(MID(VLOOKUP($B193,Seqs!$A:$B,2,0),AK193,1),"")</f>
        <v>D</v>
      </c>
      <c r="AK193" s="3">
        <v>272</v>
      </c>
      <c r="AL193" s="3" t="str">
        <f>IFERROR(MID(VLOOKUP($B193,Seqs!$A:$B,2,0),AM193,1),"")</f>
        <v>G</v>
      </c>
      <c r="AM193" s="3">
        <v>312</v>
      </c>
      <c r="AN193" s="3" t="str">
        <f>IFERROR(MID(VLOOKUP($B193,Seqs!$A:$B,2,0),AO193,1),"")</f>
        <v>P</v>
      </c>
      <c r="AO193" s="3">
        <v>332</v>
      </c>
      <c r="AP193" s="3" t="str">
        <f>IFERROR(MID(VLOOKUP($B193,Seqs!$A:$B,2,0),AQ193,1),"")</f>
        <v>G</v>
      </c>
      <c r="AQ193" s="3">
        <v>369</v>
      </c>
      <c r="AR193" s="3" t="str">
        <f>IFERROR(MID(VLOOKUP($B193,Seqs!$A:$B,2,0),AS193,1),"")</f>
        <v>N</v>
      </c>
      <c r="AS193" s="3">
        <v>372</v>
      </c>
      <c r="AT193" s="3" t="str">
        <f>IFERROR(MID(VLOOKUP($B193,Seqs!$A:$B,2,0),AU193,1),"")</f>
        <v>R</v>
      </c>
      <c r="AU193" s="3">
        <v>400</v>
      </c>
      <c r="AV193" s="3" t="str">
        <f>IFERROR(MID(VLOOKUP($B193,Seqs!$A:$B,2,0),AW193,1),"")</f>
        <v>S</v>
      </c>
      <c r="AW193" s="3">
        <v>401</v>
      </c>
      <c r="AX193" s="3" t="str">
        <f>IFERROR(MID(VLOOKUP($B193,Seqs!$A:$B,2,0),AY193,1),"")</f>
        <v>P</v>
      </c>
      <c r="AY193" s="3">
        <v>413</v>
      </c>
      <c r="AZ193" s="77" t="str">
        <f>VLOOKUP(B193,Classification!A:D,2,0)</f>
        <v>A</v>
      </c>
      <c r="BA193" s="94" t="str">
        <f>VLOOKUP(B193,Classification!A:D,4,0)</f>
        <v>Cannabinoid</v>
      </c>
      <c r="BB193" s="27" t="b">
        <f t="shared" si="1008"/>
        <v>1</v>
      </c>
      <c r="BC193" s="23">
        <f t="shared" si="785"/>
        <v>260</v>
      </c>
      <c r="BD193" s="56" t="s">
        <v>23</v>
      </c>
      <c r="BE193" s="3" t="s">
        <v>23</v>
      </c>
      <c r="BF193" s="118" t="s">
        <v>23</v>
      </c>
      <c r="BG193" s="49" t="s">
        <v>1372</v>
      </c>
      <c r="BH193" s="49" t="s">
        <v>1377</v>
      </c>
      <c r="BJ193" s="70" t="s">
        <v>1287</v>
      </c>
      <c r="BK193" s="57" t="s">
        <v>1287</v>
      </c>
      <c r="BL193" s="57" t="s">
        <v>1287</v>
      </c>
      <c r="BM193" s="57" t="s">
        <v>1287</v>
      </c>
      <c r="BN193" s="57" t="s">
        <v>1287</v>
      </c>
      <c r="BO193" s="57" t="s">
        <v>1287</v>
      </c>
      <c r="BP193" s="57" t="s">
        <v>1287</v>
      </c>
      <c r="BQ193" s="57" t="s">
        <v>1287</v>
      </c>
      <c r="BR193" s="57" t="s">
        <v>1287</v>
      </c>
      <c r="BS193" s="57" t="s">
        <v>1287</v>
      </c>
      <c r="BT193" s="57" t="s">
        <v>1287</v>
      </c>
      <c r="BU193" s="57" t="s">
        <v>1287</v>
      </c>
      <c r="BV193" s="70">
        <f t="shared" si="786"/>
        <v>112</v>
      </c>
      <c r="BW193" s="71">
        <f t="shared" si="787"/>
        <v>145</v>
      </c>
      <c r="BX193" s="72">
        <f t="shared" si="788"/>
        <v>150</v>
      </c>
      <c r="BY193" s="71" t="str">
        <f t="shared" si="789"/>
        <v>-</v>
      </c>
      <c r="BZ193" s="72">
        <f t="shared" si="790"/>
        <v>185</v>
      </c>
      <c r="CA193" s="71">
        <f t="shared" si="791"/>
        <v>221</v>
      </c>
      <c r="CB193" s="72">
        <f t="shared" si="792"/>
        <v>229</v>
      </c>
      <c r="CC193" s="71" t="str">
        <f t="shared" si="793"/>
        <v>-</v>
      </c>
      <c r="CD193" s="72">
        <f t="shared" si="794"/>
        <v>272</v>
      </c>
      <c r="CE193" s="71">
        <f t="shared" si="795"/>
        <v>332</v>
      </c>
      <c r="CF193" s="72">
        <f t="shared" si="796"/>
        <v>372</v>
      </c>
      <c r="CG193" s="71">
        <f t="shared" si="797"/>
        <v>401</v>
      </c>
      <c r="CH193" s="70">
        <f t="shared" si="798"/>
        <v>144</v>
      </c>
      <c r="CI193" s="71">
        <f t="shared" si="799"/>
        <v>148</v>
      </c>
      <c r="CJ193" s="72">
        <f t="shared" si="800"/>
        <v>179</v>
      </c>
      <c r="CK193" s="72" t="str">
        <f t="shared" si="801"/>
        <v>-</v>
      </c>
      <c r="CL193" s="72">
        <f t="shared" si="802"/>
        <v>220</v>
      </c>
      <c r="CM193" s="72">
        <f t="shared" si="803"/>
        <v>228</v>
      </c>
      <c r="CN193" s="72">
        <f t="shared" si="804"/>
        <v>254</v>
      </c>
      <c r="CO193" s="72" t="str">
        <f t="shared" si="805"/>
        <v>-</v>
      </c>
      <c r="CP193" s="72">
        <f t="shared" si="806"/>
        <v>312</v>
      </c>
      <c r="CQ193" s="72">
        <f t="shared" si="807"/>
        <v>369</v>
      </c>
      <c r="CR193" s="72">
        <f t="shared" si="808"/>
        <v>400</v>
      </c>
      <c r="CS193" s="72">
        <f t="shared" si="809"/>
        <v>413</v>
      </c>
      <c r="CT193" s="23">
        <f t="shared" si="810"/>
        <v>2</v>
      </c>
    </row>
    <row r="194" spans="1:1030" s="3" customFormat="1" x14ac:dyDescent="0.2">
      <c r="A194" s="3" t="str">
        <f t="shared" si="1007"/>
        <v>cnr1_human_5TGZ</v>
      </c>
      <c r="B194" s="3" t="s">
        <v>182</v>
      </c>
      <c r="C194" s="3" t="s">
        <v>1359</v>
      </c>
      <c r="D194" s="3" t="str">
        <f>IFERROR(MID(VLOOKUP($B194,Seqs!$A:$B,2,0),E194,1),"")</f>
        <v>P</v>
      </c>
      <c r="E194" s="3">
        <v>113</v>
      </c>
      <c r="F194" s="3" t="str">
        <f>IFERROR(MID(VLOOKUP($B194,Seqs!$A:$B,2,0),G194,1),"")</f>
        <v>S</v>
      </c>
      <c r="G194" s="3">
        <v>144</v>
      </c>
      <c r="H194" s="3" t="str">
        <f>IFERROR(MID(VLOOKUP($B194,Seqs!$A:$B,2,0),I194,1),"")</f>
        <v>R</v>
      </c>
      <c r="I194" s="23">
        <v>145</v>
      </c>
      <c r="J194" s="3" t="str">
        <f>IFERROR(MID(VLOOKUP($B194,Seqs!$A:$B,2,0),K194,1),"")</f>
        <v>R</v>
      </c>
      <c r="K194" s="23">
        <v>148</v>
      </c>
      <c r="L194" s="3" t="str">
        <f>IFERROR(MID(VLOOKUP($B194,Seqs!$A:$B,2,0),M194,1),"")</f>
        <v>R</v>
      </c>
      <c r="M194" s="3">
        <v>150</v>
      </c>
      <c r="N194" s="3" t="str">
        <f>IFERROR(MID(VLOOKUP($B194,Seqs!$A:$B,2,0),O194,1),"")</f>
        <v>V</v>
      </c>
      <c r="O194" s="3">
        <v>179</v>
      </c>
      <c r="P194" s="3" t="str">
        <f>IFERROR(MID(VLOOKUP($B194,Seqs!$A:$B,2,0),Q194,1),"")</f>
        <v/>
      </c>
      <c r="Q194" s="3" t="s">
        <v>23</v>
      </c>
      <c r="R194" s="3" t="str">
        <f>IFERROR(MID(VLOOKUP($B194,Seqs!$A:$B,2,0),S194,1),"")</f>
        <v/>
      </c>
      <c r="S194" s="3" t="s">
        <v>23</v>
      </c>
      <c r="T194" s="3" t="str">
        <f>IFERROR(MID(VLOOKUP($B194,Seqs!$A:$B,2,0),U194,1),"")</f>
        <v>S</v>
      </c>
      <c r="U194" s="3">
        <v>185</v>
      </c>
      <c r="V194" s="3" t="str">
        <f>IFERROR(MID(VLOOKUP($B194,Seqs!$A:$B,2,0),W194,1),"")</f>
        <v>R</v>
      </c>
      <c r="W194" s="3">
        <v>220</v>
      </c>
      <c r="X194" s="3" t="str">
        <f>IFERROR(MID(VLOOKUP($B194,Seqs!$A:$B,2,0),Y194,1),"")</f>
        <v>P</v>
      </c>
      <c r="Y194" s="3">
        <v>221</v>
      </c>
      <c r="Z194" s="3" t="str">
        <f>IFERROR(MID(VLOOKUP($B194,Seqs!$A:$B,2,0),AA194,1),"")</f>
        <v>V</v>
      </c>
      <c r="AA194" s="3">
        <v>228</v>
      </c>
      <c r="AB194" s="3" t="str">
        <f>IFERROR(MID(VLOOKUP($B194,Seqs!$A:$B,2,0),AC194,1),"")</f>
        <v>T</v>
      </c>
      <c r="AC194" s="9">
        <v>229</v>
      </c>
      <c r="AD194" s="3" t="str">
        <f>IFERROR(MID(VLOOKUP($B194,Seqs!$A:$B,2,0),AE194,1),"")</f>
        <v>G</v>
      </c>
      <c r="AE194" s="3">
        <v>254</v>
      </c>
      <c r="AF194" s="3" t="str">
        <f>IFERROR(MID(VLOOKUP($B194,Seqs!$A:$B,2,0),AG194,1),"")</f>
        <v/>
      </c>
      <c r="AG194" s="3" t="s">
        <v>23</v>
      </c>
      <c r="AH194" s="3" t="str">
        <f>IFERROR(MID(VLOOKUP($B194,Seqs!$A:$B,2,0),AI194,1),"")</f>
        <v/>
      </c>
      <c r="AI194" s="3" t="s">
        <v>23</v>
      </c>
      <c r="AJ194" s="3" t="str">
        <f>IFERROR(MID(VLOOKUP($B194,Seqs!$A:$B,2,0),AK194,1),"")</f>
        <v>D</v>
      </c>
      <c r="AK194" s="3">
        <v>272</v>
      </c>
      <c r="AL194" s="3" t="str">
        <f>IFERROR(MID(VLOOKUP($B194,Seqs!$A:$B,2,0),AM194,1),"")</f>
        <v>H</v>
      </c>
      <c r="AM194" s="3">
        <v>304</v>
      </c>
      <c r="AN194" s="3" t="str">
        <f>IFERROR(MID(VLOOKUP($B194,Seqs!$A:$B,2,0),AO194,1),"")</f>
        <v>P</v>
      </c>
      <c r="AO194" s="3">
        <v>332</v>
      </c>
      <c r="AP194" s="3" t="str">
        <f>IFERROR(MID(VLOOKUP($B194,Seqs!$A:$B,2,0),AQ194,1),"")</f>
        <v>F</v>
      </c>
      <c r="AQ194" s="3">
        <v>368</v>
      </c>
      <c r="AR194" s="3" t="str">
        <f>IFERROR(MID(VLOOKUP($B194,Seqs!$A:$B,2,0),AS194,1),"")</f>
        <v>N</v>
      </c>
      <c r="AS194" s="3">
        <v>372</v>
      </c>
      <c r="AT194" s="3" t="str">
        <f>IFERROR(MID(VLOOKUP($B194,Seqs!$A:$B,2,0),AU194,1),"")</f>
        <v>R</v>
      </c>
      <c r="AU194" s="3">
        <v>400</v>
      </c>
      <c r="AV194" s="3" t="str">
        <f>IFERROR(MID(VLOOKUP($B194,Seqs!$A:$B,2,0),AW194,1),"")</f>
        <v>S</v>
      </c>
      <c r="AW194" s="3">
        <v>401</v>
      </c>
      <c r="AX194" s="3" t="str">
        <f>IFERROR(MID(VLOOKUP($B194,Seqs!$A:$B,2,0),AY194,1),"")</f>
        <v>M</v>
      </c>
      <c r="AY194" s="3">
        <v>411</v>
      </c>
      <c r="AZ194" s="77" t="str">
        <f>VLOOKUP(B194,Classification!A:D,2,0)</f>
        <v>A</v>
      </c>
      <c r="BA194" s="94" t="str">
        <f>VLOOKUP(B194,Classification!A:D,4,0)</f>
        <v>Cannabinoid</v>
      </c>
      <c r="BB194" s="27" t="b">
        <f t="shared" si="1008"/>
        <v>1</v>
      </c>
      <c r="BC194" s="23">
        <f t="shared" si="785"/>
        <v>248</v>
      </c>
      <c r="BD194" s="16" t="s">
        <v>1376</v>
      </c>
      <c r="BE194" s="3" t="s">
        <v>1374</v>
      </c>
      <c r="BF194" s="118">
        <v>2.8</v>
      </c>
      <c r="BG194" s="49" t="s">
        <v>1377</v>
      </c>
      <c r="BH194" s="49" t="s">
        <v>1377</v>
      </c>
      <c r="BJ194" s="70" t="s">
        <v>1287</v>
      </c>
      <c r="BK194" s="57" t="s">
        <v>1287</v>
      </c>
      <c r="BL194" s="57" t="s">
        <v>1287</v>
      </c>
      <c r="BM194" s="57" t="s">
        <v>1287</v>
      </c>
      <c r="BN194" s="57" t="s">
        <v>1287</v>
      </c>
      <c r="BO194" s="57" t="s">
        <v>1287</v>
      </c>
      <c r="BP194" s="57" t="s">
        <v>1287</v>
      </c>
      <c r="BQ194" s="57" t="s">
        <v>1287</v>
      </c>
      <c r="BR194" s="57" t="s">
        <v>1287</v>
      </c>
      <c r="BS194" s="57" t="s">
        <v>1287</v>
      </c>
      <c r="BT194" s="57" t="s">
        <v>1287</v>
      </c>
      <c r="BU194" s="57" t="s">
        <v>1287</v>
      </c>
      <c r="BV194" s="70">
        <f t="shared" si="786"/>
        <v>113</v>
      </c>
      <c r="BW194" s="71">
        <f t="shared" si="787"/>
        <v>145</v>
      </c>
      <c r="BX194" s="72">
        <f t="shared" si="788"/>
        <v>150</v>
      </c>
      <c r="BY194" s="71" t="str">
        <f t="shared" si="789"/>
        <v>-</v>
      </c>
      <c r="BZ194" s="72">
        <f t="shared" si="790"/>
        <v>185</v>
      </c>
      <c r="CA194" s="71">
        <f t="shared" si="791"/>
        <v>221</v>
      </c>
      <c r="CB194" s="72">
        <f t="shared" si="792"/>
        <v>229</v>
      </c>
      <c r="CC194" s="71" t="str">
        <f t="shared" si="793"/>
        <v>-</v>
      </c>
      <c r="CD194" s="72">
        <f t="shared" si="794"/>
        <v>272</v>
      </c>
      <c r="CE194" s="71">
        <f t="shared" si="795"/>
        <v>332</v>
      </c>
      <c r="CF194" s="72">
        <f t="shared" si="796"/>
        <v>372</v>
      </c>
      <c r="CG194" s="71">
        <f t="shared" si="797"/>
        <v>401</v>
      </c>
      <c r="CH194" s="70">
        <f t="shared" si="798"/>
        <v>144</v>
      </c>
      <c r="CI194" s="71">
        <f t="shared" si="799"/>
        <v>148</v>
      </c>
      <c r="CJ194" s="72">
        <f t="shared" si="800"/>
        <v>179</v>
      </c>
      <c r="CK194" s="72" t="str">
        <f t="shared" si="801"/>
        <v>-</v>
      </c>
      <c r="CL194" s="72">
        <f t="shared" si="802"/>
        <v>220</v>
      </c>
      <c r="CM194" s="72">
        <f t="shared" si="803"/>
        <v>228</v>
      </c>
      <c r="CN194" s="72">
        <f t="shared" si="804"/>
        <v>254</v>
      </c>
      <c r="CO194" s="72" t="str">
        <f t="shared" si="805"/>
        <v>-</v>
      </c>
      <c r="CP194" s="72">
        <f t="shared" si="806"/>
        <v>304</v>
      </c>
      <c r="CQ194" s="72">
        <f t="shared" si="807"/>
        <v>368</v>
      </c>
      <c r="CR194" s="72">
        <f t="shared" si="808"/>
        <v>400</v>
      </c>
      <c r="CS194" s="72">
        <f t="shared" si="809"/>
        <v>411</v>
      </c>
      <c r="CT194" s="23">
        <f t="shared" si="810"/>
        <v>2</v>
      </c>
      <c r="AMP194" s="1"/>
    </row>
    <row r="195" spans="1:1030" x14ac:dyDescent="0.2">
      <c r="A195" s="3" t="str">
        <f t="shared" si="1007"/>
        <v>cnr1_human_5U09</v>
      </c>
      <c r="B195" s="3" t="s">
        <v>182</v>
      </c>
      <c r="C195" s="3" t="s">
        <v>1364</v>
      </c>
      <c r="D195" s="3" t="str">
        <f>IFERROR(MID(VLOOKUP($B195,Seqs!$A:$B,2,0),E195,1),"")</f>
        <v>N</v>
      </c>
      <c r="E195" s="3">
        <v>112</v>
      </c>
      <c r="F195" s="3" t="str">
        <f>IFERROR(MID(VLOOKUP($B195,Seqs!$A:$B,2,0),G195,1),"")</f>
        <v>S</v>
      </c>
      <c r="G195" s="3">
        <v>144</v>
      </c>
      <c r="H195" s="3" t="str">
        <f>IFERROR(MID(VLOOKUP($B195,Seqs!$A:$B,2,0),I195,1),"")</f>
        <v>R</v>
      </c>
      <c r="I195" s="23">
        <v>145</v>
      </c>
      <c r="J195" s="3" t="str">
        <f>IFERROR(MID(VLOOKUP($B195,Seqs!$A:$B,2,0),K195,1),"")</f>
        <v>R</v>
      </c>
      <c r="K195" s="23">
        <v>148</v>
      </c>
      <c r="L195" s="3" t="str">
        <f>IFERROR(MID(VLOOKUP($B195,Seqs!$A:$B,2,0),M195,1),"")</f>
        <v>R</v>
      </c>
      <c r="M195" s="3">
        <v>150</v>
      </c>
      <c r="N195" s="3" t="str">
        <f>IFERROR(MID(VLOOKUP($B195,Seqs!$A:$B,2,0),O195,1),"")</f>
        <v>V</v>
      </c>
      <c r="O195" s="3">
        <v>179</v>
      </c>
      <c r="P195" s="3" t="str">
        <f>IFERROR(MID(VLOOKUP($B195,Seqs!$A:$B,2,0),Q195,1),"")</f>
        <v/>
      </c>
      <c r="Q195" s="3" t="s">
        <v>23</v>
      </c>
      <c r="R195" s="3" t="str">
        <f>IFERROR(MID(VLOOKUP($B195,Seqs!$A:$B,2,0),S195,1),"")</f>
        <v/>
      </c>
      <c r="S195" s="3" t="s">
        <v>23</v>
      </c>
      <c r="T195" s="3" t="str">
        <f>IFERROR(MID(VLOOKUP($B195,Seqs!$A:$B,2,0),U195,1),"")</f>
        <v>S</v>
      </c>
      <c r="U195" s="3">
        <v>185</v>
      </c>
      <c r="V195" s="3" t="str">
        <f>IFERROR(MID(VLOOKUP($B195,Seqs!$A:$B,2,0),W195,1),"")</f>
        <v>R</v>
      </c>
      <c r="W195" s="3">
        <v>220</v>
      </c>
      <c r="X195" s="3" t="str">
        <f>IFERROR(MID(VLOOKUP($B195,Seqs!$A:$B,2,0),Y195,1),"")</f>
        <v>P</v>
      </c>
      <c r="Y195" s="3">
        <v>221</v>
      </c>
      <c r="Z195" s="3" t="str">
        <f>IFERROR(MID(VLOOKUP($B195,Seqs!$A:$B,2,0),AA195,1),"")</f>
        <v>V</v>
      </c>
      <c r="AA195" s="3">
        <v>228</v>
      </c>
      <c r="AB195" s="3" t="str">
        <f>IFERROR(MID(VLOOKUP($B195,Seqs!$A:$B,2,0),AC195,1),"")</f>
        <v>T</v>
      </c>
      <c r="AC195" s="9">
        <v>229</v>
      </c>
      <c r="AD195" s="3" t="str">
        <f>IFERROR(MID(VLOOKUP($B195,Seqs!$A:$B,2,0),AE195,1),"")</f>
        <v>G</v>
      </c>
      <c r="AE195" s="3">
        <v>254</v>
      </c>
      <c r="AF195" s="3" t="str">
        <f>IFERROR(MID(VLOOKUP($B195,Seqs!$A:$B,2,0),AG195,1),"")</f>
        <v/>
      </c>
      <c r="AG195" s="3" t="s">
        <v>23</v>
      </c>
      <c r="AH195" s="3" t="str">
        <f>IFERROR(MID(VLOOKUP($B195,Seqs!$A:$B,2,0),AI195,1),"")</f>
        <v/>
      </c>
      <c r="AI195" s="3" t="s">
        <v>23</v>
      </c>
      <c r="AJ195" s="3" t="str">
        <f>IFERROR(MID(VLOOKUP($B195,Seqs!$A:$B,2,0),AK195,1),"")</f>
        <v>D</v>
      </c>
      <c r="AK195" s="3">
        <v>272</v>
      </c>
      <c r="AL195" s="3" t="str">
        <f>IFERROR(MID(VLOOKUP($B195,Seqs!$A:$B,2,0),AM195,1),"")</f>
        <v>A</v>
      </c>
      <c r="AM195" s="3">
        <v>301</v>
      </c>
      <c r="AN195" s="3" t="str">
        <f>IFERROR(MID(VLOOKUP($B195,Seqs!$A:$B,2,0),AO195,1),"")</f>
        <v>D</v>
      </c>
      <c r="AO195" s="3">
        <v>333</v>
      </c>
      <c r="AP195" s="3" t="str">
        <f>IFERROR(MID(VLOOKUP($B195,Seqs!$A:$B,2,0),AQ195,1),"")</f>
        <v>F</v>
      </c>
      <c r="AQ195" s="3">
        <v>368</v>
      </c>
      <c r="AR195" s="3" t="str">
        <f>IFERROR(MID(VLOOKUP($B195,Seqs!$A:$B,2,0),AS195,1),"")</f>
        <v>L</v>
      </c>
      <c r="AS195" s="3">
        <v>374</v>
      </c>
      <c r="AT195" s="3" t="str">
        <f>IFERROR(MID(VLOOKUP($B195,Seqs!$A:$B,2,0),AU195,1),"")</f>
        <v>R</v>
      </c>
      <c r="AU195" s="3">
        <v>400</v>
      </c>
      <c r="AV195" s="3" t="str">
        <f>IFERROR(MID(VLOOKUP($B195,Seqs!$A:$B,2,0),AW195,1),"")</f>
        <v>S</v>
      </c>
      <c r="AW195" s="3">
        <v>401</v>
      </c>
      <c r="AX195" s="3" t="str">
        <f>IFERROR(MID(VLOOKUP($B195,Seqs!$A:$B,2,0),AY195,1),"")</f>
        <v>M</v>
      </c>
      <c r="AY195" s="3">
        <v>411</v>
      </c>
      <c r="AZ195" s="77" t="str">
        <f>VLOOKUP(B195,Classification!A:D,2,0)</f>
        <v>A</v>
      </c>
      <c r="BA195" s="94" t="str">
        <f>VLOOKUP(B195,Classification!A:D,4,0)</f>
        <v>Cannabinoid</v>
      </c>
      <c r="BB195" s="27" t="b">
        <f t="shared" si="1008"/>
        <v>1</v>
      </c>
      <c r="BC195" s="23">
        <f t="shared" si="785"/>
        <v>243</v>
      </c>
      <c r="BD195" s="2" t="s">
        <v>23</v>
      </c>
      <c r="BE195" s="3" t="s">
        <v>1374</v>
      </c>
      <c r="BF195" s="118">
        <v>2.6</v>
      </c>
      <c r="BG195" s="49" t="s">
        <v>1377</v>
      </c>
      <c r="BH195" s="49" t="s">
        <v>1377</v>
      </c>
      <c r="BJ195" s="70" t="s">
        <v>1287</v>
      </c>
      <c r="BK195" s="57" t="s">
        <v>1287</v>
      </c>
      <c r="BL195" s="57" t="s">
        <v>1287</v>
      </c>
      <c r="BM195" s="57" t="s">
        <v>1287</v>
      </c>
      <c r="BN195" s="57" t="s">
        <v>1287</v>
      </c>
      <c r="BO195" s="57" t="s">
        <v>1287</v>
      </c>
      <c r="BP195" s="57" t="s">
        <v>1287</v>
      </c>
      <c r="BQ195" s="57" t="s">
        <v>1287</v>
      </c>
      <c r="BR195" s="57" t="s">
        <v>1287</v>
      </c>
      <c r="BS195" s="57" t="s">
        <v>1287</v>
      </c>
      <c r="BT195" s="57" t="s">
        <v>1287</v>
      </c>
      <c r="BU195" s="57" t="s">
        <v>1287</v>
      </c>
      <c r="BV195" s="70">
        <f t="shared" si="786"/>
        <v>112</v>
      </c>
      <c r="BW195" s="71">
        <f t="shared" si="787"/>
        <v>145</v>
      </c>
      <c r="BX195" s="72">
        <f t="shared" si="788"/>
        <v>150</v>
      </c>
      <c r="BY195" s="71" t="str">
        <f t="shared" si="789"/>
        <v>-</v>
      </c>
      <c r="BZ195" s="72">
        <f t="shared" si="790"/>
        <v>185</v>
      </c>
      <c r="CA195" s="71">
        <f t="shared" si="791"/>
        <v>221</v>
      </c>
      <c r="CB195" s="72">
        <f t="shared" si="792"/>
        <v>229</v>
      </c>
      <c r="CC195" s="71" t="str">
        <f t="shared" si="793"/>
        <v>-</v>
      </c>
      <c r="CD195" s="72">
        <f t="shared" si="794"/>
        <v>272</v>
      </c>
      <c r="CE195" s="71">
        <f t="shared" si="795"/>
        <v>333</v>
      </c>
      <c r="CF195" s="72">
        <f t="shared" si="796"/>
        <v>374</v>
      </c>
      <c r="CG195" s="71">
        <f t="shared" si="797"/>
        <v>401</v>
      </c>
      <c r="CH195" s="70">
        <f t="shared" si="798"/>
        <v>144</v>
      </c>
      <c r="CI195" s="71">
        <f t="shared" si="799"/>
        <v>148</v>
      </c>
      <c r="CJ195" s="72">
        <f t="shared" si="800"/>
        <v>179</v>
      </c>
      <c r="CK195" s="72" t="str">
        <f t="shared" si="801"/>
        <v>-</v>
      </c>
      <c r="CL195" s="72">
        <f t="shared" si="802"/>
        <v>220</v>
      </c>
      <c r="CM195" s="72">
        <f t="shared" si="803"/>
        <v>228</v>
      </c>
      <c r="CN195" s="72">
        <f t="shared" si="804"/>
        <v>254</v>
      </c>
      <c r="CO195" s="72" t="str">
        <f t="shared" si="805"/>
        <v>-</v>
      </c>
      <c r="CP195" s="72">
        <f t="shared" si="806"/>
        <v>301</v>
      </c>
      <c r="CQ195" s="72">
        <f t="shared" si="807"/>
        <v>368</v>
      </c>
      <c r="CR195" s="72">
        <f t="shared" si="808"/>
        <v>400</v>
      </c>
      <c r="CS195" s="72">
        <f t="shared" si="809"/>
        <v>411</v>
      </c>
      <c r="CT195" s="23">
        <f t="shared" si="810"/>
        <v>2</v>
      </c>
    </row>
    <row r="196" spans="1:1030" x14ac:dyDescent="0.2">
      <c r="A196" s="3" t="str">
        <f t="shared" ref="A196:A202" si="1539">CONCATENATE(B196,"_",C196)</f>
        <v>cnr1_human_5XR8</v>
      </c>
      <c r="B196" s="3" t="s">
        <v>182</v>
      </c>
      <c r="C196" s="3" t="s">
        <v>1424</v>
      </c>
      <c r="D196" s="3" t="str">
        <f>IFERROR(MID(VLOOKUP($B196,Seqs!$A:$B,2,0),E196,1),"")</f>
        <v>N</v>
      </c>
      <c r="E196" s="3">
        <v>112</v>
      </c>
      <c r="F196" s="3" t="str">
        <f>IFERROR(MID(VLOOKUP($B196,Seqs!$A:$B,2,0),G196,1),"")</f>
        <v>S</v>
      </c>
      <c r="G196" s="3">
        <v>146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Y</v>
      </c>
      <c r="M196" s="3">
        <v>153</v>
      </c>
      <c r="N196" s="3" t="str">
        <f>IFERROR(MID(VLOOKUP($B196,Seqs!$A:$B,2,0),O196,1),"")</f>
        <v>F</v>
      </c>
      <c r="O196" s="3">
        <v>180</v>
      </c>
      <c r="P196" s="3" t="str">
        <f>IFERROR(MID(VLOOKUP($B196,Seqs!$A:$B,2,0),Q196,1),"")</f>
        <v/>
      </c>
      <c r="Q196" s="3" t="s">
        <v>23</v>
      </c>
      <c r="R196" s="3" t="str">
        <f>IFERROR(MID(VLOOKUP($B196,Seqs!$A:$B,2,0),S196,1),"")</f>
        <v/>
      </c>
      <c r="S196" s="3" t="s">
        <v>23</v>
      </c>
      <c r="T196" s="3" t="str">
        <f>IFERROR(MID(VLOOKUP($B196,Seqs!$A:$B,2,0),U196,1),"")</f>
        <v>S</v>
      </c>
      <c r="U196" s="3">
        <v>185</v>
      </c>
      <c r="V196" s="3" t="str">
        <f>IFERROR(MID(VLOOKUP($B196,Seqs!$A:$B,2,0),W196,1),"")</f>
        <v>R</v>
      </c>
      <c r="W196" s="3">
        <v>220</v>
      </c>
      <c r="X196" s="3" t="str">
        <f>IFERROR(MID(VLOOKUP($B196,Seqs!$A:$B,2,0),Y196,1),"")</f>
        <v>P</v>
      </c>
      <c r="Y196" s="3">
        <v>221</v>
      </c>
      <c r="Z196" s="3" t="str">
        <f>IFERROR(MID(VLOOKUP($B196,Seqs!$A:$B,2,0),AA196,1),"")</f>
        <v>V</v>
      </c>
      <c r="AA196" s="3">
        <v>228</v>
      </c>
      <c r="AB196" s="3" t="str">
        <f>IFERROR(MID(VLOOKUP($B196,Seqs!$A:$B,2,0),AC196,1),"")</f>
        <v>T</v>
      </c>
      <c r="AC196" s="3">
        <v>229</v>
      </c>
      <c r="AD196" s="3" t="str">
        <f>IFERROR(MID(VLOOKUP($B196,Seqs!$A:$B,2,0),AE196,1),"")</f>
        <v>G</v>
      </c>
      <c r="AE196" s="3">
        <v>254</v>
      </c>
      <c r="AF196" s="3" t="str">
        <f>IFERROR(MID(VLOOKUP($B196,Seqs!$A:$B,2,0),AG196,1),"")</f>
        <v/>
      </c>
      <c r="AG196" s="3" t="s">
        <v>23</v>
      </c>
      <c r="AH196" s="3" t="str">
        <f>IFERROR(MID(VLOOKUP($B196,Seqs!$A:$B,2,0),AI196,1),"")</f>
        <v/>
      </c>
      <c r="AI196" s="3" t="s">
        <v>23</v>
      </c>
      <c r="AJ196" s="3" t="str">
        <f>IFERROR(MID(VLOOKUP($B196,Seqs!$A:$B,2,0),AK196,1),"")</f>
        <v>D</v>
      </c>
      <c r="AK196" s="3">
        <v>272</v>
      </c>
      <c r="AL196" s="3" t="str">
        <f>IFERROR(MID(VLOOKUP($B196,Seqs!$A:$B,2,0),AM196,1),"")</f>
        <v>S</v>
      </c>
      <c r="AM196" s="3">
        <v>303</v>
      </c>
      <c r="AN196" s="3" t="str">
        <f>IFERROR(MID(VLOOKUP($B196,Seqs!$A:$B,2,0),AO196,1),"")</f>
        <v>D</v>
      </c>
      <c r="AO196" s="3">
        <v>338</v>
      </c>
      <c r="AP196" s="3" t="str">
        <f>IFERROR(MID(VLOOKUP($B196,Seqs!$A:$B,2,0),AQ196,1),"")</f>
        <v>F</v>
      </c>
      <c r="AQ196" s="3">
        <v>368</v>
      </c>
      <c r="AR196" s="3" t="str">
        <f>IFERROR(MID(VLOOKUP($B196,Seqs!$A:$B,2,0),AS196,1),"")</f>
        <v>N</v>
      </c>
      <c r="AS196" s="3">
        <v>372</v>
      </c>
      <c r="AT196" s="3" t="str">
        <f>IFERROR(MID(VLOOKUP($B196,Seqs!$A:$B,2,0),AU196,1),"")</f>
        <v>Y</v>
      </c>
      <c r="AU196" s="3">
        <v>397</v>
      </c>
      <c r="AV196" s="3" t="str">
        <f>IFERROR(MID(VLOOKUP($B196,Seqs!$A:$B,2,0),AW196,1),"")</f>
        <v>S</v>
      </c>
      <c r="AW196" s="3">
        <v>401</v>
      </c>
      <c r="AX196" s="3" t="str">
        <f>IFERROR(MID(VLOOKUP($B196,Seqs!$A:$B,2,0),AY196,1),"")</f>
        <v>F</v>
      </c>
      <c r="AY196" s="3">
        <v>412</v>
      </c>
      <c r="AZ196" s="77" t="str">
        <f>VLOOKUP(B196,Classification!A:D,2,0)</f>
        <v>A</v>
      </c>
      <c r="BA196" s="94" t="str">
        <f>VLOOKUP(B196,Classification!A:D,4,0)</f>
        <v>Cannabinoid</v>
      </c>
      <c r="BB196" s="27" t="b">
        <f t="shared" ref="BB196:BB202" si="1540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23">
        <f t="shared" ref="BC196:BC202" si="1541">_xlfn.AGGREGATE(9,6,CH196:CS196)-_xlfn.AGGREGATE(9,6,BV196:CG196)+12</f>
        <v>237</v>
      </c>
      <c r="BD196" s="2" t="s">
        <v>23</v>
      </c>
      <c r="BE196" s="3" t="s">
        <v>1291</v>
      </c>
      <c r="BF196" s="118">
        <v>2.95</v>
      </c>
      <c r="BG196" s="49" t="s">
        <v>1</v>
      </c>
      <c r="BH196" s="49" t="s">
        <v>1</v>
      </c>
      <c r="BJ196" s="70" t="s">
        <v>1287</v>
      </c>
      <c r="BK196" s="57" t="s">
        <v>1287</v>
      </c>
      <c r="BL196" s="57" t="s">
        <v>1287</v>
      </c>
      <c r="BM196" s="57" t="s">
        <v>1287</v>
      </c>
      <c r="BN196" s="57" t="s">
        <v>1287</v>
      </c>
      <c r="BO196" s="57" t="s">
        <v>1287</v>
      </c>
      <c r="BP196" s="57" t="s">
        <v>1287</v>
      </c>
      <c r="BQ196" s="57" t="s">
        <v>1287</v>
      </c>
      <c r="BR196" s="57" t="s">
        <v>1287</v>
      </c>
      <c r="BS196" s="57" t="s">
        <v>1287</v>
      </c>
      <c r="BT196" s="57" t="s">
        <v>1287</v>
      </c>
      <c r="BU196" s="57" t="s">
        <v>1287</v>
      </c>
      <c r="BV196" s="70">
        <f t="shared" ref="BV196:BV202" si="1542">E196</f>
        <v>112</v>
      </c>
      <c r="BW196" s="71" t="str">
        <f t="shared" ref="BW196:BW202" si="1543">I196</f>
        <v>-</v>
      </c>
      <c r="BX196" s="72">
        <f t="shared" ref="BX196:BX202" si="1544">M196</f>
        <v>153</v>
      </c>
      <c r="BY196" s="71" t="str">
        <f t="shared" ref="BY196:BY202" si="1545">Q196</f>
        <v>-</v>
      </c>
      <c r="BZ196" s="72">
        <f t="shared" ref="BZ196:BZ202" si="1546">U196</f>
        <v>185</v>
      </c>
      <c r="CA196" s="71">
        <f t="shared" ref="CA196:CA202" si="1547">Y196</f>
        <v>221</v>
      </c>
      <c r="CB196" s="72">
        <f t="shared" ref="CB196:CB202" si="1548">AC196</f>
        <v>229</v>
      </c>
      <c r="CC196" s="71" t="str">
        <f t="shared" ref="CC196:CC202" si="1549">AG196</f>
        <v>-</v>
      </c>
      <c r="CD196" s="72">
        <f t="shared" ref="CD196:CD202" si="1550">AK196</f>
        <v>272</v>
      </c>
      <c r="CE196" s="71">
        <f t="shared" ref="CE196:CE202" si="1551">AO196</f>
        <v>338</v>
      </c>
      <c r="CF196" s="72">
        <f t="shared" ref="CF196:CF202" si="1552">AS196</f>
        <v>372</v>
      </c>
      <c r="CG196" s="71">
        <f t="shared" ref="CG196:CG202" si="1553">AW196</f>
        <v>401</v>
      </c>
      <c r="CH196" s="70">
        <f t="shared" ref="CH196:CH202" si="1554">G196</f>
        <v>146</v>
      </c>
      <c r="CI196" s="71" t="str">
        <f t="shared" ref="CI196:CI202" si="1555">K196</f>
        <v>-</v>
      </c>
      <c r="CJ196" s="72">
        <f t="shared" ref="CJ196:CJ202" si="1556">O196</f>
        <v>180</v>
      </c>
      <c r="CK196" s="72" t="str">
        <f t="shared" ref="CK196:CK202" si="1557">S196</f>
        <v>-</v>
      </c>
      <c r="CL196" s="72">
        <f t="shared" ref="CL196:CL202" si="1558">W196</f>
        <v>220</v>
      </c>
      <c r="CM196" s="72">
        <f t="shared" ref="CM196:CM202" si="1559">AA196</f>
        <v>228</v>
      </c>
      <c r="CN196" s="72">
        <f t="shared" ref="CN196:CN202" si="1560">AE196</f>
        <v>254</v>
      </c>
      <c r="CO196" s="72" t="str">
        <f t="shared" ref="CO196:CO202" si="1561">AI196</f>
        <v>-</v>
      </c>
      <c r="CP196" s="72">
        <f t="shared" ref="CP196:CP202" si="1562">AM196</f>
        <v>303</v>
      </c>
      <c r="CQ196" s="72">
        <f t="shared" ref="CQ196:CQ202" si="1563">AQ196</f>
        <v>368</v>
      </c>
      <c r="CR196" s="72">
        <f t="shared" ref="CR196:CR202" si="1564">AU196</f>
        <v>397</v>
      </c>
      <c r="CS196" s="72">
        <f t="shared" ref="CS196:CS202" si="1565">AY196</f>
        <v>412</v>
      </c>
      <c r="CT196" s="23" t="e">
        <f t="shared" ref="CT196:CT202" si="1566">M196-K196</f>
        <v>#VALUE!</v>
      </c>
    </row>
    <row r="197" spans="1:1030" x14ac:dyDescent="0.2">
      <c r="A197" s="3" t="str">
        <f t="shared" si="1539"/>
        <v>cnr1_human_5XRA</v>
      </c>
      <c r="B197" s="3" t="s">
        <v>182</v>
      </c>
      <c r="C197" s="3" t="s">
        <v>1425</v>
      </c>
      <c r="D197" s="3" t="str">
        <f>IFERROR(MID(VLOOKUP($B197,Seqs!$A:$B,2,0),E197,1),"")</f>
        <v>N</v>
      </c>
      <c r="E197" s="3">
        <v>112</v>
      </c>
      <c r="F197" s="3" t="str">
        <f>IFERROR(MID(VLOOKUP($B197,Seqs!$A:$B,2,0),G197,1),"")</f>
        <v>S</v>
      </c>
      <c r="G197" s="3">
        <v>146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Y</v>
      </c>
      <c r="M197" s="3">
        <v>153</v>
      </c>
      <c r="N197" s="3" t="str">
        <f>IFERROR(MID(VLOOKUP($B197,Seqs!$A:$B,2,0),O197,1),"")</f>
        <v>F</v>
      </c>
      <c r="O197" s="3">
        <v>180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S</v>
      </c>
      <c r="U197" s="3">
        <v>185</v>
      </c>
      <c r="V197" s="3" t="str">
        <f>IFERROR(MID(VLOOKUP($B197,Seqs!$A:$B,2,0),W197,1),"")</f>
        <v>R</v>
      </c>
      <c r="W197" s="3">
        <v>220</v>
      </c>
      <c r="X197" s="3" t="str">
        <f>IFERROR(MID(VLOOKUP($B197,Seqs!$A:$B,2,0),Y197,1),"")</f>
        <v>P</v>
      </c>
      <c r="Y197" s="3">
        <v>221</v>
      </c>
      <c r="Z197" s="3" t="str">
        <f>IFERROR(MID(VLOOKUP($B197,Seqs!$A:$B,2,0),AA197,1),"")</f>
        <v>V</v>
      </c>
      <c r="AA197" s="3">
        <v>228</v>
      </c>
      <c r="AB197" s="3" t="str">
        <f>IFERROR(MID(VLOOKUP($B197,Seqs!$A:$B,2,0),AC197,1),"")</f>
        <v>T</v>
      </c>
      <c r="AC197" s="3">
        <v>229</v>
      </c>
      <c r="AD197" s="3" t="str">
        <f>IFERROR(MID(VLOOKUP($B197,Seqs!$A:$B,2,0),AE197,1),"")</f>
        <v>G</v>
      </c>
      <c r="AE197" s="3">
        <v>254</v>
      </c>
      <c r="AF197" s="3" t="str">
        <f>IFERROR(MID(VLOOKUP($B197,Seqs!$A:$B,2,0),AG197,1),"")</f>
        <v/>
      </c>
      <c r="AG197" s="3" t="s">
        <v>23</v>
      </c>
      <c r="AH197" s="3" t="str">
        <f>IFERROR(MID(VLOOKUP($B197,Seqs!$A:$B,2,0),AI197,1),"")</f>
        <v/>
      </c>
      <c r="AI197" s="3" t="s">
        <v>23</v>
      </c>
      <c r="AJ197" s="3" t="str">
        <f>IFERROR(MID(VLOOKUP($B197,Seqs!$A:$B,2,0),AK197,1),"")</f>
        <v>D</v>
      </c>
      <c r="AK197" s="3">
        <v>272</v>
      </c>
      <c r="AL197" s="3" t="str">
        <f>IFERROR(MID(VLOOKUP($B197,Seqs!$A:$B,2,0),AM197,1),"")</f>
        <v>A</v>
      </c>
      <c r="AM197" s="3">
        <v>305</v>
      </c>
      <c r="AN197" s="3" t="str">
        <f>IFERROR(MID(VLOOKUP($B197,Seqs!$A:$B,2,0),AO197,1),"")</f>
        <v>D</v>
      </c>
      <c r="AO197" s="3">
        <v>338</v>
      </c>
      <c r="AP197" s="3" t="str">
        <f>IFERROR(MID(VLOOKUP($B197,Seqs!$A:$B,2,0),AQ197,1),"")</f>
        <v>G</v>
      </c>
      <c r="AQ197" s="3">
        <v>369</v>
      </c>
      <c r="AR197" s="3" t="str">
        <f>IFERROR(MID(VLOOKUP($B197,Seqs!$A:$B,2,0),AS197,1),"")</f>
        <v>N</v>
      </c>
      <c r="AS197" s="3">
        <v>372</v>
      </c>
      <c r="AT197" s="3" t="str">
        <f>IFERROR(MID(VLOOKUP($B197,Seqs!$A:$B,2,0),AU197,1),"")</f>
        <v>Y</v>
      </c>
      <c r="AU197" s="3">
        <v>397</v>
      </c>
      <c r="AV197" s="3" t="str">
        <f>IFERROR(MID(VLOOKUP($B197,Seqs!$A:$B,2,0),AW197,1),"")</f>
        <v>S</v>
      </c>
      <c r="AW197" s="3">
        <v>401</v>
      </c>
      <c r="AX197" s="3" t="str">
        <f>IFERROR(MID(VLOOKUP($B197,Seqs!$A:$B,2,0),AY197,1),"")</f>
        <v>F</v>
      </c>
      <c r="AY197" s="3">
        <v>412</v>
      </c>
      <c r="AZ197" s="77" t="str">
        <f>VLOOKUP(B197,Classification!A:D,2,0)</f>
        <v>A</v>
      </c>
      <c r="BA197" s="94" t="str">
        <f>VLOOKUP(B197,Classification!A:D,4,0)</f>
        <v>Cannabinoid</v>
      </c>
      <c r="BB197" s="27" t="b">
        <f t="shared" si="1540"/>
        <v>1</v>
      </c>
      <c r="BC197" s="23">
        <f t="shared" si="1541"/>
        <v>240</v>
      </c>
      <c r="BD197" s="2" t="s">
        <v>23</v>
      </c>
      <c r="BE197" s="3" t="s">
        <v>1291</v>
      </c>
      <c r="BF197" s="118">
        <v>2.8</v>
      </c>
      <c r="BG197" s="49" t="s">
        <v>1</v>
      </c>
      <c r="BH197" s="49" t="s">
        <v>1</v>
      </c>
      <c r="BJ197" s="70" t="s">
        <v>1287</v>
      </c>
      <c r="BK197" s="57" t="s">
        <v>1287</v>
      </c>
      <c r="BL197" s="57" t="s">
        <v>1287</v>
      </c>
      <c r="BM197" s="57" t="s">
        <v>1287</v>
      </c>
      <c r="BN197" s="57" t="s">
        <v>1287</v>
      </c>
      <c r="BO197" s="57" t="s">
        <v>1287</v>
      </c>
      <c r="BP197" s="57" t="s">
        <v>1287</v>
      </c>
      <c r="BQ197" s="57" t="s">
        <v>1287</v>
      </c>
      <c r="BR197" s="57" t="s">
        <v>1287</v>
      </c>
      <c r="BS197" s="57" t="s">
        <v>1287</v>
      </c>
      <c r="BT197" s="57" t="s">
        <v>1287</v>
      </c>
      <c r="BU197" s="57" t="s">
        <v>1287</v>
      </c>
      <c r="BV197" s="70">
        <f t="shared" si="1542"/>
        <v>112</v>
      </c>
      <c r="BW197" s="71" t="str">
        <f t="shared" si="1543"/>
        <v>-</v>
      </c>
      <c r="BX197" s="72">
        <f t="shared" si="1544"/>
        <v>153</v>
      </c>
      <c r="BY197" s="71" t="str">
        <f t="shared" si="1545"/>
        <v>-</v>
      </c>
      <c r="BZ197" s="72">
        <f t="shared" si="1546"/>
        <v>185</v>
      </c>
      <c r="CA197" s="71">
        <f t="shared" si="1547"/>
        <v>221</v>
      </c>
      <c r="CB197" s="72">
        <f t="shared" si="1548"/>
        <v>229</v>
      </c>
      <c r="CC197" s="71" t="str">
        <f t="shared" si="1549"/>
        <v>-</v>
      </c>
      <c r="CD197" s="72">
        <f t="shared" si="1550"/>
        <v>272</v>
      </c>
      <c r="CE197" s="71">
        <f t="shared" si="1551"/>
        <v>338</v>
      </c>
      <c r="CF197" s="72">
        <f t="shared" si="1552"/>
        <v>372</v>
      </c>
      <c r="CG197" s="71">
        <f t="shared" si="1553"/>
        <v>401</v>
      </c>
      <c r="CH197" s="70">
        <f t="shared" si="1554"/>
        <v>146</v>
      </c>
      <c r="CI197" s="71" t="str">
        <f t="shared" si="1555"/>
        <v>-</v>
      </c>
      <c r="CJ197" s="72">
        <f t="shared" si="1556"/>
        <v>180</v>
      </c>
      <c r="CK197" s="72" t="str">
        <f t="shared" si="1557"/>
        <v>-</v>
      </c>
      <c r="CL197" s="72">
        <f t="shared" si="1558"/>
        <v>220</v>
      </c>
      <c r="CM197" s="72">
        <f t="shared" si="1559"/>
        <v>228</v>
      </c>
      <c r="CN197" s="72">
        <f t="shared" si="1560"/>
        <v>254</v>
      </c>
      <c r="CO197" s="72" t="str">
        <f t="shared" si="1561"/>
        <v>-</v>
      </c>
      <c r="CP197" s="72">
        <f t="shared" si="1562"/>
        <v>305</v>
      </c>
      <c r="CQ197" s="72">
        <f t="shared" si="1563"/>
        <v>369</v>
      </c>
      <c r="CR197" s="72">
        <f t="shared" si="1564"/>
        <v>397</v>
      </c>
      <c r="CS197" s="72">
        <f t="shared" si="1565"/>
        <v>412</v>
      </c>
      <c r="CT197" s="23" t="e">
        <f t="shared" si="1566"/>
        <v>#VALUE!</v>
      </c>
    </row>
    <row r="198" spans="1:1030" x14ac:dyDescent="0.2">
      <c r="A198" s="3" t="str">
        <f t="shared" si="1539"/>
        <v>cnr1_human_6N4B</v>
      </c>
      <c r="B198" s="3" t="s">
        <v>182</v>
      </c>
      <c r="C198" s="3" t="s">
        <v>1556</v>
      </c>
      <c r="D198" s="3" t="str">
        <f>IFERROR(MID(VLOOKUP($B198,Seqs!$A:$B,2,0),E198,1),"")</f>
        <v>N</v>
      </c>
      <c r="E198" s="3">
        <v>112</v>
      </c>
      <c r="F198" s="3" t="str">
        <f>IFERROR(MID(VLOOKUP($B198,Seqs!$A:$B,2,0),G198,1),"")</f>
        <v>H</v>
      </c>
      <c r="G198" s="3">
        <v>143</v>
      </c>
      <c r="H198" s="3" t="str">
        <f>IFERROR(MID(VLOOKUP($B198,Seqs!$A:$B,2,0),I198,1),"")</f>
        <v>R</v>
      </c>
      <c r="I198" s="23">
        <v>145</v>
      </c>
      <c r="J198" s="3" t="str">
        <f>IFERROR(MID(VLOOKUP($B198,Seqs!$A:$B,2,0),K198,1),"")</f>
        <v>R</v>
      </c>
      <c r="K198" s="23">
        <v>148</v>
      </c>
      <c r="L198" s="3" t="str">
        <f>IFERROR(MID(VLOOKUP($B198,Seqs!$A:$B,2,0),M198,1),"")</f>
        <v>Y</v>
      </c>
      <c r="M198" s="3">
        <v>153</v>
      </c>
      <c r="N198" s="3" t="str">
        <f>IFERROR(MID(VLOOKUP($B198,Seqs!$A:$B,2,0),O198,1),"")</f>
        <v>H</v>
      </c>
      <c r="O198" s="3">
        <v>178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S</v>
      </c>
      <c r="U198" s="3">
        <v>185</v>
      </c>
      <c r="V198" s="3" t="str">
        <f>IFERROR(MID(VLOOKUP($B198,Seqs!$A:$B,2,0),W198,1),"")</f>
        <v>R</v>
      </c>
      <c r="W198" s="3">
        <v>220</v>
      </c>
      <c r="X198" s="3" t="str">
        <f>IFERROR(MID(VLOOKUP($B198,Seqs!$A:$B,2,0),Y198,1),"")</f>
        <v>P</v>
      </c>
      <c r="Y198" s="3">
        <v>221</v>
      </c>
      <c r="Z198" s="3" t="str">
        <f>IFERROR(MID(VLOOKUP($B198,Seqs!$A:$B,2,0),AA198,1),"")</f>
        <v>V</v>
      </c>
      <c r="AA198" s="3">
        <v>228</v>
      </c>
      <c r="AB198" s="3" t="str">
        <f>IFERROR(MID(VLOOKUP($B198,Seqs!$A:$B,2,0),AC198,1),"")</f>
        <v>T</v>
      </c>
      <c r="AC198" s="3">
        <v>229</v>
      </c>
      <c r="AD198" s="3" t="str">
        <f>IFERROR(MID(VLOOKUP($B198,Seqs!$A:$B,2,0),AE198,1),"")</f>
        <v>G</v>
      </c>
      <c r="AE198" s="3">
        <v>254</v>
      </c>
      <c r="AF198" s="3" t="str">
        <f>IFERROR(MID(VLOOKUP($B198,Seqs!$A:$B,2,0),AG198,1),"")</f>
        <v/>
      </c>
      <c r="AG198" s="3" t="s">
        <v>23</v>
      </c>
      <c r="AH198" s="3" t="str">
        <f>IFERROR(MID(VLOOKUP($B198,Seqs!$A:$B,2,0),AI198,1),"")</f>
        <v/>
      </c>
      <c r="AI198" s="3" t="s">
        <v>23</v>
      </c>
      <c r="AJ198" s="3" t="str">
        <f>IFERROR(MID(VLOOKUP($B198,Seqs!$A:$B,2,0),AK198,1),"")</f>
        <v>D</v>
      </c>
      <c r="AK198" s="3">
        <v>272</v>
      </c>
      <c r="AL198" s="3" t="str">
        <f>IFERROR(MID(VLOOKUP($B198,Seqs!$A:$B,2,0),AM198,1),"")</f>
        <v>R</v>
      </c>
      <c r="AM198" s="3">
        <v>311</v>
      </c>
      <c r="AN198" s="3" t="str">
        <f>IFERROR(MID(VLOOKUP($B198,Seqs!$A:$B,2,0),AO198,1),"")</f>
        <v>A</v>
      </c>
      <c r="AO198" s="3">
        <v>335</v>
      </c>
      <c r="AP198" s="3" t="str">
        <f>IFERROR(MID(VLOOKUP($B198,Seqs!$A:$B,2,0),AQ198,1),"")</f>
        <v>M</v>
      </c>
      <c r="AQ198" s="3">
        <v>363</v>
      </c>
      <c r="AR198" s="3" t="str">
        <f>IFERROR(MID(VLOOKUP($B198,Seqs!$A:$B,2,0),AS198,1),"")</f>
        <v>L</v>
      </c>
      <c r="AS198" s="3">
        <v>374</v>
      </c>
      <c r="AT198" s="3" t="str">
        <f>IFERROR(MID(VLOOKUP($B198,Seqs!$A:$B,2,0),AU198,1),"")</f>
        <v>R</v>
      </c>
      <c r="AU198" s="3">
        <v>400</v>
      </c>
      <c r="AV198" s="3" t="str">
        <f>IFERROR(MID(VLOOKUP($B198,Seqs!$A:$B,2,0),AW198,1),"")</f>
        <v>S</v>
      </c>
      <c r="AW198" s="3">
        <v>401</v>
      </c>
      <c r="AX198" s="3" t="str">
        <f>IFERROR(MID(VLOOKUP($B198,Seqs!$A:$B,2,0),AY198,1),"")</f>
        <v>M</v>
      </c>
      <c r="AY198" s="3">
        <v>411</v>
      </c>
      <c r="AZ198" s="77" t="str">
        <f>VLOOKUP(B198,Classification!A:D,2,0)</f>
        <v>A</v>
      </c>
      <c r="BA198" s="94" t="str">
        <f>VLOOKUP(B198,Classification!A:D,4,0)</f>
        <v>Cannabinoid</v>
      </c>
      <c r="BB198" s="27" t="b">
        <f t="shared" si="1540"/>
        <v>1</v>
      </c>
      <c r="BC198" s="23">
        <f t="shared" si="1541"/>
        <v>241</v>
      </c>
      <c r="BD198" s="2" t="s">
        <v>1375</v>
      </c>
      <c r="BE198" s="3" t="s">
        <v>1291</v>
      </c>
      <c r="BF198" s="118">
        <v>3</v>
      </c>
      <c r="BG198" s="49" t="s">
        <v>1422</v>
      </c>
      <c r="BH198" s="49" t="s">
        <v>1422</v>
      </c>
      <c r="BJ198" s="70" t="s">
        <v>1287</v>
      </c>
      <c r="BK198" s="57" t="s">
        <v>1287</v>
      </c>
      <c r="BL198" s="57" t="s">
        <v>1287</v>
      </c>
      <c r="BM198" s="57" t="s">
        <v>1287</v>
      </c>
      <c r="BN198" s="57" t="s">
        <v>1287</v>
      </c>
      <c r="BO198" s="57" t="s">
        <v>1287</v>
      </c>
      <c r="BP198" s="57" t="s">
        <v>1287</v>
      </c>
      <c r="BQ198" s="57" t="s">
        <v>1287</v>
      </c>
      <c r="BR198" s="57" t="s">
        <v>1287</v>
      </c>
      <c r="BS198" s="57" t="s">
        <v>1287</v>
      </c>
      <c r="BT198" s="57" t="s">
        <v>1287</v>
      </c>
      <c r="BU198" s="57" t="s">
        <v>1287</v>
      </c>
      <c r="BV198" s="70">
        <f t="shared" si="1542"/>
        <v>112</v>
      </c>
      <c r="BW198" s="71">
        <f t="shared" si="1543"/>
        <v>145</v>
      </c>
      <c r="BX198" s="72">
        <f t="shared" si="1544"/>
        <v>153</v>
      </c>
      <c r="BY198" s="71" t="str">
        <f t="shared" si="1545"/>
        <v>-</v>
      </c>
      <c r="BZ198" s="72">
        <f t="shared" si="1546"/>
        <v>185</v>
      </c>
      <c r="CA198" s="71">
        <f t="shared" si="1547"/>
        <v>221</v>
      </c>
      <c r="CB198" s="72">
        <f t="shared" si="1548"/>
        <v>229</v>
      </c>
      <c r="CC198" s="71" t="str">
        <f t="shared" si="1549"/>
        <v>-</v>
      </c>
      <c r="CD198" s="72">
        <f t="shared" si="1550"/>
        <v>272</v>
      </c>
      <c r="CE198" s="71">
        <f t="shared" si="1551"/>
        <v>335</v>
      </c>
      <c r="CF198" s="72">
        <f t="shared" si="1552"/>
        <v>374</v>
      </c>
      <c r="CG198" s="71">
        <f t="shared" si="1553"/>
        <v>401</v>
      </c>
      <c r="CH198" s="70">
        <f t="shared" si="1554"/>
        <v>143</v>
      </c>
      <c r="CI198" s="71">
        <f t="shared" si="1555"/>
        <v>148</v>
      </c>
      <c r="CJ198" s="72">
        <f t="shared" si="1556"/>
        <v>178</v>
      </c>
      <c r="CK198" s="72" t="str">
        <f t="shared" si="1557"/>
        <v>-</v>
      </c>
      <c r="CL198" s="72">
        <f t="shared" si="1558"/>
        <v>220</v>
      </c>
      <c r="CM198" s="72">
        <f t="shared" si="1559"/>
        <v>228</v>
      </c>
      <c r="CN198" s="72">
        <f t="shared" si="1560"/>
        <v>254</v>
      </c>
      <c r="CO198" s="72" t="str">
        <f t="shared" si="1561"/>
        <v>-</v>
      </c>
      <c r="CP198" s="72">
        <f t="shared" si="1562"/>
        <v>311</v>
      </c>
      <c r="CQ198" s="72">
        <f t="shared" si="1563"/>
        <v>363</v>
      </c>
      <c r="CR198" s="72">
        <f t="shared" si="1564"/>
        <v>400</v>
      </c>
      <c r="CS198" s="72">
        <f t="shared" si="1565"/>
        <v>411</v>
      </c>
      <c r="CT198" s="23">
        <f t="shared" si="1566"/>
        <v>5</v>
      </c>
    </row>
    <row r="199" spans="1:1030" s="12" customFormat="1" x14ac:dyDescent="0.2">
      <c r="A199" s="9" t="str">
        <f t="shared" si="1539"/>
        <v>cnr1_human_6KQI</v>
      </c>
      <c r="B199" s="9" t="s">
        <v>182</v>
      </c>
      <c r="C199" s="9" t="s">
        <v>1593</v>
      </c>
      <c r="D199" s="9" t="str">
        <f>IFERROR(MID(VLOOKUP($B199,Seqs!$A:$B,2,0),E199,1),"")</f>
        <v>N</v>
      </c>
      <c r="E199" s="9">
        <v>112</v>
      </c>
      <c r="F199" s="9" t="str">
        <f>IFERROR(MID(VLOOKUP($B199,Seqs!$A:$B,2,0),G199,1),"")</f>
        <v>S</v>
      </c>
      <c r="G199" s="9">
        <v>144</v>
      </c>
      <c r="H199" s="9" t="str">
        <f>IFERROR(MID(VLOOKUP($B199,Seqs!$A:$B,2,0),I199,1),"")</f>
        <v>R</v>
      </c>
      <c r="I199" s="109">
        <v>145</v>
      </c>
      <c r="J199" s="9" t="str">
        <f>IFERROR(MID(VLOOKUP($B199,Seqs!$A:$B,2,0),K199,1),"")</f>
        <v>R</v>
      </c>
      <c r="K199" s="109">
        <v>148</v>
      </c>
      <c r="L199" s="9" t="str">
        <f>IFERROR(MID(VLOOKUP($B199,Seqs!$A:$B,2,0),M199,1),"")</f>
        <v>Y</v>
      </c>
      <c r="M199" s="9">
        <v>153</v>
      </c>
      <c r="N199" s="9" t="str">
        <f>IFERROR(MID(VLOOKUP($B199,Seqs!$A:$B,2,0),O199,1),"")</f>
        <v>V</v>
      </c>
      <c r="O199" s="9">
        <v>179</v>
      </c>
      <c r="P199" s="9" t="str">
        <f>IFERROR(MID(VLOOKUP($B199,Seqs!$A:$B,2,0),Q199,1),"")</f>
        <v/>
      </c>
      <c r="Q199" s="9" t="s">
        <v>23</v>
      </c>
      <c r="R199" s="9" t="str">
        <f>IFERROR(MID(VLOOKUP($B199,Seqs!$A:$B,2,0),S199,1),"")</f>
        <v/>
      </c>
      <c r="S199" s="9" t="s">
        <v>23</v>
      </c>
      <c r="T199" s="9" t="str">
        <f>IFERROR(MID(VLOOKUP($B199,Seqs!$A:$B,2,0),U199,1),"")</f>
        <v>S</v>
      </c>
      <c r="U199" s="9">
        <v>185</v>
      </c>
      <c r="V199" s="9" t="str">
        <f>IFERROR(MID(VLOOKUP($B199,Seqs!$A:$B,2,0),W199,1),"")</f>
        <v>R</v>
      </c>
      <c r="W199" s="9">
        <v>220</v>
      </c>
      <c r="X199" s="9" t="str">
        <f>IFERROR(MID(VLOOKUP($B199,Seqs!$A:$B,2,0),Y199,1),"")</f>
        <v>P</v>
      </c>
      <c r="Y199" s="9">
        <v>221</v>
      </c>
      <c r="Z199" s="9" t="str">
        <f>IFERROR(MID(VLOOKUP($B199,Seqs!$A:$B,2,0),AA199,1),"")</f>
        <v>V</v>
      </c>
      <c r="AA199" s="9">
        <v>228</v>
      </c>
      <c r="AB199" s="9"/>
      <c r="AC199" s="9">
        <v>229</v>
      </c>
      <c r="AD199" s="9" t="str">
        <f>IFERROR(MID(VLOOKUP($B199,Seqs!$A:$B,2,0),AE199,1),"")</f>
        <v>L</v>
      </c>
      <c r="AE199" s="9">
        <v>253</v>
      </c>
      <c r="AF199" s="9" t="str">
        <f>IFERROR(MID(VLOOKUP($B199,Seqs!$A:$B,2,0),AG199,1),"")</f>
        <v/>
      </c>
      <c r="AG199" s="9" t="s">
        <v>23</v>
      </c>
      <c r="AH199" s="9" t="str">
        <f>IFERROR(MID(VLOOKUP($B199,Seqs!$A:$B,2,0),AI199,1),"")</f>
        <v/>
      </c>
      <c r="AI199" s="9" t="s">
        <v>23</v>
      </c>
      <c r="AJ199" s="9" t="str">
        <f>IFERROR(MID(VLOOKUP($B199,Seqs!$A:$B,2,0),AK199,1),"")</f>
        <v>D</v>
      </c>
      <c r="AK199" s="9">
        <v>272</v>
      </c>
      <c r="AL199" s="9" t="str">
        <f>IFERROR(MID(VLOOKUP($B199,Seqs!$A:$B,2,0),AM199,1),"")</f>
        <v>A</v>
      </c>
      <c r="AM199" s="9">
        <v>301</v>
      </c>
      <c r="AN199" s="9" t="str">
        <f>IFERROR(MID(VLOOKUP($B199,Seqs!$A:$B,2,0),AO199,1),"")</f>
        <v>D</v>
      </c>
      <c r="AO199" s="9">
        <v>333</v>
      </c>
      <c r="AP199" s="9" t="str">
        <f>IFERROR(MID(VLOOKUP($B199,Seqs!$A:$B,2,0),AQ199,1),"")</f>
        <v>F</v>
      </c>
      <c r="AQ199" s="9">
        <v>368</v>
      </c>
      <c r="AR199" s="9" t="str">
        <f>IFERROR(MID(VLOOKUP($B199,Seqs!$A:$B,2,0),AS199,1),"")</f>
        <v>N</v>
      </c>
      <c r="AS199" s="9">
        <v>372</v>
      </c>
      <c r="AT199" s="9" t="str">
        <f>IFERROR(MID(VLOOKUP($B199,Seqs!$A:$B,2,0),AU199,1),"")</f>
        <v>R</v>
      </c>
      <c r="AU199" s="9">
        <v>400</v>
      </c>
      <c r="AV199" s="9" t="str">
        <f>IFERROR(MID(VLOOKUP($B199,Seqs!$A:$B,2,0),AW199,1),"")</f>
        <v>S</v>
      </c>
      <c r="AW199" s="9">
        <v>401</v>
      </c>
      <c r="AX199" s="9" t="str">
        <f>IFERROR(MID(VLOOKUP($B199,Seqs!$A:$B,2,0),AY199,1),"")</f>
        <v>F</v>
      </c>
      <c r="AY199" s="9">
        <v>412</v>
      </c>
      <c r="AZ199" s="110" t="str">
        <f>VLOOKUP(B199,Classification!A:D,2,0)</f>
        <v>A</v>
      </c>
      <c r="BA199" s="98" t="str">
        <f>VLOOKUP(B199,Classification!A:D,4,0)</f>
        <v>Cannabinoid</v>
      </c>
      <c r="BB199" s="36" t="b">
        <f t="shared" si="1540"/>
        <v>1</v>
      </c>
      <c r="BC199" s="109">
        <f t="shared" si="1541"/>
        <v>242</v>
      </c>
      <c r="BD199" s="40" t="s">
        <v>23</v>
      </c>
      <c r="BE199" s="9" t="s">
        <v>1374</v>
      </c>
      <c r="BF199" s="119">
        <v>3.25</v>
      </c>
      <c r="BG199" s="51" t="s">
        <v>1</v>
      </c>
      <c r="BH199" s="51" t="s">
        <v>1</v>
      </c>
      <c r="BI199" s="9"/>
      <c r="BJ199" s="111" t="s">
        <v>1287</v>
      </c>
      <c r="BK199" s="112" t="s">
        <v>1287</v>
      </c>
      <c r="BL199" s="112" t="s">
        <v>1287</v>
      </c>
      <c r="BM199" s="112" t="s">
        <v>1287</v>
      </c>
      <c r="BN199" s="112" t="s">
        <v>1287</v>
      </c>
      <c r="BO199" s="112" t="s">
        <v>1287</v>
      </c>
      <c r="BP199" s="112" t="s">
        <v>1287</v>
      </c>
      <c r="BQ199" s="112" t="s">
        <v>1287</v>
      </c>
      <c r="BR199" s="112" t="s">
        <v>1287</v>
      </c>
      <c r="BS199" s="112" t="s">
        <v>1287</v>
      </c>
      <c r="BT199" s="112" t="s">
        <v>1287</v>
      </c>
      <c r="BU199" s="112" t="s">
        <v>1287</v>
      </c>
      <c r="BV199" s="111">
        <f t="shared" si="1542"/>
        <v>112</v>
      </c>
      <c r="BW199" s="113">
        <f t="shared" si="1543"/>
        <v>145</v>
      </c>
      <c r="BX199" s="114">
        <f t="shared" si="1544"/>
        <v>153</v>
      </c>
      <c r="BY199" s="113" t="str">
        <f t="shared" si="1545"/>
        <v>-</v>
      </c>
      <c r="BZ199" s="114">
        <f t="shared" si="1546"/>
        <v>185</v>
      </c>
      <c r="CA199" s="113">
        <f t="shared" si="1547"/>
        <v>221</v>
      </c>
      <c r="CB199" s="114">
        <f t="shared" si="1548"/>
        <v>229</v>
      </c>
      <c r="CC199" s="113" t="str">
        <f t="shared" si="1549"/>
        <v>-</v>
      </c>
      <c r="CD199" s="114">
        <f t="shared" si="1550"/>
        <v>272</v>
      </c>
      <c r="CE199" s="113">
        <f t="shared" si="1551"/>
        <v>333</v>
      </c>
      <c r="CF199" s="114">
        <f t="shared" si="1552"/>
        <v>372</v>
      </c>
      <c r="CG199" s="113">
        <f t="shared" si="1553"/>
        <v>401</v>
      </c>
      <c r="CH199" s="111">
        <f t="shared" si="1554"/>
        <v>144</v>
      </c>
      <c r="CI199" s="113">
        <f t="shared" si="1555"/>
        <v>148</v>
      </c>
      <c r="CJ199" s="114">
        <f t="shared" si="1556"/>
        <v>179</v>
      </c>
      <c r="CK199" s="114" t="str">
        <f t="shared" si="1557"/>
        <v>-</v>
      </c>
      <c r="CL199" s="114">
        <f t="shared" si="1558"/>
        <v>220</v>
      </c>
      <c r="CM199" s="114">
        <f t="shared" si="1559"/>
        <v>228</v>
      </c>
      <c r="CN199" s="114">
        <f t="shared" si="1560"/>
        <v>253</v>
      </c>
      <c r="CO199" s="114" t="str">
        <f t="shared" si="1561"/>
        <v>-</v>
      </c>
      <c r="CP199" s="114">
        <f t="shared" si="1562"/>
        <v>301</v>
      </c>
      <c r="CQ199" s="114">
        <f t="shared" si="1563"/>
        <v>368</v>
      </c>
      <c r="CR199" s="114">
        <f t="shared" si="1564"/>
        <v>400</v>
      </c>
      <c r="CS199" s="114">
        <f t="shared" si="1565"/>
        <v>412</v>
      </c>
      <c r="CT199" s="109">
        <f t="shared" si="1566"/>
        <v>5</v>
      </c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  <c r="TB199" s="9"/>
      <c r="TC199" s="9"/>
      <c r="TD199" s="9"/>
      <c r="TE199" s="9"/>
      <c r="TF199" s="9"/>
      <c r="TG199" s="9"/>
      <c r="TH199" s="9"/>
      <c r="TI199" s="9"/>
      <c r="TJ199" s="9"/>
      <c r="TK199" s="9"/>
      <c r="TL199" s="9"/>
      <c r="TM199" s="9"/>
      <c r="TN199" s="9"/>
      <c r="TO199" s="9"/>
      <c r="TP199" s="9"/>
      <c r="TQ199" s="9"/>
      <c r="TR199" s="9"/>
      <c r="TS199" s="9"/>
      <c r="TT199" s="9"/>
      <c r="TU199" s="9"/>
      <c r="TV199" s="9"/>
      <c r="TW199" s="9"/>
      <c r="TX199" s="9"/>
      <c r="TY199" s="9"/>
      <c r="TZ199" s="9"/>
      <c r="UA199" s="9"/>
      <c r="UB199" s="9"/>
      <c r="UC199" s="9"/>
      <c r="UD199" s="9"/>
      <c r="UE199" s="9"/>
      <c r="UF199" s="9"/>
      <c r="UG199" s="9"/>
      <c r="UH199" s="9"/>
      <c r="UI199" s="9"/>
      <c r="UJ199" s="9"/>
      <c r="UK199" s="9"/>
      <c r="UL199" s="9"/>
      <c r="UM199" s="9"/>
      <c r="UN199" s="9"/>
      <c r="UO199" s="9"/>
      <c r="UP199" s="9"/>
      <c r="UQ199" s="9"/>
      <c r="UR199" s="9"/>
      <c r="US199" s="9"/>
      <c r="UT199" s="9"/>
      <c r="UU199" s="9"/>
      <c r="UV199" s="9"/>
      <c r="UW199" s="9"/>
      <c r="UX199" s="9"/>
      <c r="UY199" s="9"/>
      <c r="UZ199" s="9"/>
      <c r="VA199" s="9"/>
      <c r="VB199" s="9"/>
      <c r="VC199" s="9"/>
      <c r="VD199" s="9"/>
      <c r="VE199" s="9"/>
      <c r="VF199" s="9"/>
      <c r="VG199" s="9"/>
      <c r="VH199" s="9"/>
      <c r="VI199" s="9"/>
      <c r="VJ199" s="9"/>
      <c r="VK199" s="9"/>
      <c r="VL199" s="9"/>
      <c r="VM199" s="9"/>
      <c r="VN199" s="9"/>
      <c r="VO199" s="9"/>
      <c r="VP199" s="9"/>
      <c r="VQ199" s="9"/>
      <c r="VR199" s="9"/>
      <c r="VS199" s="9"/>
      <c r="VT199" s="9"/>
      <c r="VU199" s="9"/>
      <c r="VV199" s="9"/>
      <c r="VW199" s="9"/>
      <c r="VX199" s="9"/>
      <c r="VY199" s="9"/>
      <c r="VZ199" s="9"/>
      <c r="WA199" s="9"/>
      <c r="WB199" s="9"/>
      <c r="WC199" s="9"/>
      <c r="WD199" s="9"/>
      <c r="WE199" s="9"/>
      <c r="WF199" s="9"/>
      <c r="WG199" s="9"/>
      <c r="WH199" s="9"/>
      <c r="WI199" s="9"/>
      <c r="WJ199" s="9"/>
      <c r="WK199" s="9"/>
      <c r="WL199" s="9"/>
      <c r="WM199" s="9"/>
      <c r="WN199" s="9"/>
      <c r="WO199" s="9"/>
      <c r="WP199" s="9"/>
      <c r="WQ199" s="9"/>
      <c r="WR199" s="9"/>
      <c r="WS199" s="9"/>
      <c r="WT199" s="9"/>
      <c r="WU199" s="9"/>
      <c r="WV199" s="9"/>
      <c r="WW199" s="9"/>
      <c r="WX199" s="9"/>
      <c r="WY199" s="9"/>
      <c r="WZ199" s="9"/>
      <c r="XA199" s="9"/>
      <c r="XB199" s="9"/>
      <c r="XC199" s="9"/>
      <c r="XD199" s="9"/>
      <c r="XE199" s="9"/>
      <c r="XF199" s="9"/>
      <c r="XG199" s="9"/>
      <c r="XH199" s="9"/>
      <c r="XI199" s="9"/>
      <c r="XJ199" s="9"/>
      <c r="XK199" s="9"/>
      <c r="XL199" s="9"/>
      <c r="XM199" s="9"/>
      <c r="XN199" s="9"/>
      <c r="XO199" s="9"/>
      <c r="XP199" s="9"/>
      <c r="XQ199" s="9"/>
      <c r="XR199" s="9"/>
      <c r="XS199" s="9"/>
      <c r="XT199" s="9"/>
      <c r="XU199" s="9"/>
      <c r="XV199" s="9"/>
      <c r="XW199" s="9"/>
      <c r="XX199" s="9"/>
      <c r="XY199" s="9"/>
      <c r="XZ199" s="9"/>
      <c r="YA199" s="9"/>
      <c r="YB199" s="9"/>
      <c r="YC199" s="9"/>
      <c r="YD199" s="9"/>
      <c r="YE199" s="9"/>
      <c r="YF199" s="9"/>
      <c r="YG199" s="9"/>
      <c r="YH199" s="9"/>
      <c r="YI199" s="9"/>
      <c r="YJ199" s="9"/>
      <c r="YK199" s="9"/>
      <c r="YL199" s="9"/>
      <c r="YM199" s="9"/>
      <c r="YN199" s="9"/>
      <c r="YO199" s="9"/>
      <c r="YP199" s="9"/>
      <c r="YQ199" s="9"/>
      <c r="YR199" s="9"/>
      <c r="YS199" s="9"/>
      <c r="YT199" s="9"/>
      <c r="YU199" s="9"/>
      <c r="YV199" s="9"/>
      <c r="YW199" s="9"/>
      <c r="YX199" s="9"/>
      <c r="YY199" s="9"/>
      <c r="YZ199" s="9"/>
      <c r="ZA199" s="9"/>
      <c r="ZB199" s="9"/>
      <c r="ZC199" s="9"/>
      <c r="ZD199" s="9"/>
      <c r="ZE199" s="9"/>
      <c r="ZF199" s="9"/>
      <c r="ZG199" s="9"/>
      <c r="ZH199" s="9"/>
      <c r="ZI199" s="9"/>
      <c r="ZJ199" s="9"/>
      <c r="ZK199" s="9"/>
      <c r="ZL199" s="9"/>
      <c r="ZM199" s="9"/>
      <c r="ZN199" s="9"/>
      <c r="ZO199" s="9"/>
      <c r="ZP199" s="9"/>
      <c r="ZQ199" s="9"/>
      <c r="ZR199" s="9"/>
      <c r="ZS199" s="9"/>
      <c r="ZT199" s="9"/>
      <c r="ZU199" s="9"/>
      <c r="ZV199" s="9"/>
      <c r="ZW199" s="9"/>
      <c r="ZX199" s="9"/>
      <c r="ZY199" s="9"/>
      <c r="ZZ199" s="9"/>
      <c r="AAA199" s="9"/>
      <c r="AAB199" s="9"/>
      <c r="AAC199" s="9"/>
      <c r="AAD199" s="9"/>
      <c r="AAE199" s="9"/>
      <c r="AAF199" s="9"/>
      <c r="AAG199" s="9"/>
      <c r="AAH199" s="9"/>
      <c r="AAI199" s="9"/>
      <c r="AAJ199" s="9"/>
      <c r="AAK199" s="9"/>
      <c r="AAL199" s="9"/>
      <c r="AAM199" s="9"/>
      <c r="AAN199" s="9"/>
      <c r="AAO199" s="9"/>
      <c r="AAP199" s="9"/>
      <c r="AAQ199" s="9"/>
      <c r="AAR199" s="9"/>
      <c r="AAS199" s="9"/>
      <c r="AAT199" s="9"/>
      <c r="AAU199" s="9"/>
      <c r="AAV199" s="9"/>
      <c r="AAW199" s="9"/>
      <c r="AAX199" s="9"/>
      <c r="AAY199" s="9"/>
      <c r="AAZ199" s="9"/>
      <c r="ABA199" s="9"/>
      <c r="ABB199" s="9"/>
      <c r="ABC199" s="9"/>
      <c r="ABD199" s="9"/>
      <c r="ABE199" s="9"/>
      <c r="ABF199" s="9"/>
      <c r="ABG199" s="9"/>
      <c r="ABH199" s="9"/>
      <c r="ABI199" s="9"/>
      <c r="ABJ199" s="9"/>
      <c r="ABK199" s="9"/>
      <c r="ABL199" s="9"/>
      <c r="ABM199" s="9"/>
      <c r="ABN199" s="9"/>
      <c r="ABO199" s="9"/>
      <c r="ABP199" s="9"/>
      <c r="ABQ199" s="9"/>
      <c r="ABR199" s="9"/>
      <c r="ABS199" s="9"/>
      <c r="ABT199" s="9"/>
      <c r="ABU199" s="9"/>
      <c r="ABV199" s="9"/>
      <c r="ABW199" s="9"/>
      <c r="ABX199" s="9"/>
      <c r="ABY199" s="9"/>
      <c r="ABZ199" s="9"/>
      <c r="ACA199" s="9"/>
      <c r="ACB199" s="9"/>
      <c r="ACC199" s="9"/>
      <c r="ACD199" s="9"/>
      <c r="ACE199" s="9"/>
      <c r="ACF199" s="9"/>
      <c r="ACG199" s="9"/>
      <c r="ACH199" s="9"/>
      <c r="ACI199" s="9"/>
      <c r="ACJ199" s="9"/>
      <c r="ACK199" s="9"/>
      <c r="ACL199" s="9"/>
      <c r="ACM199" s="9"/>
      <c r="ACN199" s="9"/>
      <c r="ACO199" s="9"/>
      <c r="ACP199" s="9"/>
      <c r="ACQ199" s="9"/>
      <c r="ACR199" s="9"/>
      <c r="ACS199" s="9"/>
      <c r="ACT199" s="9"/>
      <c r="ACU199" s="9"/>
      <c r="ACV199" s="9"/>
      <c r="ACW199" s="9"/>
      <c r="ACX199" s="9"/>
      <c r="ACY199" s="9"/>
      <c r="ACZ199" s="9"/>
      <c r="ADA199" s="9"/>
      <c r="ADB199" s="9"/>
      <c r="ADC199" s="9"/>
      <c r="ADD199" s="9"/>
      <c r="ADE199" s="9"/>
      <c r="ADF199" s="9"/>
      <c r="ADG199" s="9"/>
      <c r="ADH199" s="9"/>
      <c r="ADI199" s="9"/>
      <c r="ADJ199" s="9"/>
      <c r="ADK199" s="9"/>
      <c r="ADL199" s="9"/>
      <c r="ADM199" s="9"/>
      <c r="ADN199" s="9"/>
      <c r="ADO199" s="9"/>
      <c r="ADP199" s="9"/>
      <c r="ADQ199" s="9"/>
      <c r="ADR199" s="9"/>
      <c r="ADS199" s="9"/>
      <c r="ADT199" s="9"/>
      <c r="ADU199" s="9"/>
      <c r="ADV199" s="9"/>
      <c r="ADW199" s="9"/>
      <c r="ADX199" s="9"/>
      <c r="ADY199" s="9"/>
      <c r="ADZ199" s="9"/>
      <c r="AEA199" s="9"/>
      <c r="AEB199" s="9"/>
      <c r="AEC199" s="9"/>
      <c r="AED199" s="9"/>
      <c r="AEE199" s="9"/>
      <c r="AEF199" s="9"/>
      <c r="AEG199" s="9"/>
      <c r="AEH199" s="9"/>
      <c r="AEI199" s="9"/>
      <c r="AEJ199" s="9"/>
      <c r="AEK199" s="9"/>
      <c r="AEL199" s="9"/>
      <c r="AEM199" s="9"/>
      <c r="AEN199" s="9"/>
      <c r="AEO199" s="9"/>
      <c r="AEP199" s="9"/>
      <c r="AEQ199" s="9"/>
      <c r="AER199" s="9"/>
      <c r="AES199" s="9"/>
      <c r="AET199" s="9"/>
      <c r="AEU199" s="9"/>
      <c r="AEV199" s="9"/>
      <c r="AEW199" s="9"/>
      <c r="AEX199" s="9"/>
      <c r="AEY199" s="9"/>
      <c r="AEZ199" s="9"/>
      <c r="AFA199" s="9"/>
      <c r="AFB199" s="9"/>
      <c r="AFC199" s="9"/>
      <c r="AFD199" s="9"/>
      <c r="AFE199" s="9"/>
      <c r="AFF199" s="9"/>
      <c r="AFG199" s="9"/>
      <c r="AFH199" s="9"/>
      <c r="AFI199" s="9"/>
      <c r="AFJ199" s="9"/>
      <c r="AFK199" s="9"/>
      <c r="AFL199" s="9"/>
      <c r="AFM199" s="9"/>
      <c r="AFN199" s="9"/>
      <c r="AFO199" s="9"/>
      <c r="AFP199" s="9"/>
      <c r="AFQ199" s="9"/>
      <c r="AFR199" s="9"/>
      <c r="AFS199" s="9"/>
      <c r="AFT199" s="9"/>
      <c r="AFU199" s="9"/>
      <c r="AFV199" s="9"/>
      <c r="AFW199" s="9"/>
      <c r="AFX199" s="9"/>
      <c r="AFY199" s="9"/>
      <c r="AFZ199" s="9"/>
      <c r="AGA199" s="9"/>
      <c r="AGB199" s="9"/>
      <c r="AGC199" s="9"/>
      <c r="AGD199" s="9"/>
      <c r="AGE199" s="9"/>
      <c r="AGF199" s="9"/>
      <c r="AGG199" s="9"/>
      <c r="AGH199" s="9"/>
      <c r="AGI199" s="9"/>
      <c r="AGJ199" s="9"/>
      <c r="AGK199" s="9"/>
      <c r="AGL199" s="9"/>
      <c r="AGM199" s="9"/>
      <c r="AGN199" s="9"/>
      <c r="AGO199" s="9"/>
      <c r="AGP199" s="9"/>
      <c r="AGQ199" s="9"/>
      <c r="AGR199" s="9"/>
      <c r="AGS199" s="9"/>
      <c r="AGT199" s="9"/>
      <c r="AGU199" s="9"/>
      <c r="AGV199" s="9"/>
      <c r="AGW199" s="9"/>
      <c r="AGX199" s="9"/>
      <c r="AGY199" s="9"/>
      <c r="AGZ199" s="9"/>
      <c r="AHA199" s="9"/>
      <c r="AHB199" s="9"/>
      <c r="AHC199" s="9"/>
      <c r="AHD199" s="9"/>
      <c r="AHE199" s="9"/>
      <c r="AHF199" s="9"/>
      <c r="AHG199" s="9"/>
      <c r="AHH199" s="9"/>
      <c r="AHI199" s="9"/>
      <c r="AHJ199" s="9"/>
      <c r="AHK199" s="9"/>
      <c r="AHL199" s="9"/>
      <c r="AHM199" s="9"/>
      <c r="AHN199" s="9"/>
      <c r="AHO199" s="9"/>
      <c r="AHP199" s="9"/>
      <c r="AHQ199" s="9"/>
      <c r="AHR199" s="9"/>
      <c r="AHS199" s="9"/>
      <c r="AHT199" s="9"/>
      <c r="AHU199" s="9"/>
      <c r="AHV199" s="9"/>
      <c r="AHW199" s="9"/>
      <c r="AHX199" s="9"/>
      <c r="AHY199" s="9"/>
      <c r="AHZ199" s="9"/>
      <c r="AIA199" s="9"/>
      <c r="AIB199" s="9"/>
      <c r="AIC199" s="9"/>
      <c r="AID199" s="9"/>
      <c r="AIE199" s="9"/>
      <c r="AIF199" s="9"/>
      <c r="AIG199" s="9"/>
      <c r="AIH199" s="9"/>
      <c r="AII199" s="9"/>
      <c r="AIJ199" s="9"/>
      <c r="AIK199" s="9"/>
      <c r="AIL199" s="9"/>
      <c r="AIM199" s="9"/>
      <c r="AIN199" s="9"/>
      <c r="AIO199" s="9"/>
      <c r="AIP199" s="9"/>
      <c r="AIQ199" s="9"/>
      <c r="AIR199" s="9"/>
      <c r="AIS199" s="9"/>
      <c r="AIT199" s="9"/>
      <c r="AIU199" s="9"/>
      <c r="AIV199" s="9"/>
      <c r="AIW199" s="9"/>
      <c r="AIX199" s="9"/>
      <c r="AIY199" s="9"/>
      <c r="AIZ199" s="9"/>
      <c r="AJA199" s="9"/>
      <c r="AJB199" s="9"/>
      <c r="AJC199" s="9"/>
      <c r="AJD199" s="9"/>
      <c r="AJE199" s="9"/>
      <c r="AJF199" s="9"/>
      <c r="AJG199" s="9"/>
      <c r="AJH199" s="9"/>
      <c r="AJI199" s="9"/>
      <c r="AJJ199" s="9"/>
      <c r="AJK199" s="9"/>
      <c r="AJL199" s="9"/>
      <c r="AJM199" s="9"/>
      <c r="AJN199" s="9"/>
      <c r="AJO199" s="9"/>
      <c r="AJP199" s="9"/>
      <c r="AJQ199" s="9"/>
      <c r="AJR199" s="9"/>
      <c r="AJS199" s="9"/>
      <c r="AJT199" s="9"/>
      <c r="AJU199" s="9"/>
      <c r="AJV199" s="9"/>
      <c r="AJW199" s="9"/>
      <c r="AJX199" s="9"/>
      <c r="AJY199" s="9"/>
      <c r="AJZ199" s="9"/>
      <c r="AKA199" s="9"/>
      <c r="AKB199" s="9"/>
      <c r="AKC199" s="9"/>
      <c r="AKD199" s="9"/>
      <c r="AKE199" s="9"/>
      <c r="AKF199" s="9"/>
      <c r="AKG199" s="9"/>
      <c r="AKH199" s="9"/>
      <c r="AKI199" s="9"/>
      <c r="AKJ199" s="9"/>
      <c r="AKK199" s="9"/>
      <c r="AKL199" s="9"/>
      <c r="AKM199" s="9"/>
      <c r="AKN199" s="9"/>
      <c r="AKO199" s="9"/>
      <c r="AKP199" s="9"/>
      <c r="AKQ199" s="9"/>
      <c r="AKR199" s="9"/>
      <c r="AKS199" s="9"/>
      <c r="AKT199" s="9"/>
      <c r="AKU199" s="9"/>
      <c r="AKV199" s="9"/>
      <c r="AKW199" s="9"/>
      <c r="AKX199" s="9"/>
      <c r="AKY199" s="9"/>
      <c r="AKZ199" s="9"/>
      <c r="ALA199" s="9"/>
      <c r="ALB199" s="9"/>
      <c r="ALC199" s="9"/>
      <c r="ALD199" s="9"/>
      <c r="ALE199" s="9"/>
      <c r="ALF199" s="9"/>
      <c r="ALG199" s="9"/>
      <c r="ALH199" s="9"/>
      <c r="ALI199" s="9"/>
      <c r="ALJ199" s="9"/>
      <c r="ALK199" s="9"/>
      <c r="ALL199" s="9"/>
      <c r="ALM199" s="9"/>
      <c r="ALN199" s="9"/>
      <c r="ALO199" s="9"/>
      <c r="ALP199" s="9"/>
      <c r="ALQ199" s="9"/>
      <c r="ALR199" s="9"/>
      <c r="ALS199" s="9"/>
      <c r="ALT199" s="9"/>
      <c r="ALU199" s="9"/>
      <c r="ALV199" s="9"/>
      <c r="ALW199" s="9"/>
      <c r="ALX199" s="9"/>
      <c r="ALY199" s="9"/>
      <c r="ALZ199" s="9"/>
      <c r="AMA199" s="9"/>
      <c r="AMB199" s="9"/>
      <c r="AMC199" s="9"/>
      <c r="AMD199" s="9"/>
      <c r="AME199" s="9"/>
      <c r="AMF199" s="9"/>
      <c r="AMG199" s="9"/>
      <c r="AMH199" s="9"/>
      <c r="AMI199" s="9"/>
      <c r="AMJ199" s="9"/>
      <c r="AMK199" s="9"/>
      <c r="AML199" s="9"/>
      <c r="AMM199" s="9"/>
      <c r="AMN199" s="9"/>
      <c r="AMO199" s="9"/>
    </row>
    <row r="200" spans="1:1030" s="12" customFormat="1" x14ac:dyDescent="0.2">
      <c r="A200" s="9" t="str">
        <f t="shared" ref="A200" si="1567">CONCATENATE(B200,"_",C200)</f>
        <v>cnr1_human_6KPG</v>
      </c>
      <c r="B200" s="9" t="s">
        <v>182</v>
      </c>
      <c r="C200" s="9" t="s">
        <v>1666</v>
      </c>
      <c r="D200" s="9" t="str">
        <f>IFERROR(MID(VLOOKUP($B200,Seqs!$A:$B,2,0),E200,1),"")</f>
        <v>Q</v>
      </c>
      <c r="E200" s="9">
        <v>115</v>
      </c>
      <c r="F200" s="9" t="str">
        <f>IFERROR(MID(VLOOKUP($B200,Seqs!$A:$B,2,0),G200,1),"")</f>
        <v>S</v>
      </c>
      <c r="G200" s="9">
        <v>144</v>
      </c>
      <c r="H200" s="9" t="str">
        <f>IFERROR(MID(VLOOKUP($B200,Seqs!$A:$B,2,0),I200,1),"")</f>
        <v>R</v>
      </c>
      <c r="I200" s="109">
        <v>145</v>
      </c>
      <c r="J200" s="9" t="str">
        <f>IFERROR(MID(VLOOKUP($B200,Seqs!$A:$B,2,0),K200,1),"")</f>
        <v>R</v>
      </c>
      <c r="K200" s="109">
        <v>148</v>
      </c>
      <c r="L200" s="9" t="str">
        <f>IFERROR(MID(VLOOKUP($B200,Seqs!$A:$B,2,0),M200,1),"")</f>
        <v>R</v>
      </c>
      <c r="M200" s="9">
        <v>150</v>
      </c>
      <c r="N200" s="9" t="str">
        <f>IFERROR(MID(VLOOKUP($B200,Seqs!$A:$B,2,0),O200,1),"")</f>
        <v>H</v>
      </c>
      <c r="O200" s="9">
        <v>178</v>
      </c>
      <c r="P200" s="9" t="str">
        <f>IFERROR(MID(VLOOKUP($B200,Seqs!$A:$B,2,0),Q200,1),"")</f>
        <v/>
      </c>
      <c r="Q200" s="9" t="s">
        <v>23</v>
      </c>
      <c r="R200" s="9" t="str">
        <f>IFERROR(MID(VLOOKUP($B200,Seqs!$A:$B,2,0),S200,1),"")</f>
        <v/>
      </c>
      <c r="S200" s="9" t="s">
        <v>23</v>
      </c>
      <c r="T200" s="9" t="str">
        <f>IFERROR(MID(VLOOKUP($B200,Seqs!$A:$B,2,0),U200,1),"")</f>
        <v>F</v>
      </c>
      <c r="U200" s="9">
        <v>189</v>
      </c>
      <c r="V200" s="9" t="str">
        <f>IFERROR(MID(VLOOKUP($B200,Seqs!$A:$B,2,0),W200,1),"")</f>
        <v>R</v>
      </c>
      <c r="W200" s="9">
        <v>220</v>
      </c>
      <c r="X200" s="9" t="str">
        <f>IFERROR(MID(VLOOKUP($B200,Seqs!$A:$B,2,0),Y200,1),"")</f>
        <v>P</v>
      </c>
      <c r="Y200" s="9">
        <v>221</v>
      </c>
      <c r="Z200" s="9" t="str">
        <f>IFERROR(MID(VLOOKUP($B200,Seqs!$A:$B,2,0),AA200,1),"")</f>
        <v>V</v>
      </c>
      <c r="AA200" s="9">
        <v>228</v>
      </c>
      <c r="AB200" s="9"/>
      <c r="AC200" s="9">
        <v>229</v>
      </c>
      <c r="AD200" s="9" t="str">
        <f>IFERROR(MID(VLOOKUP($B200,Seqs!$A:$B,2,0),AE200,1),"")</f>
        <v>L</v>
      </c>
      <c r="AE200" s="9">
        <v>253</v>
      </c>
      <c r="AF200" s="9" t="str">
        <f>IFERROR(MID(VLOOKUP($B200,Seqs!$A:$B,2,0),AG200,1),"")</f>
        <v/>
      </c>
      <c r="AG200" s="9" t="s">
        <v>23</v>
      </c>
      <c r="AH200" s="9" t="str">
        <f>IFERROR(MID(VLOOKUP($B200,Seqs!$A:$B,2,0),AI200,1),"")</f>
        <v/>
      </c>
      <c r="AI200" s="9" t="s">
        <v>23</v>
      </c>
      <c r="AJ200" s="9" t="str">
        <f>IFERROR(MID(VLOOKUP($B200,Seqs!$A:$B,2,0),AK200,1),"")</f>
        <v>Y</v>
      </c>
      <c r="AK200" s="9">
        <v>275</v>
      </c>
      <c r="AL200" s="9" t="str">
        <f>IFERROR(MID(VLOOKUP($B200,Seqs!$A:$B,2,0),AM200,1),"")</f>
        <v>G</v>
      </c>
      <c r="AM200" s="9">
        <v>312</v>
      </c>
      <c r="AN200" s="9" t="str">
        <f>IFERROR(MID(VLOOKUP($B200,Seqs!$A:$B,2,0),AO200,1),"")</f>
        <v>M</v>
      </c>
      <c r="AO200" s="9">
        <v>337</v>
      </c>
      <c r="AP200" s="9" t="str">
        <f>IFERROR(MID(VLOOKUP($B200,Seqs!$A:$B,2,0),AQ200,1),"")</f>
        <v>Y</v>
      </c>
      <c r="AQ200" s="9">
        <v>365</v>
      </c>
      <c r="AR200" s="9" t="str">
        <f>IFERROR(MID(VLOOKUP($B200,Seqs!$A:$B,2,0),AS200,1),"")</f>
        <v>N</v>
      </c>
      <c r="AS200" s="9">
        <v>372</v>
      </c>
      <c r="AT200" s="9" t="str">
        <f>IFERROR(MID(VLOOKUP($B200,Seqs!$A:$B,2,0),AU200,1),"")</f>
        <v>R</v>
      </c>
      <c r="AU200" s="9">
        <v>400</v>
      </c>
      <c r="AV200" s="9" t="str">
        <f>IFERROR(MID(VLOOKUP($B200,Seqs!$A:$B,2,0),AW200,1),"")</f>
        <v>S</v>
      </c>
      <c r="AW200" s="9">
        <v>401</v>
      </c>
      <c r="AX200" s="9" t="str">
        <f>IFERROR(MID(VLOOKUP($B200,Seqs!$A:$B,2,0),AY200,1),"")</f>
        <v>M</v>
      </c>
      <c r="AY200" s="9">
        <v>411</v>
      </c>
      <c r="AZ200" s="110" t="str">
        <f>VLOOKUP(B200,Classification!A:D,2,0)</f>
        <v>A</v>
      </c>
      <c r="BA200" s="98" t="str">
        <f>VLOOKUP(B200,Classification!A:D,4,0)</f>
        <v>Cannabinoid</v>
      </c>
      <c r="BB200" s="36" t="b">
        <f t="shared" ref="BB200" si="1568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109">
        <f t="shared" ref="BC200" si="1569">_xlfn.AGGREGATE(9,6,CH200:CS200)-_xlfn.AGGREGATE(9,6,BV200:CG200)+12</f>
        <v>237</v>
      </c>
      <c r="BD200" s="40" t="s">
        <v>23</v>
      </c>
      <c r="BE200" s="9" t="s">
        <v>1291</v>
      </c>
      <c r="BF200" s="119">
        <v>3</v>
      </c>
      <c r="BG200" s="51" t="s">
        <v>1422</v>
      </c>
      <c r="BH200" s="51" t="s">
        <v>1422</v>
      </c>
      <c r="BI200" s="9"/>
      <c r="BJ200" s="111" t="s">
        <v>1287</v>
      </c>
      <c r="BK200" s="112" t="s">
        <v>1287</v>
      </c>
      <c r="BL200" s="112" t="s">
        <v>1287</v>
      </c>
      <c r="BM200" s="112" t="s">
        <v>1287</v>
      </c>
      <c r="BN200" s="112" t="s">
        <v>1287</v>
      </c>
      <c r="BO200" s="112" t="s">
        <v>1287</v>
      </c>
      <c r="BP200" s="112" t="s">
        <v>1287</v>
      </c>
      <c r="BQ200" s="112" t="s">
        <v>1287</v>
      </c>
      <c r="BR200" s="112" t="s">
        <v>1287</v>
      </c>
      <c r="BS200" s="112" t="s">
        <v>1287</v>
      </c>
      <c r="BT200" s="112" t="s">
        <v>1287</v>
      </c>
      <c r="BU200" s="112" t="s">
        <v>1287</v>
      </c>
      <c r="BV200" s="111">
        <f t="shared" ref="BV200" si="1570">E200</f>
        <v>115</v>
      </c>
      <c r="BW200" s="113">
        <f t="shared" ref="BW200" si="1571">I200</f>
        <v>145</v>
      </c>
      <c r="BX200" s="114">
        <f t="shared" ref="BX200" si="1572">M200</f>
        <v>150</v>
      </c>
      <c r="BY200" s="113" t="str">
        <f t="shared" ref="BY200" si="1573">Q200</f>
        <v>-</v>
      </c>
      <c r="BZ200" s="114">
        <f t="shared" ref="BZ200" si="1574">U200</f>
        <v>189</v>
      </c>
      <c r="CA200" s="113">
        <f t="shared" ref="CA200" si="1575">Y200</f>
        <v>221</v>
      </c>
      <c r="CB200" s="114">
        <f t="shared" ref="CB200" si="1576">AC200</f>
        <v>229</v>
      </c>
      <c r="CC200" s="113" t="str">
        <f t="shared" ref="CC200" si="1577">AG200</f>
        <v>-</v>
      </c>
      <c r="CD200" s="114">
        <f t="shared" ref="CD200" si="1578">AK200</f>
        <v>275</v>
      </c>
      <c r="CE200" s="113">
        <f t="shared" ref="CE200" si="1579">AO200</f>
        <v>337</v>
      </c>
      <c r="CF200" s="114">
        <f t="shared" ref="CF200" si="1580">AS200</f>
        <v>372</v>
      </c>
      <c r="CG200" s="113">
        <f t="shared" ref="CG200" si="1581">AW200</f>
        <v>401</v>
      </c>
      <c r="CH200" s="111">
        <f t="shared" ref="CH200" si="1582">G200</f>
        <v>144</v>
      </c>
      <c r="CI200" s="113">
        <f t="shared" ref="CI200" si="1583">K200</f>
        <v>148</v>
      </c>
      <c r="CJ200" s="114">
        <f t="shared" ref="CJ200" si="1584">O200</f>
        <v>178</v>
      </c>
      <c r="CK200" s="114" t="str">
        <f t="shared" ref="CK200" si="1585">S200</f>
        <v>-</v>
      </c>
      <c r="CL200" s="114">
        <f t="shared" ref="CL200" si="1586">W200</f>
        <v>220</v>
      </c>
      <c r="CM200" s="114">
        <f t="shared" ref="CM200" si="1587">AA200</f>
        <v>228</v>
      </c>
      <c r="CN200" s="114">
        <f t="shared" ref="CN200" si="1588">AE200</f>
        <v>253</v>
      </c>
      <c r="CO200" s="114" t="str">
        <f t="shared" ref="CO200" si="1589">AI200</f>
        <v>-</v>
      </c>
      <c r="CP200" s="114">
        <f t="shared" ref="CP200" si="1590">AM200</f>
        <v>312</v>
      </c>
      <c r="CQ200" s="114">
        <f t="shared" ref="CQ200" si="1591">AQ200</f>
        <v>365</v>
      </c>
      <c r="CR200" s="114">
        <f t="shared" ref="CR200" si="1592">AU200</f>
        <v>400</v>
      </c>
      <c r="CS200" s="114">
        <f t="shared" ref="CS200" si="1593">AY200</f>
        <v>411</v>
      </c>
      <c r="CT200" s="109">
        <f t="shared" ref="CT200" si="1594">M200-K200</f>
        <v>2</v>
      </c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9"/>
      <c r="KS200" s="9"/>
      <c r="KT200" s="9"/>
      <c r="KU200" s="9"/>
      <c r="KV200" s="9"/>
      <c r="KW200" s="9"/>
      <c r="KX200" s="9"/>
      <c r="KY200" s="9"/>
      <c r="KZ200" s="9"/>
      <c r="LA200" s="9"/>
      <c r="LB200" s="9"/>
      <c r="LC200" s="9"/>
      <c r="LD200" s="9"/>
      <c r="LE200" s="9"/>
      <c r="LF200" s="9"/>
      <c r="LG200" s="9"/>
      <c r="LH200" s="9"/>
      <c r="LI200" s="9"/>
      <c r="LJ200" s="9"/>
      <c r="LK200" s="9"/>
      <c r="LL200" s="9"/>
      <c r="LM200" s="9"/>
      <c r="LN200" s="9"/>
      <c r="LO200" s="9"/>
      <c r="LP200" s="9"/>
      <c r="LQ200" s="9"/>
      <c r="LR200" s="9"/>
      <c r="LS200" s="9"/>
      <c r="LT200" s="9"/>
      <c r="LU200" s="9"/>
      <c r="LV200" s="9"/>
      <c r="LW200" s="9"/>
      <c r="LX200" s="9"/>
      <c r="LY200" s="9"/>
      <c r="LZ200" s="9"/>
      <c r="MA200" s="9"/>
      <c r="MB200" s="9"/>
      <c r="MC200" s="9"/>
      <c r="MD200" s="9"/>
      <c r="ME200" s="9"/>
      <c r="MF200" s="9"/>
      <c r="MG200" s="9"/>
      <c r="MH200" s="9"/>
      <c r="MI200" s="9"/>
      <c r="MJ200" s="9"/>
      <c r="MK200" s="9"/>
      <c r="ML200" s="9"/>
      <c r="MM200" s="9"/>
      <c r="MN200" s="9"/>
      <c r="MO200" s="9"/>
      <c r="MP200" s="9"/>
      <c r="MQ200" s="9"/>
      <c r="MR200" s="9"/>
      <c r="MS200" s="9"/>
      <c r="MT200" s="9"/>
      <c r="MU200" s="9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  <c r="PG200" s="9"/>
      <c r="PH200" s="9"/>
      <c r="PI200" s="9"/>
      <c r="PJ200" s="9"/>
      <c r="PK200" s="9"/>
      <c r="PL200" s="9"/>
      <c r="PM200" s="9"/>
      <c r="PN200" s="9"/>
      <c r="PO200" s="9"/>
      <c r="PP200" s="9"/>
      <c r="PQ200" s="9"/>
      <c r="PR200" s="9"/>
      <c r="PS200" s="9"/>
      <c r="PT200" s="9"/>
      <c r="PU200" s="9"/>
      <c r="PV200" s="9"/>
      <c r="PW200" s="9"/>
      <c r="PX200" s="9"/>
      <c r="PY200" s="9"/>
      <c r="PZ200" s="9"/>
      <c r="QA200" s="9"/>
      <c r="QB200" s="9"/>
      <c r="QC200" s="9"/>
      <c r="QD200" s="9"/>
      <c r="QE200" s="9"/>
      <c r="QF200" s="9"/>
      <c r="QG200" s="9"/>
      <c r="QH200" s="9"/>
      <c r="QI200" s="9"/>
      <c r="QJ200" s="9"/>
      <c r="QK200" s="9"/>
      <c r="QL200" s="9"/>
      <c r="QM200" s="9"/>
      <c r="QN200" s="9"/>
      <c r="QO200" s="9"/>
      <c r="QP200" s="9"/>
      <c r="QQ200" s="9"/>
      <c r="QR200" s="9"/>
      <c r="QS200" s="9"/>
      <c r="QT200" s="9"/>
      <c r="QU200" s="9"/>
      <c r="QV200" s="9"/>
      <c r="QW200" s="9"/>
      <c r="QX200" s="9"/>
      <c r="QY200" s="9"/>
      <c r="QZ200" s="9"/>
      <c r="RA200" s="9"/>
      <c r="RB200" s="9"/>
      <c r="RC200" s="9"/>
      <c r="RD200" s="9"/>
      <c r="RE200" s="9"/>
      <c r="RF200" s="9"/>
      <c r="RG200" s="9"/>
      <c r="RH200" s="9"/>
      <c r="RI200" s="9"/>
      <c r="RJ200" s="9"/>
      <c r="RK200" s="9"/>
      <c r="RL200" s="9"/>
      <c r="RM200" s="9"/>
      <c r="RN200" s="9"/>
      <c r="RO200" s="9"/>
      <c r="RP200" s="9"/>
      <c r="RQ200" s="9"/>
      <c r="RR200" s="9"/>
      <c r="RS200" s="9"/>
      <c r="RT200" s="9"/>
      <c r="RU200" s="9"/>
      <c r="RV200" s="9"/>
      <c r="RW200" s="9"/>
      <c r="RX200" s="9"/>
      <c r="RY200" s="9"/>
      <c r="RZ200" s="9"/>
      <c r="SA200" s="9"/>
      <c r="SB200" s="9"/>
      <c r="SC200" s="9"/>
      <c r="SD200" s="9"/>
      <c r="SE200" s="9"/>
      <c r="SF200" s="9"/>
      <c r="SG200" s="9"/>
      <c r="SH200" s="9"/>
      <c r="SI200" s="9"/>
      <c r="SJ200" s="9"/>
      <c r="SK200" s="9"/>
      <c r="SL200" s="9"/>
      <c r="SM200" s="9"/>
      <c r="SN200" s="9"/>
      <c r="SO200" s="9"/>
      <c r="SP200" s="9"/>
      <c r="SQ200" s="9"/>
      <c r="SR200" s="9"/>
      <c r="SS200" s="9"/>
      <c r="ST200" s="9"/>
      <c r="SU200" s="9"/>
      <c r="SV200" s="9"/>
      <c r="SW200" s="9"/>
      <c r="SX200" s="9"/>
      <c r="SY200" s="9"/>
      <c r="SZ200" s="9"/>
      <c r="TA200" s="9"/>
      <c r="TB200" s="9"/>
      <c r="TC200" s="9"/>
      <c r="TD200" s="9"/>
      <c r="TE200" s="9"/>
      <c r="TF200" s="9"/>
      <c r="TG200" s="9"/>
      <c r="TH200" s="9"/>
      <c r="TI200" s="9"/>
      <c r="TJ200" s="9"/>
      <c r="TK200" s="9"/>
      <c r="TL200" s="9"/>
      <c r="TM200" s="9"/>
      <c r="TN200" s="9"/>
      <c r="TO200" s="9"/>
      <c r="TP200" s="9"/>
      <c r="TQ200" s="9"/>
      <c r="TR200" s="9"/>
      <c r="TS200" s="9"/>
      <c r="TT200" s="9"/>
      <c r="TU200" s="9"/>
      <c r="TV200" s="9"/>
      <c r="TW200" s="9"/>
      <c r="TX200" s="9"/>
      <c r="TY200" s="9"/>
      <c r="TZ200" s="9"/>
      <c r="UA200" s="9"/>
      <c r="UB200" s="9"/>
      <c r="UC200" s="9"/>
      <c r="UD200" s="9"/>
      <c r="UE200" s="9"/>
      <c r="UF200" s="9"/>
      <c r="UG200" s="9"/>
      <c r="UH200" s="9"/>
      <c r="UI200" s="9"/>
      <c r="UJ200" s="9"/>
      <c r="UK200" s="9"/>
      <c r="UL200" s="9"/>
      <c r="UM200" s="9"/>
      <c r="UN200" s="9"/>
      <c r="UO200" s="9"/>
      <c r="UP200" s="9"/>
      <c r="UQ200" s="9"/>
      <c r="UR200" s="9"/>
      <c r="US200" s="9"/>
      <c r="UT200" s="9"/>
      <c r="UU200" s="9"/>
      <c r="UV200" s="9"/>
      <c r="UW200" s="9"/>
      <c r="UX200" s="9"/>
      <c r="UY200" s="9"/>
      <c r="UZ200" s="9"/>
      <c r="VA200" s="9"/>
      <c r="VB200" s="9"/>
      <c r="VC200" s="9"/>
      <c r="VD200" s="9"/>
      <c r="VE200" s="9"/>
      <c r="VF200" s="9"/>
      <c r="VG200" s="9"/>
      <c r="VH200" s="9"/>
      <c r="VI200" s="9"/>
      <c r="VJ200" s="9"/>
      <c r="VK200" s="9"/>
      <c r="VL200" s="9"/>
      <c r="VM200" s="9"/>
      <c r="VN200" s="9"/>
      <c r="VO200" s="9"/>
      <c r="VP200" s="9"/>
      <c r="VQ200" s="9"/>
      <c r="VR200" s="9"/>
      <c r="VS200" s="9"/>
      <c r="VT200" s="9"/>
      <c r="VU200" s="9"/>
      <c r="VV200" s="9"/>
      <c r="VW200" s="9"/>
      <c r="VX200" s="9"/>
      <c r="VY200" s="9"/>
      <c r="VZ200" s="9"/>
      <c r="WA200" s="9"/>
      <c r="WB200" s="9"/>
      <c r="WC200" s="9"/>
      <c r="WD200" s="9"/>
      <c r="WE200" s="9"/>
      <c r="WF200" s="9"/>
      <c r="WG200" s="9"/>
      <c r="WH200" s="9"/>
      <c r="WI200" s="9"/>
      <c r="WJ200" s="9"/>
      <c r="WK200" s="9"/>
      <c r="WL200" s="9"/>
      <c r="WM200" s="9"/>
      <c r="WN200" s="9"/>
      <c r="WO200" s="9"/>
      <c r="WP200" s="9"/>
      <c r="WQ200" s="9"/>
      <c r="WR200" s="9"/>
      <c r="WS200" s="9"/>
      <c r="WT200" s="9"/>
      <c r="WU200" s="9"/>
      <c r="WV200" s="9"/>
      <c r="WW200" s="9"/>
      <c r="WX200" s="9"/>
      <c r="WY200" s="9"/>
      <c r="WZ200" s="9"/>
      <c r="XA200" s="9"/>
      <c r="XB200" s="9"/>
      <c r="XC200" s="9"/>
      <c r="XD200" s="9"/>
      <c r="XE200" s="9"/>
      <c r="XF200" s="9"/>
      <c r="XG200" s="9"/>
      <c r="XH200" s="9"/>
      <c r="XI200" s="9"/>
      <c r="XJ200" s="9"/>
      <c r="XK200" s="9"/>
      <c r="XL200" s="9"/>
      <c r="XM200" s="9"/>
      <c r="XN200" s="9"/>
      <c r="XO200" s="9"/>
      <c r="XP200" s="9"/>
      <c r="XQ200" s="9"/>
      <c r="XR200" s="9"/>
      <c r="XS200" s="9"/>
      <c r="XT200" s="9"/>
      <c r="XU200" s="9"/>
      <c r="XV200" s="9"/>
      <c r="XW200" s="9"/>
      <c r="XX200" s="9"/>
      <c r="XY200" s="9"/>
      <c r="XZ200" s="9"/>
      <c r="YA200" s="9"/>
      <c r="YB200" s="9"/>
      <c r="YC200" s="9"/>
      <c r="YD200" s="9"/>
      <c r="YE200" s="9"/>
      <c r="YF200" s="9"/>
      <c r="YG200" s="9"/>
      <c r="YH200" s="9"/>
      <c r="YI200" s="9"/>
      <c r="YJ200" s="9"/>
      <c r="YK200" s="9"/>
      <c r="YL200" s="9"/>
      <c r="YM200" s="9"/>
      <c r="YN200" s="9"/>
      <c r="YO200" s="9"/>
      <c r="YP200" s="9"/>
      <c r="YQ200" s="9"/>
      <c r="YR200" s="9"/>
      <c r="YS200" s="9"/>
      <c r="YT200" s="9"/>
      <c r="YU200" s="9"/>
      <c r="YV200" s="9"/>
      <c r="YW200" s="9"/>
      <c r="YX200" s="9"/>
      <c r="YY200" s="9"/>
      <c r="YZ200" s="9"/>
      <c r="ZA200" s="9"/>
      <c r="ZB200" s="9"/>
      <c r="ZC200" s="9"/>
      <c r="ZD200" s="9"/>
      <c r="ZE200" s="9"/>
      <c r="ZF200" s="9"/>
      <c r="ZG200" s="9"/>
      <c r="ZH200" s="9"/>
      <c r="ZI200" s="9"/>
      <c r="ZJ200" s="9"/>
      <c r="ZK200" s="9"/>
      <c r="ZL200" s="9"/>
      <c r="ZM200" s="9"/>
      <c r="ZN200" s="9"/>
      <c r="ZO200" s="9"/>
      <c r="ZP200" s="9"/>
      <c r="ZQ200" s="9"/>
      <c r="ZR200" s="9"/>
      <c r="ZS200" s="9"/>
      <c r="ZT200" s="9"/>
      <c r="ZU200" s="9"/>
      <c r="ZV200" s="9"/>
      <c r="ZW200" s="9"/>
      <c r="ZX200" s="9"/>
      <c r="ZY200" s="9"/>
      <c r="ZZ200" s="9"/>
      <c r="AAA200" s="9"/>
      <c r="AAB200" s="9"/>
      <c r="AAC200" s="9"/>
      <c r="AAD200" s="9"/>
      <c r="AAE200" s="9"/>
      <c r="AAF200" s="9"/>
      <c r="AAG200" s="9"/>
      <c r="AAH200" s="9"/>
      <c r="AAI200" s="9"/>
      <c r="AAJ200" s="9"/>
      <c r="AAK200" s="9"/>
      <c r="AAL200" s="9"/>
      <c r="AAM200" s="9"/>
      <c r="AAN200" s="9"/>
      <c r="AAO200" s="9"/>
      <c r="AAP200" s="9"/>
      <c r="AAQ200" s="9"/>
      <c r="AAR200" s="9"/>
      <c r="AAS200" s="9"/>
      <c r="AAT200" s="9"/>
      <c r="AAU200" s="9"/>
      <c r="AAV200" s="9"/>
      <c r="AAW200" s="9"/>
      <c r="AAX200" s="9"/>
      <c r="AAY200" s="9"/>
      <c r="AAZ200" s="9"/>
      <c r="ABA200" s="9"/>
      <c r="ABB200" s="9"/>
      <c r="ABC200" s="9"/>
      <c r="ABD200" s="9"/>
      <c r="ABE200" s="9"/>
      <c r="ABF200" s="9"/>
      <c r="ABG200" s="9"/>
      <c r="ABH200" s="9"/>
      <c r="ABI200" s="9"/>
      <c r="ABJ200" s="9"/>
      <c r="ABK200" s="9"/>
      <c r="ABL200" s="9"/>
      <c r="ABM200" s="9"/>
      <c r="ABN200" s="9"/>
      <c r="ABO200" s="9"/>
      <c r="ABP200" s="9"/>
      <c r="ABQ200" s="9"/>
      <c r="ABR200" s="9"/>
      <c r="ABS200" s="9"/>
      <c r="ABT200" s="9"/>
      <c r="ABU200" s="9"/>
      <c r="ABV200" s="9"/>
      <c r="ABW200" s="9"/>
      <c r="ABX200" s="9"/>
      <c r="ABY200" s="9"/>
      <c r="ABZ200" s="9"/>
      <c r="ACA200" s="9"/>
      <c r="ACB200" s="9"/>
      <c r="ACC200" s="9"/>
      <c r="ACD200" s="9"/>
      <c r="ACE200" s="9"/>
      <c r="ACF200" s="9"/>
      <c r="ACG200" s="9"/>
      <c r="ACH200" s="9"/>
      <c r="ACI200" s="9"/>
      <c r="ACJ200" s="9"/>
      <c r="ACK200" s="9"/>
      <c r="ACL200" s="9"/>
      <c r="ACM200" s="9"/>
      <c r="ACN200" s="9"/>
      <c r="ACO200" s="9"/>
      <c r="ACP200" s="9"/>
      <c r="ACQ200" s="9"/>
      <c r="ACR200" s="9"/>
      <c r="ACS200" s="9"/>
      <c r="ACT200" s="9"/>
      <c r="ACU200" s="9"/>
      <c r="ACV200" s="9"/>
      <c r="ACW200" s="9"/>
      <c r="ACX200" s="9"/>
      <c r="ACY200" s="9"/>
      <c r="ACZ200" s="9"/>
      <c r="ADA200" s="9"/>
      <c r="ADB200" s="9"/>
      <c r="ADC200" s="9"/>
      <c r="ADD200" s="9"/>
      <c r="ADE200" s="9"/>
      <c r="ADF200" s="9"/>
      <c r="ADG200" s="9"/>
      <c r="ADH200" s="9"/>
      <c r="ADI200" s="9"/>
      <c r="ADJ200" s="9"/>
      <c r="ADK200" s="9"/>
      <c r="ADL200" s="9"/>
      <c r="ADM200" s="9"/>
      <c r="ADN200" s="9"/>
      <c r="ADO200" s="9"/>
      <c r="ADP200" s="9"/>
      <c r="ADQ200" s="9"/>
      <c r="ADR200" s="9"/>
      <c r="ADS200" s="9"/>
      <c r="ADT200" s="9"/>
      <c r="ADU200" s="9"/>
      <c r="ADV200" s="9"/>
      <c r="ADW200" s="9"/>
      <c r="ADX200" s="9"/>
      <c r="ADY200" s="9"/>
      <c r="ADZ200" s="9"/>
      <c r="AEA200" s="9"/>
      <c r="AEB200" s="9"/>
      <c r="AEC200" s="9"/>
      <c r="AED200" s="9"/>
      <c r="AEE200" s="9"/>
      <c r="AEF200" s="9"/>
      <c r="AEG200" s="9"/>
      <c r="AEH200" s="9"/>
      <c r="AEI200" s="9"/>
      <c r="AEJ200" s="9"/>
      <c r="AEK200" s="9"/>
      <c r="AEL200" s="9"/>
      <c r="AEM200" s="9"/>
      <c r="AEN200" s="9"/>
      <c r="AEO200" s="9"/>
      <c r="AEP200" s="9"/>
      <c r="AEQ200" s="9"/>
      <c r="AER200" s="9"/>
      <c r="AES200" s="9"/>
      <c r="AET200" s="9"/>
      <c r="AEU200" s="9"/>
      <c r="AEV200" s="9"/>
      <c r="AEW200" s="9"/>
      <c r="AEX200" s="9"/>
      <c r="AEY200" s="9"/>
      <c r="AEZ200" s="9"/>
      <c r="AFA200" s="9"/>
      <c r="AFB200" s="9"/>
      <c r="AFC200" s="9"/>
      <c r="AFD200" s="9"/>
      <c r="AFE200" s="9"/>
      <c r="AFF200" s="9"/>
      <c r="AFG200" s="9"/>
      <c r="AFH200" s="9"/>
      <c r="AFI200" s="9"/>
      <c r="AFJ200" s="9"/>
      <c r="AFK200" s="9"/>
      <c r="AFL200" s="9"/>
      <c r="AFM200" s="9"/>
      <c r="AFN200" s="9"/>
      <c r="AFO200" s="9"/>
      <c r="AFP200" s="9"/>
      <c r="AFQ200" s="9"/>
      <c r="AFR200" s="9"/>
      <c r="AFS200" s="9"/>
      <c r="AFT200" s="9"/>
      <c r="AFU200" s="9"/>
      <c r="AFV200" s="9"/>
      <c r="AFW200" s="9"/>
      <c r="AFX200" s="9"/>
      <c r="AFY200" s="9"/>
      <c r="AFZ200" s="9"/>
      <c r="AGA200" s="9"/>
      <c r="AGB200" s="9"/>
      <c r="AGC200" s="9"/>
      <c r="AGD200" s="9"/>
      <c r="AGE200" s="9"/>
      <c r="AGF200" s="9"/>
      <c r="AGG200" s="9"/>
      <c r="AGH200" s="9"/>
      <c r="AGI200" s="9"/>
      <c r="AGJ200" s="9"/>
      <c r="AGK200" s="9"/>
      <c r="AGL200" s="9"/>
      <c r="AGM200" s="9"/>
      <c r="AGN200" s="9"/>
      <c r="AGO200" s="9"/>
      <c r="AGP200" s="9"/>
      <c r="AGQ200" s="9"/>
      <c r="AGR200" s="9"/>
      <c r="AGS200" s="9"/>
      <c r="AGT200" s="9"/>
      <c r="AGU200" s="9"/>
      <c r="AGV200" s="9"/>
      <c r="AGW200" s="9"/>
      <c r="AGX200" s="9"/>
      <c r="AGY200" s="9"/>
      <c r="AGZ200" s="9"/>
      <c r="AHA200" s="9"/>
      <c r="AHB200" s="9"/>
      <c r="AHC200" s="9"/>
      <c r="AHD200" s="9"/>
      <c r="AHE200" s="9"/>
      <c r="AHF200" s="9"/>
      <c r="AHG200" s="9"/>
      <c r="AHH200" s="9"/>
      <c r="AHI200" s="9"/>
      <c r="AHJ200" s="9"/>
      <c r="AHK200" s="9"/>
      <c r="AHL200" s="9"/>
      <c r="AHM200" s="9"/>
      <c r="AHN200" s="9"/>
      <c r="AHO200" s="9"/>
      <c r="AHP200" s="9"/>
      <c r="AHQ200" s="9"/>
      <c r="AHR200" s="9"/>
      <c r="AHS200" s="9"/>
      <c r="AHT200" s="9"/>
      <c r="AHU200" s="9"/>
      <c r="AHV200" s="9"/>
      <c r="AHW200" s="9"/>
      <c r="AHX200" s="9"/>
      <c r="AHY200" s="9"/>
      <c r="AHZ200" s="9"/>
      <c r="AIA200" s="9"/>
      <c r="AIB200" s="9"/>
      <c r="AIC200" s="9"/>
      <c r="AID200" s="9"/>
      <c r="AIE200" s="9"/>
      <c r="AIF200" s="9"/>
      <c r="AIG200" s="9"/>
      <c r="AIH200" s="9"/>
      <c r="AII200" s="9"/>
      <c r="AIJ200" s="9"/>
      <c r="AIK200" s="9"/>
      <c r="AIL200" s="9"/>
      <c r="AIM200" s="9"/>
      <c r="AIN200" s="9"/>
      <c r="AIO200" s="9"/>
      <c r="AIP200" s="9"/>
      <c r="AIQ200" s="9"/>
      <c r="AIR200" s="9"/>
      <c r="AIS200" s="9"/>
      <c r="AIT200" s="9"/>
      <c r="AIU200" s="9"/>
      <c r="AIV200" s="9"/>
      <c r="AIW200" s="9"/>
      <c r="AIX200" s="9"/>
      <c r="AIY200" s="9"/>
      <c r="AIZ200" s="9"/>
      <c r="AJA200" s="9"/>
      <c r="AJB200" s="9"/>
      <c r="AJC200" s="9"/>
      <c r="AJD200" s="9"/>
      <c r="AJE200" s="9"/>
      <c r="AJF200" s="9"/>
      <c r="AJG200" s="9"/>
      <c r="AJH200" s="9"/>
      <c r="AJI200" s="9"/>
      <c r="AJJ200" s="9"/>
      <c r="AJK200" s="9"/>
      <c r="AJL200" s="9"/>
      <c r="AJM200" s="9"/>
      <c r="AJN200" s="9"/>
      <c r="AJO200" s="9"/>
      <c r="AJP200" s="9"/>
      <c r="AJQ200" s="9"/>
      <c r="AJR200" s="9"/>
      <c r="AJS200" s="9"/>
      <c r="AJT200" s="9"/>
      <c r="AJU200" s="9"/>
      <c r="AJV200" s="9"/>
      <c r="AJW200" s="9"/>
      <c r="AJX200" s="9"/>
      <c r="AJY200" s="9"/>
      <c r="AJZ200" s="9"/>
      <c r="AKA200" s="9"/>
      <c r="AKB200" s="9"/>
      <c r="AKC200" s="9"/>
      <c r="AKD200" s="9"/>
      <c r="AKE200" s="9"/>
      <c r="AKF200" s="9"/>
      <c r="AKG200" s="9"/>
      <c r="AKH200" s="9"/>
      <c r="AKI200" s="9"/>
      <c r="AKJ200" s="9"/>
      <c r="AKK200" s="9"/>
      <c r="AKL200" s="9"/>
      <c r="AKM200" s="9"/>
      <c r="AKN200" s="9"/>
      <c r="AKO200" s="9"/>
      <c r="AKP200" s="9"/>
      <c r="AKQ200" s="9"/>
      <c r="AKR200" s="9"/>
      <c r="AKS200" s="9"/>
      <c r="AKT200" s="9"/>
      <c r="AKU200" s="9"/>
      <c r="AKV200" s="9"/>
      <c r="AKW200" s="9"/>
      <c r="AKX200" s="9"/>
      <c r="AKY200" s="9"/>
      <c r="AKZ200" s="9"/>
      <c r="ALA200" s="9"/>
      <c r="ALB200" s="9"/>
      <c r="ALC200" s="9"/>
      <c r="ALD200" s="9"/>
      <c r="ALE200" s="9"/>
      <c r="ALF200" s="9"/>
      <c r="ALG200" s="9"/>
      <c r="ALH200" s="9"/>
      <c r="ALI200" s="9"/>
      <c r="ALJ200" s="9"/>
      <c r="ALK200" s="9"/>
      <c r="ALL200" s="9"/>
      <c r="ALM200" s="9"/>
      <c r="ALN200" s="9"/>
      <c r="ALO200" s="9"/>
      <c r="ALP200" s="9"/>
      <c r="ALQ200" s="9"/>
      <c r="ALR200" s="9"/>
      <c r="ALS200" s="9"/>
      <c r="ALT200" s="9"/>
      <c r="ALU200" s="9"/>
      <c r="ALV200" s="9"/>
      <c r="ALW200" s="9"/>
      <c r="ALX200" s="9"/>
      <c r="ALY200" s="9"/>
      <c r="ALZ200" s="9"/>
      <c r="AMA200" s="9"/>
      <c r="AMB200" s="9"/>
      <c r="AMC200" s="9"/>
      <c r="AMD200" s="9"/>
      <c r="AME200" s="9"/>
      <c r="AMF200" s="9"/>
      <c r="AMG200" s="9"/>
      <c r="AMH200" s="9"/>
      <c r="AMI200" s="9"/>
      <c r="AMJ200" s="9"/>
      <c r="AMK200" s="9"/>
      <c r="AML200" s="9"/>
      <c r="AMM200" s="9"/>
      <c r="AMN200" s="9"/>
      <c r="AMO200" s="9"/>
    </row>
    <row r="201" spans="1:1030" x14ac:dyDescent="0.2">
      <c r="A201" s="3" t="str">
        <f t="shared" si="1539"/>
        <v>cnr2_human__wt</v>
      </c>
      <c r="B201" s="3" t="s">
        <v>183</v>
      </c>
      <c r="C201" s="3" t="s">
        <v>100</v>
      </c>
      <c r="D201" s="3" t="str">
        <f>IFERROR(MID(VLOOKUP($B201,Seqs!$A:$B,2,0),E201,1),"")</f>
        <v>S</v>
      </c>
      <c r="E201" s="3">
        <v>29</v>
      </c>
      <c r="F201" s="3" t="str">
        <f>IFERROR(MID(VLOOKUP($B201,Seqs!$A:$B,2,0),G201,1),"")</f>
        <v>S</v>
      </c>
      <c r="G201" s="3">
        <v>61</v>
      </c>
      <c r="H201" s="3" t="str">
        <f>IFERROR(MID(VLOOKUP($B201,Seqs!$A:$B,2,0),I201,1),"")</f>
        <v>H</v>
      </c>
      <c r="I201" s="23">
        <v>62</v>
      </c>
      <c r="J201" s="3" t="str">
        <f>IFERROR(MID(VLOOKUP($B201,Seqs!$A:$B,2,0),K201,1),"")</f>
        <v>R</v>
      </c>
      <c r="K201" s="23">
        <v>65</v>
      </c>
      <c r="L201" s="3" t="str">
        <f>IFERROR(MID(VLOOKUP($B201,Seqs!$A:$B,2,0),M201,1),"")</f>
        <v>K</v>
      </c>
      <c r="M201" s="3">
        <v>67</v>
      </c>
      <c r="N201" s="3" t="str">
        <f>IFERROR(MID(VLOOKUP($B201,Seqs!$A:$B,2,0),O201,1),"")</f>
        <v>V</v>
      </c>
      <c r="O201" s="3">
        <v>96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S</v>
      </c>
      <c r="U201" s="3">
        <v>102</v>
      </c>
      <c r="V201" s="3" t="str">
        <f>IFERROR(MID(VLOOKUP($B201,Seqs!$A:$B,2,0),W201,1),"")</f>
        <v>Y</v>
      </c>
      <c r="W201" s="3">
        <v>137</v>
      </c>
      <c r="X201" s="3" t="str">
        <f>IFERROR(MID(VLOOKUP($B201,Seqs!$A:$B,2,0),Y201,1),"")</f>
        <v>P</v>
      </c>
      <c r="Y201" s="3">
        <v>138</v>
      </c>
      <c r="Z201" s="3" t="str">
        <f>IFERROR(MID(VLOOKUP($B201,Seqs!$A:$B,2,0),AA201,1),"")</f>
        <v>L</v>
      </c>
      <c r="AA201" s="3">
        <v>145</v>
      </c>
      <c r="AB201" s="3" t="str">
        <f>IFERROR(MID(VLOOKUP($B201,Seqs!$A:$B,2,0),AC201,1),"")</f>
        <v>T</v>
      </c>
      <c r="AC201" s="3">
        <v>146</v>
      </c>
      <c r="AD201" s="3" t="str">
        <f>IFERROR(MID(VLOOKUP($B201,Seqs!$A:$B,2,0),AE201,1),"")</f>
        <v>G</v>
      </c>
      <c r="AE201" s="3">
        <v>171</v>
      </c>
      <c r="AF201" s="3" t="str">
        <f>IFERROR(MID(VLOOKUP($B201,Seqs!$A:$B,2,0),AG201,1),"")</f>
        <v/>
      </c>
      <c r="AG201" s="3" t="s">
        <v>23</v>
      </c>
      <c r="AH201" s="3" t="str">
        <f>IFERROR(MID(VLOOKUP($B201,Seqs!$A:$B,2,0),AI201,1),"")</f>
        <v/>
      </c>
      <c r="AI201" s="3" t="s">
        <v>23</v>
      </c>
      <c r="AJ201" s="3" t="str">
        <f>IFERROR(MID(VLOOKUP($B201,Seqs!$A:$B,2,0),AK201,1),"")</f>
        <v>P</v>
      </c>
      <c r="AK201" s="3">
        <v>187</v>
      </c>
      <c r="AL201" s="3" t="str">
        <f>IFERROR(MID(VLOOKUP($B201,Seqs!$A:$B,2,0),AM201,1),"")</f>
        <v>G</v>
      </c>
      <c r="AM201" s="3">
        <v>225</v>
      </c>
      <c r="AN201" s="3" t="str">
        <f>IFERROR(MID(VLOOKUP($B201,Seqs!$A:$B,2,0),AO201,1),"")</f>
        <v>R</v>
      </c>
      <c r="AO201" s="105">
        <v>238</v>
      </c>
      <c r="AP201" s="3" t="str">
        <f>IFERROR(MID(VLOOKUP($B201,Seqs!$A:$B,2,0),AQ201,1),"")</f>
        <v>T</v>
      </c>
      <c r="AQ201" s="3">
        <v>271</v>
      </c>
      <c r="AR201" s="3" t="str">
        <f>IFERROR(MID(VLOOKUP($B201,Seqs!$A:$B,2,0),AS201,1),"")</f>
        <v>S</v>
      </c>
      <c r="AS201" s="3">
        <v>274</v>
      </c>
      <c r="AT201" s="3" t="str">
        <f>IFERROR(MID(VLOOKUP($B201,Seqs!$A:$B,2,0),AU201,1),"")</f>
        <v>R</v>
      </c>
      <c r="AU201" s="3">
        <v>302</v>
      </c>
      <c r="AV201" s="3" t="str">
        <f>IFERROR(MID(VLOOKUP($B201,Seqs!$A:$B,2,0),AW201,1),"")</f>
        <v>S</v>
      </c>
      <c r="AW201" s="3">
        <v>303</v>
      </c>
      <c r="AX201" s="3" t="str">
        <f>IFERROR(MID(VLOOKUP($B201,Seqs!$A:$B,2,0),AY201,1),"")</f>
        <v>K</v>
      </c>
      <c r="AY201" s="3">
        <v>319</v>
      </c>
      <c r="AZ201" s="77" t="str">
        <f>VLOOKUP(B201,Classification!A:D,2,0)</f>
        <v>A</v>
      </c>
      <c r="BA201" s="94" t="str">
        <f>VLOOKUP(B201,Classification!A:D,4,0)</f>
        <v>Cannabinoid</v>
      </c>
      <c r="BB201" s="27" t="b">
        <f t="shared" si="1540"/>
        <v>1</v>
      </c>
      <c r="BC201" s="23">
        <f t="shared" si="1541"/>
        <v>258</v>
      </c>
      <c r="BD201" s="2" t="s">
        <v>23</v>
      </c>
      <c r="BE201" s="3" t="s">
        <v>23</v>
      </c>
      <c r="BF201" s="118" t="s">
        <v>23</v>
      </c>
      <c r="BG201" s="49" t="s">
        <v>23</v>
      </c>
      <c r="BH201" s="49" t="s">
        <v>23</v>
      </c>
      <c r="BJ201" s="70" t="s">
        <v>1287</v>
      </c>
      <c r="BK201" s="57" t="s">
        <v>1287</v>
      </c>
      <c r="BL201" s="57" t="s">
        <v>1287</v>
      </c>
      <c r="BM201" s="57" t="s">
        <v>1287</v>
      </c>
      <c r="BN201" s="57" t="s">
        <v>1287</v>
      </c>
      <c r="BO201" s="57" t="s">
        <v>1287</v>
      </c>
      <c r="BP201" s="57" t="s">
        <v>1287</v>
      </c>
      <c r="BQ201" s="57" t="s">
        <v>1287</v>
      </c>
      <c r="BR201" s="57" t="s">
        <v>1287</v>
      </c>
      <c r="BS201" s="57" t="s">
        <v>1287</v>
      </c>
      <c r="BT201" s="57" t="s">
        <v>1287</v>
      </c>
      <c r="BU201" s="57" t="s">
        <v>1287</v>
      </c>
      <c r="BV201" s="70">
        <f t="shared" si="1542"/>
        <v>29</v>
      </c>
      <c r="BW201" s="71">
        <f t="shared" si="1543"/>
        <v>62</v>
      </c>
      <c r="BX201" s="72">
        <f t="shared" si="1544"/>
        <v>67</v>
      </c>
      <c r="BY201" s="71" t="str">
        <f t="shared" si="1545"/>
        <v>-</v>
      </c>
      <c r="BZ201" s="72">
        <f t="shared" si="1546"/>
        <v>102</v>
      </c>
      <c r="CA201" s="71">
        <f t="shared" si="1547"/>
        <v>138</v>
      </c>
      <c r="CB201" s="72">
        <f t="shared" si="1548"/>
        <v>146</v>
      </c>
      <c r="CC201" s="71" t="str">
        <f t="shared" si="1549"/>
        <v>-</v>
      </c>
      <c r="CD201" s="72">
        <f t="shared" si="1550"/>
        <v>187</v>
      </c>
      <c r="CE201" s="71">
        <f t="shared" si="1551"/>
        <v>238</v>
      </c>
      <c r="CF201" s="72">
        <f t="shared" si="1552"/>
        <v>274</v>
      </c>
      <c r="CG201" s="71">
        <f t="shared" si="1553"/>
        <v>303</v>
      </c>
      <c r="CH201" s="70">
        <f t="shared" si="1554"/>
        <v>61</v>
      </c>
      <c r="CI201" s="71">
        <f t="shared" si="1555"/>
        <v>65</v>
      </c>
      <c r="CJ201" s="72">
        <f t="shared" si="1556"/>
        <v>96</v>
      </c>
      <c r="CK201" s="72" t="str">
        <f t="shared" si="1557"/>
        <v>-</v>
      </c>
      <c r="CL201" s="72">
        <f t="shared" si="1558"/>
        <v>137</v>
      </c>
      <c r="CM201" s="72">
        <f t="shared" si="1559"/>
        <v>145</v>
      </c>
      <c r="CN201" s="72">
        <f t="shared" si="1560"/>
        <v>171</v>
      </c>
      <c r="CO201" s="72" t="str">
        <f t="shared" si="1561"/>
        <v>-</v>
      </c>
      <c r="CP201" s="72">
        <f t="shared" si="1562"/>
        <v>225</v>
      </c>
      <c r="CQ201" s="72">
        <f t="shared" si="1563"/>
        <v>271</v>
      </c>
      <c r="CR201" s="72">
        <f t="shared" si="1564"/>
        <v>302</v>
      </c>
      <c r="CS201" s="72">
        <f t="shared" si="1565"/>
        <v>319</v>
      </c>
      <c r="CT201" s="23">
        <f t="shared" si="1566"/>
        <v>2</v>
      </c>
    </row>
    <row r="202" spans="1:1030" x14ac:dyDescent="0.2">
      <c r="A202" s="3" t="str">
        <f t="shared" si="1539"/>
        <v>cnr2_human_5ZTY</v>
      </c>
      <c r="B202" s="3" t="s">
        <v>183</v>
      </c>
      <c r="C202" s="3" t="s">
        <v>1557</v>
      </c>
      <c r="D202" s="3" t="str">
        <f>IFERROR(MID(VLOOKUP($B202,Seqs!$A:$B,2,0),E202,1),"")</f>
        <v>S</v>
      </c>
      <c r="E202" s="3">
        <v>29</v>
      </c>
      <c r="F202" s="3" t="str">
        <f>IFERROR(MID(VLOOKUP($B202,Seqs!$A:$B,2,0),G202,1),"")</f>
        <v>S</v>
      </c>
      <c r="G202" s="3">
        <v>61</v>
      </c>
      <c r="H202" s="3" t="str">
        <f>IFERROR(MID(VLOOKUP($B202,Seqs!$A:$B,2,0),I202,1),"")</f>
        <v>H</v>
      </c>
      <c r="I202" s="23">
        <v>62</v>
      </c>
      <c r="J202" s="3" t="str">
        <f>IFERROR(MID(VLOOKUP($B202,Seqs!$A:$B,2,0),K202,1),"")</f>
        <v>R</v>
      </c>
      <c r="K202" s="23">
        <v>65</v>
      </c>
      <c r="L202" s="3" t="str">
        <f>IFERROR(MID(VLOOKUP($B202,Seqs!$A:$B,2,0),M202,1),"")</f>
        <v>K</v>
      </c>
      <c r="M202" s="3">
        <v>67</v>
      </c>
      <c r="N202" s="3" t="str">
        <f>IFERROR(MID(VLOOKUP($B202,Seqs!$A:$B,2,0),O202,1),"")</f>
        <v>V</v>
      </c>
      <c r="O202" s="3">
        <v>96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S</v>
      </c>
      <c r="U202" s="3">
        <v>102</v>
      </c>
      <c r="V202" s="3" t="str">
        <f>IFERROR(MID(VLOOKUP($B202,Seqs!$A:$B,2,0),W202,1),"")</f>
        <v>Y</v>
      </c>
      <c r="W202" s="3">
        <v>137</v>
      </c>
      <c r="X202" s="3" t="str">
        <f>IFERROR(MID(VLOOKUP($B202,Seqs!$A:$B,2,0),Y202,1),"")</f>
        <v>P</v>
      </c>
      <c r="Y202" s="3">
        <v>138</v>
      </c>
      <c r="Z202" s="3" t="str">
        <f>IFERROR(MID(VLOOKUP($B202,Seqs!$A:$B,2,0),AA202,1),"")</f>
        <v>L</v>
      </c>
      <c r="AA202" s="3">
        <v>145</v>
      </c>
      <c r="AB202" s="3" t="str">
        <f>IFERROR(MID(VLOOKUP($B202,Seqs!$A:$B,2,0),AC202,1),"")</f>
        <v>T</v>
      </c>
      <c r="AC202" s="3">
        <v>146</v>
      </c>
      <c r="AD202" s="3" t="str">
        <f>IFERROR(MID(VLOOKUP($B202,Seqs!$A:$B,2,0),AE202,1),"")</f>
        <v>G</v>
      </c>
      <c r="AE202" s="3">
        <v>171</v>
      </c>
      <c r="AF202" s="3" t="str">
        <f>IFERROR(MID(VLOOKUP($B202,Seqs!$A:$B,2,0),AG202,1),"")</f>
        <v/>
      </c>
      <c r="AG202" s="3" t="s">
        <v>23</v>
      </c>
      <c r="AH202" s="3" t="str">
        <f>IFERROR(MID(VLOOKUP($B202,Seqs!$A:$B,2,0),AI202,1),"")</f>
        <v/>
      </c>
      <c r="AI202" s="3" t="s">
        <v>23</v>
      </c>
      <c r="AJ202" s="3" t="str">
        <f>IFERROR(MID(VLOOKUP($B202,Seqs!$A:$B,2,0),AK202,1),"")</f>
        <v>P</v>
      </c>
      <c r="AK202" s="3">
        <v>187</v>
      </c>
      <c r="AL202" s="3" t="str">
        <f>IFERROR(MID(VLOOKUP($B202,Seqs!$A:$B,2,0),AM202,1),"")</f>
        <v>V</v>
      </c>
      <c r="AM202" s="3">
        <v>220</v>
      </c>
      <c r="AN202" s="3" t="str">
        <f>IFERROR(MID(VLOOKUP($B202,Seqs!$A:$B,2,0),AO202,1),"")</f>
        <v>M</v>
      </c>
      <c r="AO202" s="3">
        <v>237</v>
      </c>
      <c r="AP202" s="3" t="str">
        <f>IFERROR(MID(VLOOKUP($B202,Seqs!$A:$B,2,0),AQ202,1),"")</f>
        <v>T</v>
      </c>
      <c r="AQ202" s="3">
        <v>271</v>
      </c>
      <c r="AR202" s="3" t="str">
        <f>IFERROR(MID(VLOOKUP($B202,Seqs!$A:$B,2,0),AS202,1),"")</f>
        <v>S</v>
      </c>
      <c r="AS202" s="3">
        <v>274</v>
      </c>
      <c r="AT202" s="3" t="str">
        <f>IFERROR(MID(VLOOKUP($B202,Seqs!$A:$B,2,0),AU202,1),"")</f>
        <v>R</v>
      </c>
      <c r="AU202" s="3">
        <v>302</v>
      </c>
      <c r="AV202" s="3" t="str">
        <f>IFERROR(MID(VLOOKUP($B202,Seqs!$A:$B,2,0),AW202,1),"")</f>
        <v>S</v>
      </c>
      <c r="AW202" s="3">
        <v>303</v>
      </c>
      <c r="AX202" s="3" t="str">
        <f>IFERROR(MID(VLOOKUP($B202,Seqs!$A:$B,2,0),AY202,1),"")</f>
        <v>K</v>
      </c>
      <c r="AY202" s="3">
        <v>319</v>
      </c>
      <c r="AZ202" s="77" t="str">
        <f>VLOOKUP(B202,Classification!A:D,2,0)</f>
        <v>A</v>
      </c>
      <c r="BA202" s="94" t="str">
        <f>VLOOKUP(B202,Classification!A:D,4,0)</f>
        <v>Cannabinoid</v>
      </c>
      <c r="BB202" s="27" t="b">
        <f t="shared" si="1540"/>
        <v>1</v>
      </c>
      <c r="BC202" s="23">
        <f t="shared" si="1541"/>
        <v>254</v>
      </c>
      <c r="BD202" s="2" t="s">
        <v>1376</v>
      </c>
      <c r="BE202" s="3" t="s">
        <v>1374</v>
      </c>
      <c r="BF202" s="118">
        <v>2.8</v>
      </c>
      <c r="BG202" s="49" t="s">
        <v>1</v>
      </c>
      <c r="BH202" s="49" t="s">
        <v>1</v>
      </c>
      <c r="BJ202" s="70" t="s">
        <v>1287</v>
      </c>
      <c r="BK202" s="57" t="s">
        <v>1287</v>
      </c>
      <c r="BL202" s="57" t="s">
        <v>1287</v>
      </c>
      <c r="BM202" s="57" t="s">
        <v>1287</v>
      </c>
      <c r="BN202" s="57" t="s">
        <v>1287</v>
      </c>
      <c r="BO202" s="57" t="s">
        <v>1287</v>
      </c>
      <c r="BP202" s="57" t="s">
        <v>1287</v>
      </c>
      <c r="BQ202" s="57" t="s">
        <v>1287</v>
      </c>
      <c r="BR202" s="57" t="s">
        <v>1287</v>
      </c>
      <c r="BS202" s="57" t="s">
        <v>1287</v>
      </c>
      <c r="BT202" s="57" t="s">
        <v>1287</v>
      </c>
      <c r="BU202" s="57" t="s">
        <v>1287</v>
      </c>
      <c r="BV202" s="70">
        <f t="shared" si="1542"/>
        <v>29</v>
      </c>
      <c r="BW202" s="71">
        <f t="shared" si="1543"/>
        <v>62</v>
      </c>
      <c r="BX202" s="72">
        <f t="shared" si="1544"/>
        <v>67</v>
      </c>
      <c r="BY202" s="71" t="str">
        <f t="shared" si="1545"/>
        <v>-</v>
      </c>
      <c r="BZ202" s="72">
        <f t="shared" si="1546"/>
        <v>102</v>
      </c>
      <c r="CA202" s="71">
        <f t="shared" si="1547"/>
        <v>138</v>
      </c>
      <c r="CB202" s="72">
        <f t="shared" si="1548"/>
        <v>146</v>
      </c>
      <c r="CC202" s="71" t="str">
        <f t="shared" si="1549"/>
        <v>-</v>
      </c>
      <c r="CD202" s="72">
        <f t="shared" si="1550"/>
        <v>187</v>
      </c>
      <c r="CE202" s="71">
        <f t="shared" si="1551"/>
        <v>237</v>
      </c>
      <c r="CF202" s="72">
        <f t="shared" si="1552"/>
        <v>274</v>
      </c>
      <c r="CG202" s="71">
        <f t="shared" si="1553"/>
        <v>303</v>
      </c>
      <c r="CH202" s="70">
        <f t="shared" si="1554"/>
        <v>61</v>
      </c>
      <c r="CI202" s="71">
        <f t="shared" si="1555"/>
        <v>65</v>
      </c>
      <c r="CJ202" s="72">
        <f t="shared" si="1556"/>
        <v>96</v>
      </c>
      <c r="CK202" s="72" t="str">
        <f t="shared" si="1557"/>
        <v>-</v>
      </c>
      <c r="CL202" s="72">
        <f t="shared" si="1558"/>
        <v>137</v>
      </c>
      <c r="CM202" s="72">
        <f t="shared" si="1559"/>
        <v>145</v>
      </c>
      <c r="CN202" s="72">
        <f t="shared" si="1560"/>
        <v>171</v>
      </c>
      <c r="CO202" s="72" t="str">
        <f t="shared" si="1561"/>
        <v>-</v>
      </c>
      <c r="CP202" s="72">
        <f t="shared" si="1562"/>
        <v>220</v>
      </c>
      <c r="CQ202" s="72">
        <f t="shared" si="1563"/>
        <v>271</v>
      </c>
      <c r="CR202" s="72">
        <f t="shared" si="1564"/>
        <v>302</v>
      </c>
      <c r="CS202" s="72">
        <f t="shared" si="1565"/>
        <v>319</v>
      </c>
      <c r="CT202" s="23">
        <f t="shared" si="1566"/>
        <v>2</v>
      </c>
    </row>
    <row r="203" spans="1:1030" s="12" customFormat="1" x14ac:dyDescent="0.2">
      <c r="A203" s="9" t="str">
        <f t="shared" ref="A203" si="1595">CONCATENATE(B203,"_",C203)</f>
        <v>cnr2_human_6KPC</v>
      </c>
      <c r="B203" s="9" t="s">
        <v>183</v>
      </c>
      <c r="C203" s="9" t="s">
        <v>1649</v>
      </c>
      <c r="D203" s="9" t="str">
        <f>IFERROR(MID(VLOOKUP($B203,Seqs!$A:$B,2,0),E203,1),"")</f>
        <v>S</v>
      </c>
      <c r="E203" s="9">
        <v>29</v>
      </c>
      <c r="F203" s="9" t="str">
        <f>IFERROR(MID(VLOOKUP($B203,Seqs!$A:$B,2,0),G203,1),"")</f>
        <v>S</v>
      </c>
      <c r="G203" s="9">
        <v>61</v>
      </c>
      <c r="H203" s="9" t="str">
        <f>IFERROR(MID(VLOOKUP($B203,Seqs!$A:$B,2,0),I203,1),"")</f>
        <v>H</v>
      </c>
      <c r="I203" s="109">
        <v>62</v>
      </c>
      <c r="J203" s="9" t="str">
        <f>IFERROR(MID(VLOOKUP($B203,Seqs!$A:$B,2,0),K203,1),"")</f>
        <v>R</v>
      </c>
      <c r="K203" s="109">
        <v>65</v>
      </c>
      <c r="L203" s="9" t="str">
        <f>IFERROR(MID(VLOOKUP($B203,Seqs!$A:$B,2,0),M203,1),"")</f>
        <v>P</v>
      </c>
      <c r="M203" s="9">
        <v>68</v>
      </c>
      <c r="N203" s="9" t="str">
        <f>IFERROR(MID(VLOOKUP($B203,Seqs!$A:$B,2,0),O203,1),"")</f>
        <v>H</v>
      </c>
      <c r="O203" s="9">
        <v>95</v>
      </c>
      <c r="P203" s="9" t="str">
        <f>IFERROR(MID(VLOOKUP($B203,Seqs!$A:$B,2,0),Q203,1),"")</f>
        <v/>
      </c>
      <c r="Q203" s="9" t="s">
        <v>23</v>
      </c>
      <c r="R203" s="9" t="str">
        <f>IFERROR(MID(VLOOKUP($B203,Seqs!$A:$B,2,0),S203,1),"")</f>
        <v/>
      </c>
      <c r="S203" s="9" t="s">
        <v>23</v>
      </c>
      <c r="T203" s="9" t="str">
        <f>IFERROR(MID(VLOOKUP($B203,Seqs!$A:$B,2,0),U203,1),"")</f>
        <v>S</v>
      </c>
      <c r="U203" s="9">
        <v>102</v>
      </c>
      <c r="V203" s="9" t="str">
        <f>IFERROR(MID(VLOOKUP($B203,Seqs!$A:$B,2,0),W203,1),"")</f>
        <v>Y</v>
      </c>
      <c r="W203" s="9">
        <v>137</v>
      </c>
      <c r="X203" s="9" t="str">
        <f>IFERROR(MID(VLOOKUP($B203,Seqs!$A:$B,2,0),Y203,1),"")</f>
        <v>P</v>
      </c>
      <c r="Y203" s="9">
        <v>138</v>
      </c>
      <c r="Z203" s="9" t="str">
        <f>IFERROR(MID(VLOOKUP($B203,Seqs!$A:$B,2,0),AA203,1),"")</f>
        <v>L</v>
      </c>
      <c r="AA203" s="9">
        <v>145</v>
      </c>
      <c r="AB203" s="9" t="str">
        <f>IFERROR(MID(VLOOKUP($B203,Seqs!$A:$B,2,0),AC203,1),"")</f>
        <v>T</v>
      </c>
      <c r="AC203" s="9">
        <v>146</v>
      </c>
      <c r="AD203" s="9" t="str">
        <f>IFERROR(MID(VLOOKUP($B203,Seqs!$A:$B,2,0),AE203,1),"")</f>
        <v>M</v>
      </c>
      <c r="AE203" s="9">
        <v>170</v>
      </c>
      <c r="AF203" s="9" t="str">
        <f>IFERROR(MID(VLOOKUP($B203,Seqs!$A:$B,2,0),AG203,1),"")</f>
        <v/>
      </c>
      <c r="AG203" s="9" t="s">
        <v>23</v>
      </c>
      <c r="AH203" s="9" t="str">
        <f>IFERROR(MID(VLOOKUP($B203,Seqs!$A:$B,2,0),AI203,1),"")</f>
        <v/>
      </c>
      <c r="AI203" s="9" t="s">
        <v>23</v>
      </c>
      <c r="AJ203" s="9" t="str">
        <f>IFERROR(MID(VLOOKUP($B203,Seqs!$A:$B,2,0),AK203,1),"")</f>
        <v>P</v>
      </c>
      <c r="AK203" s="9">
        <v>187</v>
      </c>
      <c r="AL203" s="9" t="str">
        <f>IFERROR(MID(VLOOKUP($B203,Seqs!$A:$B,2,0),AM203,1),"")</f>
        <v>V</v>
      </c>
      <c r="AM203" s="9">
        <v>220</v>
      </c>
      <c r="AN203" s="9" t="str">
        <f>IFERROR(MID(VLOOKUP($B203,Seqs!$A:$B,2,0),AO203,1),"")</f>
        <v>M</v>
      </c>
      <c r="AO203" s="9">
        <v>237</v>
      </c>
      <c r="AP203" s="9" t="str">
        <f>IFERROR(MID(VLOOKUP($B203,Seqs!$A:$B,2,0),AQ203,1),"")</f>
        <v>T</v>
      </c>
      <c r="AQ203" s="9">
        <v>271</v>
      </c>
      <c r="AR203" s="9" t="str">
        <f>IFERROR(MID(VLOOKUP($B203,Seqs!$A:$B,2,0),AS203,1),"")</f>
        <v>S</v>
      </c>
      <c r="AS203" s="9">
        <v>274</v>
      </c>
      <c r="AT203" s="9" t="str">
        <f>IFERROR(MID(VLOOKUP($B203,Seqs!$A:$B,2,0),AU203,1),"")</f>
        <v>R</v>
      </c>
      <c r="AU203" s="9">
        <v>302</v>
      </c>
      <c r="AV203" s="9" t="str">
        <f>IFERROR(MID(VLOOKUP($B203,Seqs!$A:$B,2,0),AW203,1),"")</f>
        <v>S</v>
      </c>
      <c r="AW203" s="9">
        <v>303</v>
      </c>
      <c r="AX203" s="9" t="str">
        <f>IFERROR(MID(VLOOKUP($B203,Seqs!$A:$B,2,0),AY203,1),"")</f>
        <v>H</v>
      </c>
      <c r="AY203" s="9">
        <v>312</v>
      </c>
      <c r="AZ203" s="110" t="str">
        <f>VLOOKUP(B203,Classification!A:D,2,0)</f>
        <v>A</v>
      </c>
      <c r="BA203" s="98" t="str">
        <f>VLOOKUP(B203,Classification!A:D,4,0)</f>
        <v>Cannabinoid</v>
      </c>
      <c r="BB203" s="36" t="b">
        <f t="shared" ref="BB203" si="1596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109">
        <f t="shared" ref="BC203" si="1597">_xlfn.AGGREGATE(9,6,CH203:CS203)-_xlfn.AGGREGATE(9,6,BV203:CG203)+12</f>
        <v>244</v>
      </c>
      <c r="BD203" s="40" t="s">
        <v>23</v>
      </c>
      <c r="BE203" s="9" t="s">
        <v>1374</v>
      </c>
      <c r="BF203" s="119">
        <v>3.2</v>
      </c>
      <c r="BG203" s="51" t="s">
        <v>1</v>
      </c>
      <c r="BH203" s="51" t="s">
        <v>1</v>
      </c>
      <c r="BI203" s="9"/>
      <c r="BJ203" s="111" t="s">
        <v>1287</v>
      </c>
      <c r="BK203" s="112" t="s">
        <v>1287</v>
      </c>
      <c r="BL203" s="112" t="s">
        <v>1287</v>
      </c>
      <c r="BM203" s="112" t="s">
        <v>1287</v>
      </c>
      <c r="BN203" s="112" t="s">
        <v>1287</v>
      </c>
      <c r="BO203" s="112" t="s">
        <v>1287</v>
      </c>
      <c r="BP203" s="112" t="s">
        <v>1287</v>
      </c>
      <c r="BQ203" s="112" t="s">
        <v>1287</v>
      </c>
      <c r="BR203" s="112" t="s">
        <v>1287</v>
      </c>
      <c r="BS203" s="112" t="s">
        <v>1287</v>
      </c>
      <c r="BT203" s="112" t="s">
        <v>1287</v>
      </c>
      <c r="BU203" s="112" t="s">
        <v>1287</v>
      </c>
      <c r="BV203" s="111">
        <f t="shared" ref="BV203" si="1598">E203</f>
        <v>29</v>
      </c>
      <c r="BW203" s="113">
        <f t="shared" ref="BW203" si="1599">I203</f>
        <v>62</v>
      </c>
      <c r="BX203" s="114">
        <f t="shared" ref="BX203" si="1600">M203</f>
        <v>68</v>
      </c>
      <c r="BY203" s="113" t="str">
        <f t="shared" ref="BY203" si="1601">Q203</f>
        <v>-</v>
      </c>
      <c r="BZ203" s="114">
        <f t="shared" ref="BZ203" si="1602">U203</f>
        <v>102</v>
      </c>
      <c r="CA203" s="113">
        <f t="shared" ref="CA203" si="1603">Y203</f>
        <v>138</v>
      </c>
      <c r="CB203" s="114">
        <f t="shared" ref="CB203" si="1604">AC203</f>
        <v>146</v>
      </c>
      <c r="CC203" s="113" t="str">
        <f t="shared" ref="CC203" si="1605">AG203</f>
        <v>-</v>
      </c>
      <c r="CD203" s="114">
        <f t="shared" ref="CD203" si="1606">AK203</f>
        <v>187</v>
      </c>
      <c r="CE203" s="113">
        <f t="shared" ref="CE203" si="1607">AO203</f>
        <v>237</v>
      </c>
      <c r="CF203" s="114">
        <f t="shared" ref="CF203" si="1608">AS203</f>
        <v>274</v>
      </c>
      <c r="CG203" s="113">
        <f t="shared" ref="CG203" si="1609">AW203</f>
        <v>303</v>
      </c>
      <c r="CH203" s="111">
        <f t="shared" ref="CH203" si="1610">G203</f>
        <v>61</v>
      </c>
      <c r="CI203" s="113">
        <f t="shared" ref="CI203" si="1611">K203</f>
        <v>65</v>
      </c>
      <c r="CJ203" s="114">
        <f t="shared" ref="CJ203" si="1612">O203</f>
        <v>95</v>
      </c>
      <c r="CK203" s="114" t="str">
        <f t="shared" ref="CK203" si="1613">S203</f>
        <v>-</v>
      </c>
      <c r="CL203" s="114">
        <f t="shared" ref="CL203" si="1614">W203</f>
        <v>137</v>
      </c>
      <c r="CM203" s="114">
        <f t="shared" ref="CM203" si="1615">AA203</f>
        <v>145</v>
      </c>
      <c r="CN203" s="114">
        <f t="shared" ref="CN203" si="1616">AE203</f>
        <v>170</v>
      </c>
      <c r="CO203" s="114" t="str">
        <f t="shared" ref="CO203" si="1617">AI203</f>
        <v>-</v>
      </c>
      <c r="CP203" s="114">
        <f t="shared" ref="CP203" si="1618">AM203</f>
        <v>220</v>
      </c>
      <c r="CQ203" s="114">
        <f t="shared" ref="CQ203" si="1619">AQ203</f>
        <v>271</v>
      </c>
      <c r="CR203" s="114">
        <f t="shared" ref="CR203" si="1620">AU203</f>
        <v>302</v>
      </c>
      <c r="CS203" s="114">
        <f t="shared" ref="CS203" si="1621">AY203</f>
        <v>312</v>
      </c>
      <c r="CT203" s="109">
        <f t="shared" ref="CT203" si="1622">M203-K203</f>
        <v>3</v>
      </c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  <c r="LI203" s="9"/>
      <c r="LJ203" s="9"/>
      <c r="LK203" s="9"/>
      <c r="LL203" s="9"/>
      <c r="LM203" s="9"/>
      <c r="LN203" s="9"/>
      <c r="LO203" s="9"/>
      <c r="LP203" s="9"/>
      <c r="LQ203" s="9"/>
      <c r="LR203" s="9"/>
      <c r="LS203" s="9"/>
      <c r="LT203" s="9"/>
      <c r="LU203" s="9"/>
      <c r="LV203" s="9"/>
      <c r="LW203" s="9"/>
      <c r="LX203" s="9"/>
      <c r="LY203" s="9"/>
      <c r="LZ203" s="9"/>
      <c r="MA203" s="9"/>
      <c r="MB203" s="9"/>
      <c r="MC203" s="9"/>
      <c r="MD203" s="9"/>
      <c r="ME203" s="9"/>
      <c r="MF203" s="9"/>
      <c r="MG203" s="9"/>
      <c r="MH203" s="9"/>
      <c r="MI203" s="9"/>
      <c r="MJ203" s="9"/>
      <c r="MK203" s="9"/>
      <c r="ML203" s="9"/>
      <c r="MM203" s="9"/>
      <c r="MN203" s="9"/>
      <c r="MO203" s="9"/>
      <c r="MP203" s="9"/>
      <c r="MQ203" s="9"/>
      <c r="MR203" s="9"/>
      <c r="MS203" s="9"/>
      <c r="MT203" s="9"/>
      <c r="MU203" s="9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  <c r="PG203" s="9"/>
      <c r="PH203" s="9"/>
      <c r="PI203" s="9"/>
      <c r="PJ203" s="9"/>
      <c r="PK203" s="9"/>
      <c r="PL203" s="9"/>
      <c r="PM203" s="9"/>
      <c r="PN203" s="9"/>
      <c r="PO203" s="9"/>
      <c r="PP203" s="9"/>
      <c r="PQ203" s="9"/>
      <c r="PR203" s="9"/>
      <c r="PS203" s="9"/>
      <c r="PT203" s="9"/>
      <c r="PU203" s="9"/>
      <c r="PV203" s="9"/>
      <c r="PW203" s="9"/>
      <c r="PX203" s="9"/>
      <c r="PY203" s="9"/>
      <c r="PZ203" s="9"/>
      <c r="QA203" s="9"/>
      <c r="QB203" s="9"/>
      <c r="QC203" s="9"/>
      <c r="QD203" s="9"/>
      <c r="QE203" s="9"/>
      <c r="QF203" s="9"/>
      <c r="QG203" s="9"/>
      <c r="QH203" s="9"/>
      <c r="QI203" s="9"/>
      <c r="QJ203" s="9"/>
      <c r="QK203" s="9"/>
      <c r="QL203" s="9"/>
      <c r="QM203" s="9"/>
      <c r="QN203" s="9"/>
      <c r="QO203" s="9"/>
      <c r="QP203" s="9"/>
      <c r="QQ203" s="9"/>
      <c r="QR203" s="9"/>
      <c r="QS203" s="9"/>
      <c r="QT203" s="9"/>
      <c r="QU203" s="9"/>
      <c r="QV203" s="9"/>
      <c r="QW203" s="9"/>
      <c r="QX203" s="9"/>
      <c r="QY203" s="9"/>
      <c r="QZ203" s="9"/>
      <c r="RA203" s="9"/>
      <c r="RB203" s="9"/>
      <c r="RC203" s="9"/>
      <c r="RD203" s="9"/>
      <c r="RE203" s="9"/>
      <c r="RF203" s="9"/>
      <c r="RG203" s="9"/>
      <c r="RH203" s="9"/>
      <c r="RI203" s="9"/>
      <c r="RJ203" s="9"/>
      <c r="RK203" s="9"/>
      <c r="RL203" s="9"/>
      <c r="RM203" s="9"/>
      <c r="RN203" s="9"/>
      <c r="RO203" s="9"/>
      <c r="RP203" s="9"/>
      <c r="RQ203" s="9"/>
      <c r="RR203" s="9"/>
      <c r="RS203" s="9"/>
      <c r="RT203" s="9"/>
      <c r="RU203" s="9"/>
      <c r="RV203" s="9"/>
      <c r="RW203" s="9"/>
      <c r="RX203" s="9"/>
      <c r="RY203" s="9"/>
      <c r="RZ203" s="9"/>
      <c r="SA203" s="9"/>
      <c r="SB203" s="9"/>
      <c r="SC203" s="9"/>
      <c r="SD203" s="9"/>
      <c r="SE203" s="9"/>
      <c r="SF203" s="9"/>
      <c r="SG203" s="9"/>
      <c r="SH203" s="9"/>
      <c r="SI203" s="9"/>
      <c r="SJ203" s="9"/>
      <c r="SK203" s="9"/>
      <c r="SL203" s="9"/>
      <c r="SM203" s="9"/>
      <c r="SN203" s="9"/>
      <c r="SO203" s="9"/>
      <c r="SP203" s="9"/>
      <c r="SQ203" s="9"/>
      <c r="SR203" s="9"/>
      <c r="SS203" s="9"/>
      <c r="ST203" s="9"/>
      <c r="SU203" s="9"/>
      <c r="SV203" s="9"/>
      <c r="SW203" s="9"/>
      <c r="SX203" s="9"/>
      <c r="SY203" s="9"/>
      <c r="SZ203" s="9"/>
      <c r="TA203" s="9"/>
      <c r="TB203" s="9"/>
      <c r="TC203" s="9"/>
      <c r="TD203" s="9"/>
      <c r="TE203" s="9"/>
      <c r="TF203" s="9"/>
      <c r="TG203" s="9"/>
      <c r="TH203" s="9"/>
      <c r="TI203" s="9"/>
      <c r="TJ203" s="9"/>
      <c r="TK203" s="9"/>
      <c r="TL203" s="9"/>
      <c r="TM203" s="9"/>
      <c r="TN203" s="9"/>
      <c r="TO203" s="9"/>
      <c r="TP203" s="9"/>
      <c r="TQ203" s="9"/>
      <c r="TR203" s="9"/>
      <c r="TS203" s="9"/>
      <c r="TT203" s="9"/>
      <c r="TU203" s="9"/>
      <c r="TV203" s="9"/>
      <c r="TW203" s="9"/>
      <c r="TX203" s="9"/>
      <c r="TY203" s="9"/>
      <c r="TZ203" s="9"/>
      <c r="UA203" s="9"/>
      <c r="UB203" s="9"/>
      <c r="UC203" s="9"/>
      <c r="UD203" s="9"/>
      <c r="UE203" s="9"/>
      <c r="UF203" s="9"/>
      <c r="UG203" s="9"/>
      <c r="UH203" s="9"/>
      <c r="UI203" s="9"/>
      <c r="UJ203" s="9"/>
      <c r="UK203" s="9"/>
      <c r="UL203" s="9"/>
      <c r="UM203" s="9"/>
      <c r="UN203" s="9"/>
      <c r="UO203" s="9"/>
      <c r="UP203" s="9"/>
      <c r="UQ203" s="9"/>
      <c r="UR203" s="9"/>
      <c r="US203" s="9"/>
      <c r="UT203" s="9"/>
      <c r="UU203" s="9"/>
      <c r="UV203" s="9"/>
      <c r="UW203" s="9"/>
      <c r="UX203" s="9"/>
      <c r="UY203" s="9"/>
      <c r="UZ203" s="9"/>
      <c r="VA203" s="9"/>
      <c r="VB203" s="9"/>
      <c r="VC203" s="9"/>
      <c r="VD203" s="9"/>
      <c r="VE203" s="9"/>
      <c r="VF203" s="9"/>
      <c r="VG203" s="9"/>
      <c r="VH203" s="9"/>
      <c r="VI203" s="9"/>
      <c r="VJ203" s="9"/>
      <c r="VK203" s="9"/>
      <c r="VL203" s="9"/>
      <c r="VM203" s="9"/>
      <c r="VN203" s="9"/>
      <c r="VO203" s="9"/>
      <c r="VP203" s="9"/>
      <c r="VQ203" s="9"/>
      <c r="VR203" s="9"/>
      <c r="VS203" s="9"/>
      <c r="VT203" s="9"/>
      <c r="VU203" s="9"/>
      <c r="VV203" s="9"/>
      <c r="VW203" s="9"/>
      <c r="VX203" s="9"/>
      <c r="VY203" s="9"/>
      <c r="VZ203" s="9"/>
      <c r="WA203" s="9"/>
      <c r="WB203" s="9"/>
      <c r="WC203" s="9"/>
      <c r="WD203" s="9"/>
      <c r="WE203" s="9"/>
      <c r="WF203" s="9"/>
      <c r="WG203" s="9"/>
      <c r="WH203" s="9"/>
      <c r="WI203" s="9"/>
      <c r="WJ203" s="9"/>
      <c r="WK203" s="9"/>
      <c r="WL203" s="9"/>
      <c r="WM203" s="9"/>
      <c r="WN203" s="9"/>
      <c r="WO203" s="9"/>
      <c r="WP203" s="9"/>
      <c r="WQ203" s="9"/>
      <c r="WR203" s="9"/>
      <c r="WS203" s="9"/>
      <c r="WT203" s="9"/>
      <c r="WU203" s="9"/>
      <c r="WV203" s="9"/>
      <c r="WW203" s="9"/>
      <c r="WX203" s="9"/>
      <c r="WY203" s="9"/>
      <c r="WZ203" s="9"/>
      <c r="XA203" s="9"/>
      <c r="XB203" s="9"/>
      <c r="XC203" s="9"/>
      <c r="XD203" s="9"/>
      <c r="XE203" s="9"/>
      <c r="XF203" s="9"/>
      <c r="XG203" s="9"/>
      <c r="XH203" s="9"/>
      <c r="XI203" s="9"/>
      <c r="XJ203" s="9"/>
      <c r="XK203" s="9"/>
      <c r="XL203" s="9"/>
      <c r="XM203" s="9"/>
      <c r="XN203" s="9"/>
      <c r="XO203" s="9"/>
      <c r="XP203" s="9"/>
      <c r="XQ203" s="9"/>
      <c r="XR203" s="9"/>
      <c r="XS203" s="9"/>
      <c r="XT203" s="9"/>
      <c r="XU203" s="9"/>
      <c r="XV203" s="9"/>
      <c r="XW203" s="9"/>
      <c r="XX203" s="9"/>
      <c r="XY203" s="9"/>
      <c r="XZ203" s="9"/>
      <c r="YA203" s="9"/>
      <c r="YB203" s="9"/>
      <c r="YC203" s="9"/>
      <c r="YD203" s="9"/>
      <c r="YE203" s="9"/>
      <c r="YF203" s="9"/>
      <c r="YG203" s="9"/>
      <c r="YH203" s="9"/>
      <c r="YI203" s="9"/>
      <c r="YJ203" s="9"/>
      <c r="YK203" s="9"/>
      <c r="YL203" s="9"/>
      <c r="YM203" s="9"/>
      <c r="YN203" s="9"/>
      <c r="YO203" s="9"/>
      <c r="YP203" s="9"/>
      <c r="YQ203" s="9"/>
      <c r="YR203" s="9"/>
      <c r="YS203" s="9"/>
      <c r="YT203" s="9"/>
      <c r="YU203" s="9"/>
      <c r="YV203" s="9"/>
      <c r="YW203" s="9"/>
      <c r="YX203" s="9"/>
      <c r="YY203" s="9"/>
      <c r="YZ203" s="9"/>
      <c r="ZA203" s="9"/>
      <c r="ZB203" s="9"/>
      <c r="ZC203" s="9"/>
      <c r="ZD203" s="9"/>
      <c r="ZE203" s="9"/>
      <c r="ZF203" s="9"/>
      <c r="ZG203" s="9"/>
      <c r="ZH203" s="9"/>
      <c r="ZI203" s="9"/>
      <c r="ZJ203" s="9"/>
      <c r="ZK203" s="9"/>
      <c r="ZL203" s="9"/>
      <c r="ZM203" s="9"/>
      <c r="ZN203" s="9"/>
      <c r="ZO203" s="9"/>
      <c r="ZP203" s="9"/>
      <c r="ZQ203" s="9"/>
      <c r="ZR203" s="9"/>
      <c r="ZS203" s="9"/>
      <c r="ZT203" s="9"/>
      <c r="ZU203" s="9"/>
      <c r="ZV203" s="9"/>
      <c r="ZW203" s="9"/>
      <c r="ZX203" s="9"/>
      <c r="ZY203" s="9"/>
      <c r="ZZ203" s="9"/>
      <c r="AAA203" s="9"/>
      <c r="AAB203" s="9"/>
      <c r="AAC203" s="9"/>
      <c r="AAD203" s="9"/>
      <c r="AAE203" s="9"/>
      <c r="AAF203" s="9"/>
      <c r="AAG203" s="9"/>
      <c r="AAH203" s="9"/>
      <c r="AAI203" s="9"/>
      <c r="AAJ203" s="9"/>
      <c r="AAK203" s="9"/>
      <c r="AAL203" s="9"/>
      <c r="AAM203" s="9"/>
      <c r="AAN203" s="9"/>
      <c r="AAO203" s="9"/>
      <c r="AAP203" s="9"/>
      <c r="AAQ203" s="9"/>
      <c r="AAR203" s="9"/>
      <c r="AAS203" s="9"/>
      <c r="AAT203" s="9"/>
      <c r="AAU203" s="9"/>
      <c r="AAV203" s="9"/>
      <c r="AAW203" s="9"/>
      <c r="AAX203" s="9"/>
      <c r="AAY203" s="9"/>
      <c r="AAZ203" s="9"/>
      <c r="ABA203" s="9"/>
      <c r="ABB203" s="9"/>
      <c r="ABC203" s="9"/>
      <c r="ABD203" s="9"/>
      <c r="ABE203" s="9"/>
      <c r="ABF203" s="9"/>
      <c r="ABG203" s="9"/>
      <c r="ABH203" s="9"/>
      <c r="ABI203" s="9"/>
      <c r="ABJ203" s="9"/>
      <c r="ABK203" s="9"/>
      <c r="ABL203" s="9"/>
      <c r="ABM203" s="9"/>
      <c r="ABN203" s="9"/>
      <c r="ABO203" s="9"/>
      <c r="ABP203" s="9"/>
      <c r="ABQ203" s="9"/>
      <c r="ABR203" s="9"/>
      <c r="ABS203" s="9"/>
      <c r="ABT203" s="9"/>
      <c r="ABU203" s="9"/>
      <c r="ABV203" s="9"/>
      <c r="ABW203" s="9"/>
      <c r="ABX203" s="9"/>
      <c r="ABY203" s="9"/>
      <c r="ABZ203" s="9"/>
      <c r="ACA203" s="9"/>
      <c r="ACB203" s="9"/>
      <c r="ACC203" s="9"/>
      <c r="ACD203" s="9"/>
      <c r="ACE203" s="9"/>
      <c r="ACF203" s="9"/>
      <c r="ACG203" s="9"/>
      <c r="ACH203" s="9"/>
      <c r="ACI203" s="9"/>
      <c r="ACJ203" s="9"/>
      <c r="ACK203" s="9"/>
      <c r="ACL203" s="9"/>
      <c r="ACM203" s="9"/>
      <c r="ACN203" s="9"/>
      <c r="ACO203" s="9"/>
      <c r="ACP203" s="9"/>
      <c r="ACQ203" s="9"/>
      <c r="ACR203" s="9"/>
      <c r="ACS203" s="9"/>
      <c r="ACT203" s="9"/>
      <c r="ACU203" s="9"/>
      <c r="ACV203" s="9"/>
      <c r="ACW203" s="9"/>
      <c r="ACX203" s="9"/>
      <c r="ACY203" s="9"/>
      <c r="ACZ203" s="9"/>
      <c r="ADA203" s="9"/>
      <c r="ADB203" s="9"/>
      <c r="ADC203" s="9"/>
      <c r="ADD203" s="9"/>
      <c r="ADE203" s="9"/>
      <c r="ADF203" s="9"/>
      <c r="ADG203" s="9"/>
      <c r="ADH203" s="9"/>
      <c r="ADI203" s="9"/>
      <c r="ADJ203" s="9"/>
      <c r="ADK203" s="9"/>
      <c r="ADL203" s="9"/>
      <c r="ADM203" s="9"/>
      <c r="ADN203" s="9"/>
      <c r="ADO203" s="9"/>
      <c r="ADP203" s="9"/>
      <c r="ADQ203" s="9"/>
      <c r="ADR203" s="9"/>
      <c r="ADS203" s="9"/>
      <c r="ADT203" s="9"/>
      <c r="ADU203" s="9"/>
      <c r="ADV203" s="9"/>
      <c r="ADW203" s="9"/>
      <c r="ADX203" s="9"/>
      <c r="ADY203" s="9"/>
      <c r="ADZ203" s="9"/>
      <c r="AEA203" s="9"/>
      <c r="AEB203" s="9"/>
      <c r="AEC203" s="9"/>
      <c r="AED203" s="9"/>
      <c r="AEE203" s="9"/>
      <c r="AEF203" s="9"/>
      <c r="AEG203" s="9"/>
      <c r="AEH203" s="9"/>
      <c r="AEI203" s="9"/>
      <c r="AEJ203" s="9"/>
      <c r="AEK203" s="9"/>
      <c r="AEL203" s="9"/>
      <c r="AEM203" s="9"/>
      <c r="AEN203" s="9"/>
      <c r="AEO203" s="9"/>
      <c r="AEP203" s="9"/>
      <c r="AEQ203" s="9"/>
      <c r="AER203" s="9"/>
      <c r="AES203" s="9"/>
      <c r="AET203" s="9"/>
      <c r="AEU203" s="9"/>
      <c r="AEV203" s="9"/>
      <c r="AEW203" s="9"/>
      <c r="AEX203" s="9"/>
      <c r="AEY203" s="9"/>
      <c r="AEZ203" s="9"/>
      <c r="AFA203" s="9"/>
      <c r="AFB203" s="9"/>
      <c r="AFC203" s="9"/>
      <c r="AFD203" s="9"/>
      <c r="AFE203" s="9"/>
      <c r="AFF203" s="9"/>
      <c r="AFG203" s="9"/>
      <c r="AFH203" s="9"/>
      <c r="AFI203" s="9"/>
      <c r="AFJ203" s="9"/>
      <c r="AFK203" s="9"/>
      <c r="AFL203" s="9"/>
      <c r="AFM203" s="9"/>
      <c r="AFN203" s="9"/>
      <c r="AFO203" s="9"/>
      <c r="AFP203" s="9"/>
      <c r="AFQ203" s="9"/>
      <c r="AFR203" s="9"/>
      <c r="AFS203" s="9"/>
      <c r="AFT203" s="9"/>
      <c r="AFU203" s="9"/>
      <c r="AFV203" s="9"/>
      <c r="AFW203" s="9"/>
      <c r="AFX203" s="9"/>
      <c r="AFY203" s="9"/>
      <c r="AFZ203" s="9"/>
      <c r="AGA203" s="9"/>
      <c r="AGB203" s="9"/>
      <c r="AGC203" s="9"/>
      <c r="AGD203" s="9"/>
      <c r="AGE203" s="9"/>
      <c r="AGF203" s="9"/>
      <c r="AGG203" s="9"/>
      <c r="AGH203" s="9"/>
      <c r="AGI203" s="9"/>
      <c r="AGJ203" s="9"/>
      <c r="AGK203" s="9"/>
      <c r="AGL203" s="9"/>
      <c r="AGM203" s="9"/>
      <c r="AGN203" s="9"/>
      <c r="AGO203" s="9"/>
      <c r="AGP203" s="9"/>
      <c r="AGQ203" s="9"/>
      <c r="AGR203" s="9"/>
      <c r="AGS203" s="9"/>
      <c r="AGT203" s="9"/>
      <c r="AGU203" s="9"/>
      <c r="AGV203" s="9"/>
      <c r="AGW203" s="9"/>
      <c r="AGX203" s="9"/>
      <c r="AGY203" s="9"/>
      <c r="AGZ203" s="9"/>
      <c r="AHA203" s="9"/>
      <c r="AHB203" s="9"/>
      <c r="AHC203" s="9"/>
      <c r="AHD203" s="9"/>
      <c r="AHE203" s="9"/>
      <c r="AHF203" s="9"/>
      <c r="AHG203" s="9"/>
      <c r="AHH203" s="9"/>
      <c r="AHI203" s="9"/>
      <c r="AHJ203" s="9"/>
      <c r="AHK203" s="9"/>
      <c r="AHL203" s="9"/>
      <c r="AHM203" s="9"/>
      <c r="AHN203" s="9"/>
      <c r="AHO203" s="9"/>
      <c r="AHP203" s="9"/>
      <c r="AHQ203" s="9"/>
      <c r="AHR203" s="9"/>
      <c r="AHS203" s="9"/>
      <c r="AHT203" s="9"/>
      <c r="AHU203" s="9"/>
      <c r="AHV203" s="9"/>
      <c r="AHW203" s="9"/>
      <c r="AHX203" s="9"/>
      <c r="AHY203" s="9"/>
      <c r="AHZ203" s="9"/>
      <c r="AIA203" s="9"/>
      <c r="AIB203" s="9"/>
      <c r="AIC203" s="9"/>
      <c r="AID203" s="9"/>
      <c r="AIE203" s="9"/>
      <c r="AIF203" s="9"/>
      <c r="AIG203" s="9"/>
      <c r="AIH203" s="9"/>
      <c r="AII203" s="9"/>
      <c r="AIJ203" s="9"/>
      <c r="AIK203" s="9"/>
      <c r="AIL203" s="9"/>
      <c r="AIM203" s="9"/>
      <c r="AIN203" s="9"/>
      <c r="AIO203" s="9"/>
      <c r="AIP203" s="9"/>
      <c r="AIQ203" s="9"/>
      <c r="AIR203" s="9"/>
      <c r="AIS203" s="9"/>
      <c r="AIT203" s="9"/>
      <c r="AIU203" s="9"/>
      <c r="AIV203" s="9"/>
      <c r="AIW203" s="9"/>
      <c r="AIX203" s="9"/>
      <c r="AIY203" s="9"/>
      <c r="AIZ203" s="9"/>
      <c r="AJA203" s="9"/>
      <c r="AJB203" s="9"/>
      <c r="AJC203" s="9"/>
      <c r="AJD203" s="9"/>
      <c r="AJE203" s="9"/>
      <c r="AJF203" s="9"/>
      <c r="AJG203" s="9"/>
      <c r="AJH203" s="9"/>
      <c r="AJI203" s="9"/>
      <c r="AJJ203" s="9"/>
      <c r="AJK203" s="9"/>
      <c r="AJL203" s="9"/>
      <c r="AJM203" s="9"/>
      <c r="AJN203" s="9"/>
      <c r="AJO203" s="9"/>
      <c r="AJP203" s="9"/>
      <c r="AJQ203" s="9"/>
      <c r="AJR203" s="9"/>
      <c r="AJS203" s="9"/>
      <c r="AJT203" s="9"/>
      <c r="AJU203" s="9"/>
      <c r="AJV203" s="9"/>
      <c r="AJW203" s="9"/>
      <c r="AJX203" s="9"/>
      <c r="AJY203" s="9"/>
      <c r="AJZ203" s="9"/>
      <c r="AKA203" s="9"/>
      <c r="AKB203" s="9"/>
      <c r="AKC203" s="9"/>
      <c r="AKD203" s="9"/>
      <c r="AKE203" s="9"/>
      <c r="AKF203" s="9"/>
      <c r="AKG203" s="9"/>
      <c r="AKH203" s="9"/>
      <c r="AKI203" s="9"/>
      <c r="AKJ203" s="9"/>
      <c r="AKK203" s="9"/>
      <c r="AKL203" s="9"/>
      <c r="AKM203" s="9"/>
      <c r="AKN203" s="9"/>
      <c r="AKO203" s="9"/>
      <c r="AKP203" s="9"/>
      <c r="AKQ203" s="9"/>
      <c r="AKR203" s="9"/>
      <c r="AKS203" s="9"/>
      <c r="AKT203" s="9"/>
      <c r="AKU203" s="9"/>
      <c r="AKV203" s="9"/>
      <c r="AKW203" s="9"/>
      <c r="AKX203" s="9"/>
      <c r="AKY203" s="9"/>
      <c r="AKZ203" s="9"/>
      <c r="ALA203" s="9"/>
      <c r="ALB203" s="9"/>
      <c r="ALC203" s="9"/>
      <c r="ALD203" s="9"/>
      <c r="ALE203" s="9"/>
      <c r="ALF203" s="9"/>
      <c r="ALG203" s="9"/>
      <c r="ALH203" s="9"/>
      <c r="ALI203" s="9"/>
      <c r="ALJ203" s="9"/>
      <c r="ALK203" s="9"/>
      <c r="ALL203" s="9"/>
      <c r="ALM203" s="9"/>
      <c r="ALN203" s="9"/>
      <c r="ALO203" s="9"/>
      <c r="ALP203" s="9"/>
      <c r="ALQ203" s="9"/>
      <c r="ALR203" s="9"/>
      <c r="ALS203" s="9"/>
      <c r="ALT203" s="9"/>
      <c r="ALU203" s="9"/>
      <c r="ALV203" s="9"/>
      <c r="ALW203" s="9"/>
      <c r="ALX203" s="9"/>
      <c r="ALY203" s="9"/>
      <c r="ALZ203" s="9"/>
      <c r="AMA203" s="9"/>
      <c r="AMB203" s="9"/>
      <c r="AMC203" s="9"/>
      <c r="AMD203" s="9"/>
      <c r="AME203" s="9"/>
      <c r="AMF203" s="9"/>
      <c r="AMG203" s="9"/>
      <c r="AMH203" s="9"/>
      <c r="AMI203" s="9"/>
      <c r="AMJ203" s="9"/>
      <c r="AMK203" s="9"/>
      <c r="AML203" s="9"/>
      <c r="AMM203" s="9"/>
      <c r="AMN203" s="9"/>
      <c r="AMO203" s="9"/>
    </row>
    <row r="204" spans="1:1030" s="12" customFormat="1" x14ac:dyDescent="0.2">
      <c r="A204" s="9" t="str">
        <f t="shared" ref="A204" si="1623">CONCATENATE(B204,"_",C204)</f>
        <v>cnr2_human_6KPF</v>
      </c>
      <c r="B204" s="9" t="s">
        <v>183</v>
      </c>
      <c r="C204" s="9" t="s">
        <v>1650</v>
      </c>
      <c r="D204" s="9" t="str">
        <f>IFERROR(MID(VLOOKUP($B204,Seqs!$A:$B,2,0),E204,1),"")</f>
        <v>S</v>
      </c>
      <c r="E204" s="9">
        <v>29</v>
      </c>
      <c r="F204" s="9" t="str">
        <f>IFERROR(MID(VLOOKUP($B204,Seqs!$A:$B,2,0),G204,1),"")</f>
        <v>S</v>
      </c>
      <c r="G204" s="9">
        <v>60</v>
      </c>
      <c r="H204" s="9" t="str">
        <f>IFERROR(MID(VLOOKUP($B204,Seqs!$A:$B,2,0),I204,1),"")</f>
        <v>H</v>
      </c>
      <c r="I204" s="109">
        <v>62</v>
      </c>
      <c r="J204" s="9" t="str">
        <f>IFERROR(MID(VLOOKUP($B204,Seqs!$A:$B,2,0),K204,1),"")</f>
        <v>R</v>
      </c>
      <c r="K204" s="109">
        <v>65</v>
      </c>
      <c r="L204" s="9" t="str">
        <f>IFERROR(MID(VLOOKUP($B204,Seqs!$A:$B,2,0),M204,1),"")</f>
        <v>K</v>
      </c>
      <c r="M204" s="9">
        <v>67</v>
      </c>
      <c r="N204" s="9" t="str">
        <f>IFERROR(MID(VLOOKUP($B204,Seqs!$A:$B,2,0),O204,1),"")</f>
        <v>H</v>
      </c>
      <c r="O204" s="9">
        <v>95</v>
      </c>
      <c r="P204" s="9" t="str">
        <f>IFERROR(MID(VLOOKUP($B204,Seqs!$A:$B,2,0),Q204,1),"")</f>
        <v/>
      </c>
      <c r="Q204" s="9" t="s">
        <v>23</v>
      </c>
      <c r="R204" s="9" t="str">
        <f>IFERROR(MID(VLOOKUP($B204,Seqs!$A:$B,2,0),S204,1),"")</f>
        <v/>
      </c>
      <c r="S204" s="9" t="s">
        <v>23</v>
      </c>
      <c r="T204" s="9" t="str">
        <f>IFERROR(MID(VLOOKUP($B204,Seqs!$A:$B,2,0),U204,1),"")</f>
        <v>V</v>
      </c>
      <c r="U204" s="9">
        <v>105</v>
      </c>
      <c r="V204" s="9" t="str">
        <f>IFERROR(MID(VLOOKUP($B204,Seqs!$A:$B,2,0),W204,1),"")</f>
        <v>R</v>
      </c>
      <c r="W204" s="9">
        <v>136</v>
      </c>
      <c r="X204" s="9" t="str">
        <f>IFERROR(MID(VLOOKUP($B204,Seqs!$A:$B,2,0),Y204,1),"")</f>
        <v>P</v>
      </c>
      <c r="Y204" s="9">
        <v>138</v>
      </c>
      <c r="Z204" s="9" t="str">
        <f>IFERROR(MID(VLOOKUP($B204,Seqs!$A:$B,2,0),AA204,1),"")</f>
        <v>L</v>
      </c>
      <c r="AA204" s="9">
        <v>145</v>
      </c>
      <c r="AB204" s="9" t="str">
        <f>IFERROR(MID(VLOOKUP($B204,Seqs!$A:$B,2,0),AC204,1),"")</f>
        <v>T</v>
      </c>
      <c r="AC204" s="9">
        <v>146</v>
      </c>
      <c r="AD204" s="9" t="str">
        <f>IFERROR(MID(VLOOKUP($B204,Seqs!$A:$B,2,0),AE204,1),"")</f>
        <v>Y</v>
      </c>
      <c r="AE204" s="9">
        <v>166</v>
      </c>
      <c r="AF204" s="9" t="str">
        <f>IFERROR(MID(VLOOKUP($B204,Seqs!$A:$B,2,0),AG204,1),"")</f>
        <v/>
      </c>
      <c r="AG204" s="9" t="s">
        <v>23</v>
      </c>
      <c r="AH204" s="9" t="str">
        <f>IFERROR(MID(VLOOKUP($B204,Seqs!$A:$B,2,0),AI204,1),"")</f>
        <v/>
      </c>
      <c r="AI204" s="9" t="s">
        <v>23</v>
      </c>
      <c r="AJ204" s="9" t="str">
        <f>IFERROR(MID(VLOOKUP($B204,Seqs!$A:$B,2,0),AK204,1),"")</f>
        <v>P</v>
      </c>
      <c r="AK204" s="9">
        <v>187</v>
      </c>
      <c r="AL204" s="9" t="str">
        <f>IFERROR(MID(VLOOKUP($B204,Seqs!$A:$B,2,0),AM204,1),"")</f>
        <v>H</v>
      </c>
      <c r="AM204" s="9">
        <v>226</v>
      </c>
      <c r="AN204" s="9" t="str">
        <f>IFERROR(MID(VLOOKUP($B204,Seqs!$A:$B,2,0),AO204,1),"")</f>
        <v>R</v>
      </c>
      <c r="AO204" s="9">
        <v>238</v>
      </c>
      <c r="AP204" s="9" t="str">
        <f>IFERROR(MID(VLOOKUP($B204,Seqs!$A:$B,2,0),AQ204,1),"")</f>
        <v>A</v>
      </c>
      <c r="AQ204" s="9">
        <v>266</v>
      </c>
      <c r="AR204" s="9" t="str">
        <f>IFERROR(MID(VLOOKUP($B204,Seqs!$A:$B,2,0),AS204,1),"")</f>
        <v>D</v>
      </c>
      <c r="AS204" s="9">
        <v>275</v>
      </c>
      <c r="AT204" s="9" t="str">
        <f>IFERROR(MID(VLOOKUP($B204,Seqs!$A:$B,2,0),AU204,1),"")</f>
        <v>R</v>
      </c>
      <c r="AU204" s="9">
        <v>302</v>
      </c>
      <c r="AV204" s="9" t="str">
        <f>IFERROR(MID(VLOOKUP($B204,Seqs!$A:$B,2,0),AW204,1),"")</f>
        <v>S</v>
      </c>
      <c r="AW204" s="9">
        <v>303</v>
      </c>
      <c r="AX204" s="9" t="str">
        <f>IFERROR(MID(VLOOKUP($B204,Seqs!$A:$B,2,0),AY204,1),"")</f>
        <v>C</v>
      </c>
      <c r="AY204" s="9">
        <v>313</v>
      </c>
      <c r="AZ204" s="110" t="str">
        <f>VLOOKUP(B204,Classification!A:D,2,0)</f>
        <v>A</v>
      </c>
      <c r="BA204" s="98" t="str">
        <f>VLOOKUP(B204,Classification!A:D,4,0)</f>
        <v>Cannabinoid</v>
      </c>
      <c r="BB204" s="36" t="b">
        <f t="shared" ref="BB204" si="1624"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109">
        <f t="shared" ref="BC204" si="1625">_xlfn.AGGREGATE(9,6,CH204:CS204)-_xlfn.AGGREGATE(9,6,BV204:CG204)+12</f>
        <v>236</v>
      </c>
      <c r="BD204" s="40" t="s">
        <v>23</v>
      </c>
      <c r="BE204" s="9" t="s">
        <v>1291</v>
      </c>
      <c r="BF204" s="119">
        <v>2.9</v>
      </c>
      <c r="BG204" s="51" t="s">
        <v>1422</v>
      </c>
      <c r="BH204" s="51" t="s">
        <v>1422</v>
      </c>
      <c r="BI204" s="9"/>
      <c r="BJ204" s="111" t="s">
        <v>1287</v>
      </c>
      <c r="BK204" s="112" t="s">
        <v>1287</v>
      </c>
      <c r="BL204" s="112" t="s">
        <v>1287</v>
      </c>
      <c r="BM204" s="112" t="s">
        <v>1287</v>
      </c>
      <c r="BN204" s="112" t="s">
        <v>1287</v>
      </c>
      <c r="BO204" s="112" t="s">
        <v>1287</v>
      </c>
      <c r="BP204" s="112" t="s">
        <v>1287</v>
      </c>
      <c r="BQ204" s="112" t="s">
        <v>1287</v>
      </c>
      <c r="BR204" s="112" t="s">
        <v>1287</v>
      </c>
      <c r="BS204" s="112" t="s">
        <v>1287</v>
      </c>
      <c r="BT204" s="112" t="s">
        <v>1287</v>
      </c>
      <c r="BU204" s="112" t="s">
        <v>1287</v>
      </c>
      <c r="BV204" s="111">
        <f t="shared" ref="BV204" si="1626">E204</f>
        <v>29</v>
      </c>
      <c r="BW204" s="113">
        <f t="shared" ref="BW204" si="1627">I204</f>
        <v>62</v>
      </c>
      <c r="BX204" s="114">
        <f t="shared" ref="BX204" si="1628">M204</f>
        <v>67</v>
      </c>
      <c r="BY204" s="113" t="str">
        <f t="shared" ref="BY204" si="1629">Q204</f>
        <v>-</v>
      </c>
      <c r="BZ204" s="114">
        <f t="shared" ref="BZ204" si="1630">U204</f>
        <v>105</v>
      </c>
      <c r="CA204" s="113">
        <f t="shared" ref="CA204" si="1631">Y204</f>
        <v>138</v>
      </c>
      <c r="CB204" s="114">
        <f t="shared" ref="CB204" si="1632">AC204</f>
        <v>146</v>
      </c>
      <c r="CC204" s="113" t="str">
        <f t="shared" ref="CC204" si="1633">AG204</f>
        <v>-</v>
      </c>
      <c r="CD204" s="114">
        <f t="shared" ref="CD204" si="1634">AK204</f>
        <v>187</v>
      </c>
      <c r="CE204" s="113">
        <f t="shared" ref="CE204" si="1635">AO204</f>
        <v>238</v>
      </c>
      <c r="CF204" s="114">
        <f t="shared" ref="CF204" si="1636">AS204</f>
        <v>275</v>
      </c>
      <c r="CG204" s="113">
        <f t="shared" ref="CG204" si="1637">AW204</f>
        <v>303</v>
      </c>
      <c r="CH204" s="111">
        <f t="shared" ref="CH204" si="1638">G204</f>
        <v>60</v>
      </c>
      <c r="CI204" s="113">
        <f t="shared" ref="CI204" si="1639">K204</f>
        <v>65</v>
      </c>
      <c r="CJ204" s="114">
        <f t="shared" ref="CJ204" si="1640">O204</f>
        <v>95</v>
      </c>
      <c r="CK204" s="114" t="str">
        <f t="shared" ref="CK204" si="1641">S204</f>
        <v>-</v>
      </c>
      <c r="CL204" s="114">
        <f t="shared" ref="CL204" si="1642">W204</f>
        <v>136</v>
      </c>
      <c r="CM204" s="114">
        <f t="shared" ref="CM204" si="1643">AA204</f>
        <v>145</v>
      </c>
      <c r="CN204" s="114">
        <f t="shared" ref="CN204" si="1644">AE204</f>
        <v>166</v>
      </c>
      <c r="CO204" s="114" t="str">
        <f t="shared" ref="CO204" si="1645">AI204</f>
        <v>-</v>
      </c>
      <c r="CP204" s="114">
        <f t="shared" ref="CP204" si="1646">AM204</f>
        <v>226</v>
      </c>
      <c r="CQ204" s="114">
        <f t="shared" ref="CQ204" si="1647">AQ204</f>
        <v>266</v>
      </c>
      <c r="CR204" s="114">
        <f t="shared" ref="CR204" si="1648">AU204</f>
        <v>302</v>
      </c>
      <c r="CS204" s="114">
        <f t="shared" ref="CS204" si="1649">AY204</f>
        <v>313</v>
      </c>
      <c r="CT204" s="109">
        <f t="shared" ref="CT204" si="1650">M204-K204</f>
        <v>2</v>
      </c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9"/>
      <c r="KS204" s="9"/>
      <c r="KT204" s="9"/>
      <c r="KU204" s="9"/>
      <c r="KV204" s="9"/>
      <c r="KW204" s="9"/>
      <c r="KX204" s="9"/>
      <c r="KY204" s="9"/>
      <c r="KZ204" s="9"/>
      <c r="LA204" s="9"/>
      <c r="LB204" s="9"/>
      <c r="LC204" s="9"/>
      <c r="LD204" s="9"/>
      <c r="LE204" s="9"/>
      <c r="LF204" s="9"/>
      <c r="LG204" s="9"/>
      <c r="LH204" s="9"/>
      <c r="LI204" s="9"/>
      <c r="LJ204" s="9"/>
      <c r="LK204" s="9"/>
      <c r="LL204" s="9"/>
      <c r="LM204" s="9"/>
      <c r="LN204" s="9"/>
      <c r="LO204" s="9"/>
      <c r="LP204" s="9"/>
      <c r="LQ204" s="9"/>
      <c r="LR204" s="9"/>
      <c r="LS204" s="9"/>
      <c r="LT204" s="9"/>
      <c r="LU204" s="9"/>
      <c r="LV204" s="9"/>
      <c r="LW204" s="9"/>
      <c r="LX204" s="9"/>
      <c r="LY204" s="9"/>
      <c r="LZ204" s="9"/>
      <c r="MA204" s="9"/>
      <c r="MB204" s="9"/>
      <c r="MC204" s="9"/>
      <c r="MD204" s="9"/>
      <c r="ME204" s="9"/>
      <c r="MF204" s="9"/>
      <c r="MG204" s="9"/>
      <c r="MH204" s="9"/>
      <c r="MI204" s="9"/>
      <c r="MJ204" s="9"/>
      <c r="MK204" s="9"/>
      <c r="ML204" s="9"/>
      <c r="MM204" s="9"/>
      <c r="MN204" s="9"/>
      <c r="MO204" s="9"/>
      <c r="MP204" s="9"/>
      <c r="MQ204" s="9"/>
      <c r="MR204" s="9"/>
      <c r="MS204" s="9"/>
      <c r="MT204" s="9"/>
      <c r="MU204" s="9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  <c r="PG204" s="9"/>
      <c r="PH204" s="9"/>
      <c r="PI204" s="9"/>
      <c r="PJ204" s="9"/>
      <c r="PK204" s="9"/>
      <c r="PL204" s="9"/>
      <c r="PM204" s="9"/>
      <c r="PN204" s="9"/>
      <c r="PO204" s="9"/>
      <c r="PP204" s="9"/>
      <c r="PQ204" s="9"/>
      <c r="PR204" s="9"/>
      <c r="PS204" s="9"/>
      <c r="PT204" s="9"/>
      <c r="PU204" s="9"/>
      <c r="PV204" s="9"/>
      <c r="PW204" s="9"/>
      <c r="PX204" s="9"/>
      <c r="PY204" s="9"/>
      <c r="PZ204" s="9"/>
      <c r="QA204" s="9"/>
      <c r="QB204" s="9"/>
      <c r="QC204" s="9"/>
      <c r="QD204" s="9"/>
      <c r="QE204" s="9"/>
      <c r="QF204" s="9"/>
      <c r="QG204" s="9"/>
      <c r="QH204" s="9"/>
      <c r="QI204" s="9"/>
      <c r="QJ204" s="9"/>
      <c r="QK204" s="9"/>
      <c r="QL204" s="9"/>
      <c r="QM204" s="9"/>
      <c r="QN204" s="9"/>
      <c r="QO204" s="9"/>
      <c r="QP204" s="9"/>
      <c r="QQ204" s="9"/>
      <c r="QR204" s="9"/>
      <c r="QS204" s="9"/>
      <c r="QT204" s="9"/>
      <c r="QU204" s="9"/>
      <c r="QV204" s="9"/>
      <c r="QW204" s="9"/>
      <c r="QX204" s="9"/>
      <c r="QY204" s="9"/>
      <c r="QZ204" s="9"/>
      <c r="RA204" s="9"/>
      <c r="RB204" s="9"/>
      <c r="RC204" s="9"/>
      <c r="RD204" s="9"/>
      <c r="RE204" s="9"/>
      <c r="RF204" s="9"/>
      <c r="RG204" s="9"/>
      <c r="RH204" s="9"/>
      <c r="RI204" s="9"/>
      <c r="RJ204" s="9"/>
      <c r="RK204" s="9"/>
      <c r="RL204" s="9"/>
      <c r="RM204" s="9"/>
      <c r="RN204" s="9"/>
      <c r="RO204" s="9"/>
      <c r="RP204" s="9"/>
      <c r="RQ204" s="9"/>
      <c r="RR204" s="9"/>
      <c r="RS204" s="9"/>
      <c r="RT204" s="9"/>
      <c r="RU204" s="9"/>
      <c r="RV204" s="9"/>
      <c r="RW204" s="9"/>
      <c r="RX204" s="9"/>
      <c r="RY204" s="9"/>
      <c r="RZ204" s="9"/>
      <c r="SA204" s="9"/>
      <c r="SB204" s="9"/>
      <c r="SC204" s="9"/>
      <c r="SD204" s="9"/>
      <c r="SE204" s="9"/>
      <c r="SF204" s="9"/>
      <c r="SG204" s="9"/>
      <c r="SH204" s="9"/>
      <c r="SI204" s="9"/>
      <c r="SJ204" s="9"/>
      <c r="SK204" s="9"/>
      <c r="SL204" s="9"/>
      <c r="SM204" s="9"/>
      <c r="SN204" s="9"/>
      <c r="SO204" s="9"/>
      <c r="SP204" s="9"/>
      <c r="SQ204" s="9"/>
      <c r="SR204" s="9"/>
      <c r="SS204" s="9"/>
      <c r="ST204" s="9"/>
      <c r="SU204" s="9"/>
      <c r="SV204" s="9"/>
      <c r="SW204" s="9"/>
      <c r="SX204" s="9"/>
      <c r="SY204" s="9"/>
      <c r="SZ204" s="9"/>
      <c r="TA204" s="9"/>
      <c r="TB204" s="9"/>
      <c r="TC204" s="9"/>
      <c r="TD204" s="9"/>
      <c r="TE204" s="9"/>
      <c r="TF204" s="9"/>
      <c r="TG204" s="9"/>
      <c r="TH204" s="9"/>
      <c r="TI204" s="9"/>
      <c r="TJ204" s="9"/>
      <c r="TK204" s="9"/>
      <c r="TL204" s="9"/>
      <c r="TM204" s="9"/>
      <c r="TN204" s="9"/>
      <c r="TO204" s="9"/>
      <c r="TP204" s="9"/>
      <c r="TQ204" s="9"/>
      <c r="TR204" s="9"/>
      <c r="TS204" s="9"/>
      <c r="TT204" s="9"/>
      <c r="TU204" s="9"/>
      <c r="TV204" s="9"/>
      <c r="TW204" s="9"/>
      <c r="TX204" s="9"/>
      <c r="TY204" s="9"/>
      <c r="TZ204" s="9"/>
      <c r="UA204" s="9"/>
      <c r="UB204" s="9"/>
      <c r="UC204" s="9"/>
      <c r="UD204" s="9"/>
      <c r="UE204" s="9"/>
      <c r="UF204" s="9"/>
      <c r="UG204" s="9"/>
      <c r="UH204" s="9"/>
      <c r="UI204" s="9"/>
      <c r="UJ204" s="9"/>
      <c r="UK204" s="9"/>
      <c r="UL204" s="9"/>
      <c r="UM204" s="9"/>
      <c r="UN204" s="9"/>
      <c r="UO204" s="9"/>
      <c r="UP204" s="9"/>
      <c r="UQ204" s="9"/>
      <c r="UR204" s="9"/>
      <c r="US204" s="9"/>
      <c r="UT204" s="9"/>
      <c r="UU204" s="9"/>
      <c r="UV204" s="9"/>
      <c r="UW204" s="9"/>
      <c r="UX204" s="9"/>
      <c r="UY204" s="9"/>
      <c r="UZ204" s="9"/>
      <c r="VA204" s="9"/>
      <c r="VB204" s="9"/>
      <c r="VC204" s="9"/>
      <c r="VD204" s="9"/>
      <c r="VE204" s="9"/>
      <c r="VF204" s="9"/>
      <c r="VG204" s="9"/>
      <c r="VH204" s="9"/>
      <c r="VI204" s="9"/>
      <c r="VJ204" s="9"/>
      <c r="VK204" s="9"/>
      <c r="VL204" s="9"/>
      <c r="VM204" s="9"/>
      <c r="VN204" s="9"/>
      <c r="VO204" s="9"/>
      <c r="VP204" s="9"/>
      <c r="VQ204" s="9"/>
      <c r="VR204" s="9"/>
      <c r="VS204" s="9"/>
      <c r="VT204" s="9"/>
      <c r="VU204" s="9"/>
      <c r="VV204" s="9"/>
      <c r="VW204" s="9"/>
      <c r="VX204" s="9"/>
      <c r="VY204" s="9"/>
      <c r="VZ204" s="9"/>
      <c r="WA204" s="9"/>
      <c r="WB204" s="9"/>
      <c r="WC204" s="9"/>
      <c r="WD204" s="9"/>
      <c r="WE204" s="9"/>
      <c r="WF204" s="9"/>
      <c r="WG204" s="9"/>
      <c r="WH204" s="9"/>
      <c r="WI204" s="9"/>
      <c r="WJ204" s="9"/>
      <c r="WK204" s="9"/>
      <c r="WL204" s="9"/>
      <c r="WM204" s="9"/>
      <c r="WN204" s="9"/>
      <c r="WO204" s="9"/>
      <c r="WP204" s="9"/>
      <c r="WQ204" s="9"/>
      <c r="WR204" s="9"/>
      <c r="WS204" s="9"/>
      <c r="WT204" s="9"/>
      <c r="WU204" s="9"/>
      <c r="WV204" s="9"/>
      <c r="WW204" s="9"/>
      <c r="WX204" s="9"/>
      <c r="WY204" s="9"/>
      <c r="WZ204" s="9"/>
      <c r="XA204" s="9"/>
      <c r="XB204" s="9"/>
      <c r="XC204" s="9"/>
      <c r="XD204" s="9"/>
      <c r="XE204" s="9"/>
      <c r="XF204" s="9"/>
      <c r="XG204" s="9"/>
      <c r="XH204" s="9"/>
      <c r="XI204" s="9"/>
      <c r="XJ204" s="9"/>
      <c r="XK204" s="9"/>
      <c r="XL204" s="9"/>
      <c r="XM204" s="9"/>
      <c r="XN204" s="9"/>
      <c r="XO204" s="9"/>
      <c r="XP204" s="9"/>
      <c r="XQ204" s="9"/>
      <c r="XR204" s="9"/>
      <c r="XS204" s="9"/>
      <c r="XT204" s="9"/>
      <c r="XU204" s="9"/>
      <c r="XV204" s="9"/>
      <c r="XW204" s="9"/>
      <c r="XX204" s="9"/>
      <c r="XY204" s="9"/>
      <c r="XZ204" s="9"/>
      <c r="YA204" s="9"/>
      <c r="YB204" s="9"/>
      <c r="YC204" s="9"/>
      <c r="YD204" s="9"/>
      <c r="YE204" s="9"/>
      <c r="YF204" s="9"/>
      <c r="YG204" s="9"/>
      <c r="YH204" s="9"/>
      <c r="YI204" s="9"/>
      <c r="YJ204" s="9"/>
      <c r="YK204" s="9"/>
      <c r="YL204" s="9"/>
      <c r="YM204" s="9"/>
      <c r="YN204" s="9"/>
      <c r="YO204" s="9"/>
      <c r="YP204" s="9"/>
      <c r="YQ204" s="9"/>
      <c r="YR204" s="9"/>
      <c r="YS204" s="9"/>
      <c r="YT204" s="9"/>
      <c r="YU204" s="9"/>
      <c r="YV204" s="9"/>
      <c r="YW204" s="9"/>
      <c r="YX204" s="9"/>
      <c r="YY204" s="9"/>
      <c r="YZ204" s="9"/>
      <c r="ZA204" s="9"/>
      <c r="ZB204" s="9"/>
      <c r="ZC204" s="9"/>
      <c r="ZD204" s="9"/>
      <c r="ZE204" s="9"/>
      <c r="ZF204" s="9"/>
      <c r="ZG204" s="9"/>
      <c r="ZH204" s="9"/>
      <c r="ZI204" s="9"/>
      <c r="ZJ204" s="9"/>
      <c r="ZK204" s="9"/>
      <c r="ZL204" s="9"/>
      <c r="ZM204" s="9"/>
      <c r="ZN204" s="9"/>
      <c r="ZO204" s="9"/>
      <c r="ZP204" s="9"/>
      <c r="ZQ204" s="9"/>
      <c r="ZR204" s="9"/>
      <c r="ZS204" s="9"/>
      <c r="ZT204" s="9"/>
      <c r="ZU204" s="9"/>
      <c r="ZV204" s="9"/>
      <c r="ZW204" s="9"/>
      <c r="ZX204" s="9"/>
      <c r="ZY204" s="9"/>
      <c r="ZZ204" s="9"/>
      <c r="AAA204" s="9"/>
      <c r="AAB204" s="9"/>
      <c r="AAC204" s="9"/>
      <c r="AAD204" s="9"/>
      <c r="AAE204" s="9"/>
      <c r="AAF204" s="9"/>
      <c r="AAG204" s="9"/>
      <c r="AAH204" s="9"/>
      <c r="AAI204" s="9"/>
      <c r="AAJ204" s="9"/>
      <c r="AAK204" s="9"/>
      <c r="AAL204" s="9"/>
      <c r="AAM204" s="9"/>
      <c r="AAN204" s="9"/>
      <c r="AAO204" s="9"/>
      <c r="AAP204" s="9"/>
      <c r="AAQ204" s="9"/>
      <c r="AAR204" s="9"/>
      <c r="AAS204" s="9"/>
      <c r="AAT204" s="9"/>
      <c r="AAU204" s="9"/>
      <c r="AAV204" s="9"/>
      <c r="AAW204" s="9"/>
      <c r="AAX204" s="9"/>
      <c r="AAY204" s="9"/>
      <c r="AAZ204" s="9"/>
      <c r="ABA204" s="9"/>
      <c r="ABB204" s="9"/>
      <c r="ABC204" s="9"/>
      <c r="ABD204" s="9"/>
      <c r="ABE204" s="9"/>
      <c r="ABF204" s="9"/>
      <c r="ABG204" s="9"/>
      <c r="ABH204" s="9"/>
      <c r="ABI204" s="9"/>
      <c r="ABJ204" s="9"/>
      <c r="ABK204" s="9"/>
      <c r="ABL204" s="9"/>
      <c r="ABM204" s="9"/>
      <c r="ABN204" s="9"/>
      <c r="ABO204" s="9"/>
      <c r="ABP204" s="9"/>
      <c r="ABQ204" s="9"/>
      <c r="ABR204" s="9"/>
      <c r="ABS204" s="9"/>
      <c r="ABT204" s="9"/>
      <c r="ABU204" s="9"/>
      <c r="ABV204" s="9"/>
      <c r="ABW204" s="9"/>
      <c r="ABX204" s="9"/>
      <c r="ABY204" s="9"/>
      <c r="ABZ204" s="9"/>
      <c r="ACA204" s="9"/>
      <c r="ACB204" s="9"/>
      <c r="ACC204" s="9"/>
      <c r="ACD204" s="9"/>
      <c r="ACE204" s="9"/>
      <c r="ACF204" s="9"/>
      <c r="ACG204" s="9"/>
      <c r="ACH204" s="9"/>
      <c r="ACI204" s="9"/>
      <c r="ACJ204" s="9"/>
      <c r="ACK204" s="9"/>
      <c r="ACL204" s="9"/>
      <c r="ACM204" s="9"/>
      <c r="ACN204" s="9"/>
      <c r="ACO204" s="9"/>
      <c r="ACP204" s="9"/>
      <c r="ACQ204" s="9"/>
      <c r="ACR204" s="9"/>
      <c r="ACS204" s="9"/>
      <c r="ACT204" s="9"/>
      <c r="ACU204" s="9"/>
      <c r="ACV204" s="9"/>
      <c r="ACW204" s="9"/>
      <c r="ACX204" s="9"/>
      <c r="ACY204" s="9"/>
      <c r="ACZ204" s="9"/>
      <c r="ADA204" s="9"/>
      <c r="ADB204" s="9"/>
      <c r="ADC204" s="9"/>
      <c r="ADD204" s="9"/>
      <c r="ADE204" s="9"/>
      <c r="ADF204" s="9"/>
      <c r="ADG204" s="9"/>
      <c r="ADH204" s="9"/>
      <c r="ADI204" s="9"/>
      <c r="ADJ204" s="9"/>
      <c r="ADK204" s="9"/>
      <c r="ADL204" s="9"/>
      <c r="ADM204" s="9"/>
      <c r="ADN204" s="9"/>
      <c r="ADO204" s="9"/>
      <c r="ADP204" s="9"/>
      <c r="ADQ204" s="9"/>
      <c r="ADR204" s="9"/>
      <c r="ADS204" s="9"/>
      <c r="ADT204" s="9"/>
      <c r="ADU204" s="9"/>
      <c r="ADV204" s="9"/>
      <c r="ADW204" s="9"/>
      <c r="ADX204" s="9"/>
      <c r="ADY204" s="9"/>
      <c r="ADZ204" s="9"/>
      <c r="AEA204" s="9"/>
      <c r="AEB204" s="9"/>
      <c r="AEC204" s="9"/>
      <c r="AED204" s="9"/>
      <c r="AEE204" s="9"/>
      <c r="AEF204" s="9"/>
      <c r="AEG204" s="9"/>
      <c r="AEH204" s="9"/>
      <c r="AEI204" s="9"/>
      <c r="AEJ204" s="9"/>
      <c r="AEK204" s="9"/>
      <c r="AEL204" s="9"/>
      <c r="AEM204" s="9"/>
      <c r="AEN204" s="9"/>
      <c r="AEO204" s="9"/>
      <c r="AEP204" s="9"/>
      <c r="AEQ204" s="9"/>
      <c r="AER204" s="9"/>
      <c r="AES204" s="9"/>
      <c r="AET204" s="9"/>
      <c r="AEU204" s="9"/>
      <c r="AEV204" s="9"/>
      <c r="AEW204" s="9"/>
      <c r="AEX204" s="9"/>
      <c r="AEY204" s="9"/>
      <c r="AEZ204" s="9"/>
      <c r="AFA204" s="9"/>
      <c r="AFB204" s="9"/>
      <c r="AFC204" s="9"/>
      <c r="AFD204" s="9"/>
      <c r="AFE204" s="9"/>
      <c r="AFF204" s="9"/>
      <c r="AFG204" s="9"/>
      <c r="AFH204" s="9"/>
      <c r="AFI204" s="9"/>
      <c r="AFJ204" s="9"/>
      <c r="AFK204" s="9"/>
      <c r="AFL204" s="9"/>
      <c r="AFM204" s="9"/>
      <c r="AFN204" s="9"/>
      <c r="AFO204" s="9"/>
      <c r="AFP204" s="9"/>
      <c r="AFQ204" s="9"/>
      <c r="AFR204" s="9"/>
      <c r="AFS204" s="9"/>
      <c r="AFT204" s="9"/>
      <c r="AFU204" s="9"/>
      <c r="AFV204" s="9"/>
      <c r="AFW204" s="9"/>
      <c r="AFX204" s="9"/>
      <c r="AFY204" s="9"/>
      <c r="AFZ204" s="9"/>
      <c r="AGA204" s="9"/>
      <c r="AGB204" s="9"/>
      <c r="AGC204" s="9"/>
      <c r="AGD204" s="9"/>
      <c r="AGE204" s="9"/>
      <c r="AGF204" s="9"/>
      <c r="AGG204" s="9"/>
      <c r="AGH204" s="9"/>
      <c r="AGI204" s="9"/>
      <c r="AGJ204" s="9"/>
      <c r="AGK204" s="9"/>
      <c r="AGL204" s="9"/>
      <c r="AGM204" s="9"/>
      <c r="AGN204" s="9"/>
      <c r="AGO204" s="9"/>
      <c r="AGP204" s="9"/>
      <c r="AGQ204" s="9"/>
      <c r="AGR204" s="9"/>
      <c r="AGS204" s="9"/>
      <c r="AGT204" s="9"/>
      <c r="AGU204" s="9"/>
      <c r="AGV204" s="9"/>
      <c r="AGW204" s="9"/>
      <c r="AGX204" s="9"/>
      <c r="AGY204" s="9"/>
      <c r="AGZ204" s="9"/>
      <c r="AHA204" s="9"/>
      <c r="AHB204" s="9"/>
      <c r="AHC204" s="9"/>
      <c r="AHD204" s="9"/>
      <c r="AHE204" s="9"/>
      <c r="AHF204" s="9"/>
      <c r="AHG204" s="9"/>
      <c r="AHH204" s="9"/>
      <c r="AHI204" s="9"/>
      <c r="AHJ204" s="9"/>
      <c r="AHK204" s="9"/>
      <c r="AHL204" s="9"/>
      <c r="AHM204" s="9"/>
      <c r="AHN204" s="9"/>
      <c r="AHO204" s="9"/>
      <c r="AHP204" s="9"/>
      <c r="AHQ204" s="9"/>
      <c r="AHR204" s="9"/>
      <c r="AHS204" s="9"/>
      <c r="AHT204" s="9"/>
      <c r="AHU204" s="9"/>
      <c r="AHV204" s="9"/>
      <c r="AHW204" s="9"/>
      <c r="AHX204" s="9"/>
      <c r="AHY204" s="9"/>
      <c r="AHZ204" s="9"/>
      <c r="AIA204" s="9"/>
      <c r="AIB204" s="9"/>
      <c r="AIC204" s="9"/>
      <c r="AID204" s="9"/>
      <c r="AIE204" s="9"/>
      <c r="AIF204" s="9"/>
      <c r="AIG204" s="9"/>
      <c r="AIH204" s="9"/>
      <c r="AII204" s="9"/>
      <c r="AIJ204" s="9"/>
      <c r="AIK204" s="9"/>
      <c r="AIL204" s="9"/>
      <c r="AIM204" s="9"/>
      <c r="AIN204" s="9"/>
      <c r="AIO204" s="9"/>
      <c r="AIP204" s="9"/>
      <c r="AIQ204" s="9"/>
      <c r="AIR204" s="9"/>
      <c r="AIS204" s="9"/>
      <c r="AIT204" s="9"/>
      <c r="AIU204" s="9"/>
      <c r="AIV204" s="9"/>
      <c r="AIW204" s="9"/>
      <c r="AIX204" s="9"/>
      <c r="AIY204" s="9"/>
      <c r="AIZ204" s="9"/>
      <c r="AJA204" s="9"/>
      <c r="AJB204" s="9"/>
      <c r="AJC204" s="9"/>
      <c r="AJD204" s="9"/>
      <c r="AJE204" s="9"/>
      <c r="AJF204" s="9"/>
      <c r="AJG204" s="9"/>
      <c r="AJH204" s="9"/>
      <c r="AJI204" s="9"/>
      <c r="AJJ204" s="9"/>
      <c r="AJK204" s="9"/>
      <c r="AJL204" s="9"/>
      <c r="AJM204" s="9"/>
      <c r="AJN204" s="9"/>
      <c r="AJO204" s="9"/>
      <c r="AJP204" s="9"/>
      <c r="AJQ204" s="9"/>
      <c r="AJR204" s="9"/>
      <c r="AJS204" s="9"/>
      <c r="AJT204" s="9"/>
      <c r="AJU204" s="9"/>
      <c r="AJV204" s="9"/>
      <c r="AJW204" s="9"/>
      <c r="AJX204" s="9"/>
      <c r="AJY204" s="9"/>
      <c r="AJZ204" s="9"/>
      <c r="AKA204" s="9"/>
      <c r="AKB204" s="9"/>
      <c r="AKC204" s="9"/>
      <c r="AKD204" s="9"/>
      <c r="AKE204" s="9"/>
      <c r="AKF204" s="9"/>
      <c r="AKG204" s="9"/>
      <c r="AKH204" s="9"/>
      <c r="AKI204" s="9"/>
      <c r="AKJ204" s="9"/>
      <c r="AKK204" s="9"/>
      <c r="AKL204" s="9"/>
      <c r="AKM204" s="9"/>
      <c r="AKN204" s="9"/>
      <c r="AKO204" s="9"/>
      <c r="AKP204" s="9"/>
      <c r="AKQ204" s="9"/>
      <c r="AKR204" s="9"/>
      <c r="AKS204" s="9"/>
      <c r="AKT204" s="9"/>
      <c r="AKU204" s="9"/>
      <c r="AKV204" s="9"/>
      <c r="AKW204" s="9"/>
      <c r="AKX204" s="9"/>
      <c r="AKY204" s="9"/>
      <c r="AKZ204" s="9"/>
      <c r="ALA204" s="9"/>
      <c r="ALB204" s="9"/>
      <c r="ALC204" s="9"/>
      <c r="ALD204" s="9"/>
      <c r="ALE204" s="9"/>
      <c r="ALF204" s="9"/>
      <c r="ALG204" s="9"/>
      <c r="ALH204" s="9"/>
      <c r="ALI204" s="9"/>
      <c r="ALJ204" s="9"/>
      <c r="ALK204" s="9"/>
      <c r="ALL204" s="9"/>
      <c r="ALM204" s="9"/>
      <c r="ALN204" s="9"/>
      <c r="ALO204" s="9"/>
      <c r="ALP204" s="9"/>
      <c r="ALQ204" s="9"/>
      <c r="ALR204" s="9"/>
      <c r="ALS204" s="9"/>
      <c r="ALT204" s="9"/>
      <c r="ALU204" s="9"/>
      <c r="ALV204" s="9"/>
      <c r="ALW204" s="9"/>
      <c r="ALX204" s="9"/>
      <c r="ALY204" s="9"/>
      <c r="ALZ204" s="9"/>
      <c r="AMA204" s="9"/>
      <c r="AMB204" s="9"/>
      <c r="AMC204" s="9"/>
      <c r="AMD204" s="9"/>
      <c r="AME204" s="9"/>
      <c r="AMF204" s="9"/>
      <c r="AMG204" s="9"/>
      <c r="AMH204" s="9"/>
      <c r="AMI204" s="9"/>
      <c r="AMJ204" s="9"/>
      <c r="AMK204" s="9"/>
      <c r="AML204" s="9"/>
      <c r="AMM204" s="9"/>
      <c r="AMN204" s="9"/>
      <c r="AMO204" s="9"/>
    </row>
    <row r="205" spans="1:1030" s="12" customFormat="1" x14ac:dyDescent="0.2">
      <c r="A205" s="9" t="str">
        <f t="shared" ref="A205" si="1651">CONCATENATE(B205,"_",C205)</f>
        <v>cnr2_human_6PT0</v>
      </c>
      <c r="B205" s="9" t="s">
        <v>183</v>
      </c>
      <c r="C205" s="9" t="s">
        <v>1651</v>
      </c>
      <c r="D205" s="9" t="str">
        <f>IFERROR(MID(VLOOKUP($B205,Seqs!$A:$B,2,0),E205,1),"")</f>
        <v>S</v>
      </c>
      <c r="E205" s="9">
        <v>29</v>
      </c>
      <c r="F205" s="9" t="str">
        <f>IFERROR(MID(VLOOKUP($B205,Seqs!$A:$B,2,0),G205,1),"")</f>
        <v>S</v>
      </c>
      <c r="G205" s="9">
        <v>60</v>
      </c>
      <c r="H205" s="9" t="str">
        <f>IFERROR(MID(VLOOKUP($B205,Seqs!$A:$B,2,0),I205,1),"")</f>
        <v>H</v>
      </c>
      <c r="I205" s="109">
        <v>62</v>
      </c>
      <c r="J205" s="9" t="str">
        <f>IFERROR(MID(VLOOKUP($B205,Seqs!$A:$B,2,0),K205,1),"")</f>
        <v>R</v>
      </c>
      <c r="K205" s="109">
        <v>65</v>
      </c>
      <c r="L205" s="9" t="str">
        <f>IFERROR(MID(VLOOKUP($B205,Seqs!$A:$B,2,0),M205,1),"")</f>
        <v>K</v>
      </c>
      <c r="M205" s="9">
        <v>67</v>
      </c>
      <c r="N205" s="9" t="str">
        <f>IFERROR(MID(VLOOKUP($B205,Seqs!$A:$B,2,0),O205,1),"")</f>
        <v>V</v>
      </c>
      <c r="O205" s="9">
        <v>96</v>
      </c>
      <c r="P205" s="9" t="str">
        <f>IFERROR(MID(VLOOKUP($B205,Seqs!$A:$B,2,0),Q205,1),"")</f>
        <v/>
      </c>
      <c r="Q205" s="9" t="s">
        <v>23</v>
      </c>
      <c r="R205" s="9" t="str">
        <f>IFERROR(MID(VLOOKUP($B205,Seqs!$A:$B,2,0),S205,1),"")</f>
        <v/>
      </c>
      <c r="S205" s="9" t="s">
        <v>23</v>
      </c>
      <c r="T205" s="9" t="str">
        <f>IFERROR(MID(VLOOKUP($B205,Seqs!$A:$B,2,0),U205,1),"")</f>
        <v>S</v>
      </c>
      <c r="U205" s="9">
        <v>102</v>
      </c>
      <c r="V205" s="9" t="str">
        <f>IFERROR(MID(VLOOKUP($B205,Seqs!$A:$B,2,0),W205,1),"")</f>
        <v>Y</v>
      </c>
      <c r="W205" s="9">
        <v>137</v>
      </c>
      <c r="X205" s="9" t="str">
        <f>IFERROR(MID(VLOOKUP($B205,Seqs!$A:$B,2,0),Y205,1),"")</f>
        <v>P</v>
      </c>
      <c r="Y205" s="9">
        <v>138</v>
      </c>
      <c r="Z205" s="9" t="str">
        <f>IFERROR(MID(VLOOKUP($B205,Seqs!$A:$B,2,0),AA205,1),"")</f>
        <v>L</v>
      </c>
      <c r="AA205" s="9">
        <v>145</v>
      </c>
      <c r="AB205" s="9" t="str">
        <f>IFERROR(MID(VLOOKUP($B205,Seqs!$A:$B,2,0),AC205,1),"")</f>
        <v>T</v>
      </c>
      <c r="AC205" s="9">
        <v>146</v>
      </c>
      <c r="AD205" s="9" t="str">
        <f>IFERROR(MID(VLOOKUP($B205,Seqs!$A:$B,2,0),AE205,1),"")</f>
        <v>G</v>
      </c>
      <c r="AE205" s="9">
        <v>171</v>
      </c>
      <c r="AF205" s="9" t="str">
        <f>IFERROR(MID(VLOOKUP($B205,Seqs!$A:$B,2,0),AG205,1),"")</f>
        <v/>
      </c>
      <c r="AG205" s="9" t="s">
        <v>23</v>
      </c>
      <c r="AH205" s="9" t="str">
        <f>IFERROR(MID(VLOOKUP($B205,Seqs!$A:$B,2,0),AI205,1),"")</f>
        <v/>
      </c>
      <c r="AI205" s="9" t="s">
        <v>23</v>
      </c>
      <c r="AJ205" s="9" t="str">
        <f>IFERROR(MID(VLOOKUP($B205,Seqs!$A:$B,2,0),AK205,1),"")</f>
        <v>P</v>
      </c>
      <c r="AK205" s="9">
        <v>187</v>
      </c>
      <c r="AL205" s="9" t="str">
        <f>IFERROR(MID(VLOOKUP($B205,Seqs!$A:$B,2,0),AM205,1),"")</f>
        <v>G</v>
      </c>
      <c r="AM205" s="9">
        <v>225</v>
      </c>
      <c r="AN205" s="9" t="str">
        <f>IFERROR(MID(VLOOKUP($B205,Seqs!$A:$B,2,0),AO205,1),"")</f>
        <v>R</v>
      </c>
      <c r="AO205" s="9">
        <v>238</v>
      </c>
      <c r="AP205" s="9" t="str">
        <f>IFERROR(MID(VLOOKUP($B205,Seqs!$A:$B,2,0),AQ205,1),"")</f>
        <v>T</v>
      </c>
      <c r="AQ205" s="9">
        <v>271</v>
      </c>
      <c r="AR205" s="9" t="str">
        <f>IFERROR(MID(VLOOKUP($B205,Seqs!$A:$B,2,0),AS205,1),"")</f>
        <v>S</v>
      </c>
      <c r="AS205" s="9">
        <v>274</v>
      </c>
      <c r="AT205" s="9" t="str">
        <f>IFERROR(MID(VLOOKUP($B205,Seqs!$A:$B,2,0),AU205,1),"")</f>
        <v>R</v>
      </c>
      <c r="AU205" s="9">
        <v>302</v>
      </c>
      <c r="AV205" s="9" t="str">
        <f>IFERROR(MID(VLOOKUP($B205,Seqs!$A:$B,2,0),AW205,1),"")</f>
        <v>S</v>
      </c>
      <c r="AW205" s="9">
        <v>303</v>
      </c>
      <c r="AX205" s="9" t="str">
        <f>IFERROR(MID(VLOOKUP($B205,Seqs!$A:$B,2,0),AY205,1),"")</f>
        <v>K</v>
      </c>
      <c r="AY205" s="9">
        <v>319</v>
      </c>
      <c r="AZ205" s="110" t="str">
        <f>VLOOKUP(B205,Classification!A:D,2,0)</f>
        <v>A</v>
      </c>
      <c r="BA205" s="98" t="str">
        <f>VLOOKUP(B205,Classification!A:D,4,0)</f>
        <v>Cannabinoid</v>
      </c>
      <c r="BB205" s="36" t="b">
        <f t="shared" ref="BB205" si="1652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109">
        <f t="shared" ref="BC205" si="1653">_xlfn.AGGREGATE(9,6,CH205:CS205)-_xlfn.AGGREGATE(9,6,BV205:CG205)+12</f>
        <v>257</v>
      </c>
      <c r="BD205" s="40" t="s">
        <v>1375</v>
      </c>
      <c r="BE205" s="9" t="s">
        <v>1291</v>
      </c>
      <c r="BF205" s="119">
        <v>3.2</v>
      </c>
      <c r="BG205" s="51" t="s">
        <v>1422</v>
      </c>
      <c r="BH205" s="51" t="s">
        <v>1422</v>
      </c>
      <c r="BI205" s="9"/>
      <c r="BJ205" s="111" t="s">
        <v>1287</v>
      </c>
      <c r="BK205" s="112" t="s">
        <v>1287</v>
      </c>
      <c r="BL205" s="112" t="s">
        <v>1287</v>
      </c>
      <c r="BM205" s="112" t="s">
        <v>1287</v>
      </c>
      <c r="BN205" s="112" t="s">
        <v>1287</v>
      </c>
      <c r="BO205" s="112" t="s">
        <v>1287</v>
      </c>
      <c r="BP205" s="112" t="s">
        <v>1287</v>
      </c>
      <c r="BQ205" s="112" t="s">
        <v>1287</v>
      </c>
      <c r="BR205" s="112" t="s">
        <v>1287</v>
      </c>
      <c r="BS205" s="112" t="s">
        <v>1287</v>
      </c>
      <c r="BT205" s="112" t="s">
        <v>1287</v>
      </c>
      <c r="BU205" s="112" t="s">
        <v>1287</v>
      </c>
      <c r="BV205" s="111">
        <f t="shared" ref="BV205" si="1654">E205</f>
        <v>29</v>
      </c>
      <c r="BW205" s="113">
        <f t="shared" ref="BW205" si="1655">I205</f>
        <v>62</v>
      </c>
      <c r="BX205" s="114">
        <f t="shared" ref="BX205" si="1656">M205</f>
        <v>67</v>
      </c>
      <c r="BY205" s="113" t="str">
        <f t="shared" ref="BY205" si="1657">Q205</f>
        <v>-</v>
      </c>
      <c r="BZ205" s="114">
        <f t="shared" ref="BZ205" si="1658">U205</f>
        <v>102</v>
      </c>
      <c r="CA205" s="113">
        <f t="shared" ref="CA205" si="1659">Y205</f>
        <v>138</v>
      </c>
      <c r="CB205" s="114">
        <f t="shared" ref="CB205" si="1660">AC205</f>
        <v>146</v>
      </c>
      <c r="CC205" s="113" t="str">
        <f t="shared" ref="CC205" si="1661">AG205</f>
        <v>-</v>
      </c>
      <c r="CD205" s="114">
        <f t="shared" ref="CD205" si="1662">AK205</f>
        <v>187</v>
      </c>
      <c r="CE205" s="113">
        <f t="shared" ref="CE205" si="1663">AO205</f>
        <v>238</v>
      </c>
      <c r="CF205" s="114">
        <f t="shared" ref="CF205" si="1664">AS205</f>
        <v>274</v>
      </c>
      <c r="CG205" s="113">
        <f t="shared" ref="CG205" si="1665">AW205</f>
        <v>303</v>
      </c>
      <c r="CH205" s="111">
        <f t="shared" ref="CH205" si="1666">G205</f>
        <v>60</v>
      </c>
      <c r="CI205" s="113">
        <f t="shared" ref="CI205" si="1667">K205</f>
        <v>65</v>
      </c>
      <c r="CJ205" s="114">
        <f t="shared" ref="CJ205" si="1668">O205</f>
        <v>96</v>
      </c>
      <c r="CK205" s="114" t="str">
        <f t="shared" ref="CK205" si="1669">S205</f>
        <v>-</v>
      </c>
      <c r="CL205" s="114">
        <f t="shared" ref="CL205" si="1670">W205</f>
        <v>137</v>
      </c>
      <c r="CM205" s="114">
        <f t="shared" ref="CM205" si="1671">AA205</f>
        <v>145</v>
      </c>
      <c r="CN205" s="114">
        <f t="shared" ref="CN205" si="1672">AE205</f>
        <v>171</v>
      </c>
      <c r="CO205" s="114" t="str">
        <f t="shared" ref="CO205" si="1673">AI205</f>
        <v>-</v>
      </c>
      <c r="CP205" s="114">
        <f t="shared" ref="CP205" si="1674">AM205</f>
        <v>225</v>
      </c>
      <c r="CQ205" s="114">
        <f t="shared" ref="CQ205" si="1675">AQ205</f>
        <v>271</v>
      </c>
      <c r="CR205" s="114">
        <f t="shared" ref="CR205" si="1676">AU205</f>
        <v>302</v>
      </c>
      <c r="CS205" s="114">
        <f t="shared" ref="CS205" si="1677">AY205</f>
        <v>319</v>
      </c>
      <c r="CT205" s="109">
        <f t="shared" ref="CT205" si="1678">M205-K205</f>
        <v>2</v>
      </c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  <c r="LI205" s="9"/>
      <c r="LJ205" s="9"/>
      <c r="LK205" s="9"/>
      <c r="LL205" s="9"/>
      <c r="LM205" s="9"/>
      <c r="LN205" s="9"/>
      <c r="LO205" s="9"/>
      <c r="LP205" s="9"/>
      <c r="LQ205" s="9"/>
      <c r="LR205" s="9"/>
      <c r="LS205" s="9"/>
      <c r="LT205" s="9"/>
      <c r="LU205" s="9"/>
      <c r="LV205" s="9"/>
      <c r="LW205" s="9"/>
      <c r="LX205" s="9"/>
      <c r="LY205" s="9"/>
      <c r="LZ205" s="9"/>
      <c r="MA205" s="9"/>
      <c r="MB205" s="9"/>
      <c r="MC205" s="9"/>
      <c r="MD205" s="9"/>
      <c r="ME205" s="9"/>
      <c r="MF205" s="9"/>
      <c r="MG205" s="9"/>
      <c r="MH205" s="9"/>
      <c r="MI205" s="9"/>
      <c r="MJ205" s="9"/>
      <c r="MK205" s="9"/>
      <c r="ML205" s="9"/>
      <c r="MM205" s="9"/>
      <c r="MN205" s="9"/>
      <c r="MO205" s="9"/>
      <c r="MP205" s="9"/>
      <c r="MQ205" s="9"/>
      <c r="MR205" s="9"/>
      <c r="MS205" s="9"/>
      <c r="MT205" s="9"/>
      <c r="MU205" s="9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  <c r="PG205" s="9"/>
      <c r="PH205" s="9"/>
      <c r="PI205" s="9"/>
      <c r="PJ205" s="9"/>
      <c r="PK205" s="9"/>
      <c r="PL205" s="9"/>
      <c r="PM205" s="9"/>
      <c r="PN205" s="9"/>
      <c r="PO205" s="9"/>
      <c r="PP205" s="9"/>
      <c r="PQ205" s="9"/>
      <c r="PR205" s="9"/>
      <c r="PS205" s="9"/>
      <c r="PT205" s="9"/>
      <c r="PU205" s="9"/>
      <c r="PV205" s="9"/>
      <c r="PW205" s="9"/>
      <c r="PX205" s="9"/>
      <c r="PY205" s="9"/>
      <c r="PZ205" s="9"/>
      <c r="QA205" s="9"/>
      <c r="QB205" s="9"/>
      <c r="QC205" s="9"/>
      <c r="QD205" s="9"/>
      <c r="QE205" s="9"/>
      <c r="QF205" s="9"/>
      <c r="QG205" s="9"/>
      <c r="QH205" s="9"/>
      <c r="QI205" s="9"/>
      <c r="QJ205" s="9"/>
      <c r="QK205" s="9"/>
      <c r="QL205" s="9"/>
      <c r="QM205" s="9"/>
      <c r="QN205" s="9"/>
      <c r="QO205" s="9"/>
      <c r="QP205" s="9"/>
      <c r="QQ205" s="9"/>
      <c r="QR205" s="9"/>
      <c r="QS205" s="9"/>
      <c r="QT205" s="9"/>
      <c r="QU205" s="9"/>
      <c r="QV205" s="9"/>
      <c r="QW205" s="9"/>
      <c r="QX205" s="9"/>
      <c r="QY205" s="9"/>
      <c r="QZ205" s="9"/>
      <c r="RA205" s="9"/>
      <c r="RB205" s="9"/>
      <c r="RC205" s="9"/>
      <c r="RD205" s="9"/>
      <c r="RE205" s="9"/>
      <c r="RF205" s="9"/>
      <c r="RG205" s="9"/>
      <c r="RH205" s="9"/>
      <c r="RI205" s="9"/>
      <c r="RJ205" s="9"/>
      <c r="RK205" s="9"/>
      <c r="RL205" s="9"/>
      <c r="RM205" s="9"/>
      <c r="RN205" s="9"/>
      <c r="RO205" s="9"/>
      <c r="RP205" s="9"/>
      <c r="RQ205" s="9"/>
      <c r="RR205" s="9"/>
      <c r="RS205" s="9"/>
      <c r="RT205" s="9"/>
      <c r="RU205" s="9"/>
      <c r="RV205" s="9"/>
      <c r="RW205" s="9"/>
      <c r="RX205" s="9"/>
      <c r="RY205" s="9"/>
      <c r="RZ205" s="9"/>
      <c r="SA205" s="9"/>
      <c r="SB205" s="9"/>
      <c r="SC205" s="9"/>
      <c r="SD205" s="9"/>
      <c r="SE205" s="9"/>
      <c r="SF205" s="9"/>
      <c r="SG205" s="9"/>
      <c r="SH205" s="9"/>
      <c r="SI205" s="9"/>
      <c r="SJ205" s="9"/>
      <c r="SK205" s="9"/>
      <c r="SL205" s="9"/>
      <c r="SM205" s="9"/>
      <c r="SN205" s="9"/>
      <c r="SO205" s="9"/>
      <c r="SP205" s="9"/>
      <c r="SQ205" s="9"/>
      <c r="SR205" s="9"/>
      <c r="SS205" s="9"/>
      <c r="ST205" s="9"/>
      <c r="SU205" s="9"/>
      <c r="SV205" s="9"/>
      <c r="SW205" s="9"/>
      <c r="SX205" s="9"/>
      <c r="SY205" s="9"/>
      <c r="SZ205" s="9"/>
      <c r="TA205" s="9"/>
      <c r="TB205" s="9"/>
      <c r="TC205" s="9"/>
      <c r="TD205" s="9"/>
      <c r="TE205" s="9"/>
      <c r="TF205" s="9"/>
      <c r="TG205" s="9"/>
      <c r="TH205" s="9"/>
      <c r="TI205" s="9"/>
      <c r="TJ205" s="9"/>
      <c r="TK205" s="9"/>
      <c r="TL205" s="9"/>
      <c r="TM205" s="9"/>
      <c r="TN205" s="9"/>
      <c r="TO205" s="9"/>
      <c r="TP205" s="9"/>
      <c r="TQ205" s="9"/>
      <c r="TR205" s="9"/>
      <c r="TS205" s="9"/>
      <c r="TT205" s="9"/>
      <c r="TU205" s="9"/>
      <c r="TV205" s="9"/>
      <c r="TW205" s="9"/>
      <c r="TX205" s="9"/>
      <c r="TY205" s="9"/>
      <c r="TZ205" s="9"/>
      <c r="UA205" s="9"/>
      <c r="UB205" s="9"/>
      <c r="UC205" s="9"/>
      <c r="UD205" s="9"/>
      <c r="UE205" s="9"/>
      <c r="UF205" s="9"/>
      <c r="UG205" s="9"/>
      <c r="UH205" s="9"/>
      <c r="UI205" s="9"/>
      <c r="UJ205" s="9"/>
      <c r="UK205" s="9"/>
      <c r="UL205" s="9"/>
      <c r="UM205" s="9"/>
      <c r="UN205" s="9"/>
      <c r="UO205" s="9"/>
      <c r="UP205" s="9"/>
      <c r="UQ205" s="9"/>
      <c r="UR205" s="9"/>
      <c r="US205" s="9"/>
      <c r="UT205" s="9"/>
      <c r="UU205" s="9"/>
      <c r="UV205" s="9"/>
      <c r="UW205" s="9"/>
      <c r="UX205" s="9"/>
      <c r="UY205" s="9"/>
      <c r="UZ205" s="9"/>
      <c r="VA205" s="9"/>
      <c r="VB205" s="9"/>
      <c r="VC205" s="9"/>
      <c r="VD205" s="9"/>
      <c r="VE205" s="9"/>
      <c r="VF205" s="9"/>
      <c r="VG205" s="9"/>
      <c r="VH205" s="9"/>
      <c r="VI205" s="9"/>
      <c r="VJ205" s="9"/>
      <c r="VK205" s="9"/>
      <c r="VL205" s="9"/>
      <c r="VM205" s="9"/>
      <c r="VN205" s="9"/>
      <c r="VO205" s="9"/>
      <c r="VP205" s="9"/>
      <c r="VQ205" s="9"/>
      <c r="VR205" s="9"/>
      <c r="VS205" s="9"/>
      <c r="VT205" s="9"/>
      <c r="VU205" s="9"/>
      <c r="VV205" s="9"/>
      <c r="VW205" s="9"/>
      <c r="VX205" s="9"/>
      <c r="VY205" s="9"/>
      <c r="VZ205" s="9"/>
      <c r="WA205" s="9"/>
      <c r="WB205" s="9"/>
      <c r="WC205" s="9"/>
      <c r="WD205" s="9"/>
      <c r="WE205" s="9"/>
      <c r="WF205" s="9"/>
      <c r="WG205" s="9"/>
      <c r="WH205" s="9"/>
      <c r="WI205" s="9"/>
      <c r="WJ205" s="9"/>
      <c r="WK205" s="9"/>
      <c r="WL205" s="9"/>
      <c r="WM205" s="9"/>
      <c r="WN205" s="9"/>
      <c r="WO205" s="9"/>
      <c r="WP205" s="9"/>
      <c r="WQ205" s="9"/>
      <c r="WR205" s="9"/>
      <c r="WS205" s="9"/>
      <c r="WT205" s="9"/>
      <c r="WU205" s="9"/>
      <c r="WV205" s="9"/>
      <c r="WW205" s="9"/>
      <c r="WX205" s="9"/>
      <c r="WY205" s="9"/>
      <c r="WZ205" s="9"/>
      <c r="XA205" s="9"/>
      <c r="XB205" s="9"/>
      <c r="XC205" s="9"/>
      <c r="XD205" s="9"/>
      <c r="XE205" s="9"/>
      <c r="XF205" s="9"/>
      <c r="XG205" s="9"/>
      <c r="XH205" s="9"/>
      <c r="XI205" s="9"/>
      <c r="XJ205" s="9"/>
      <c r="XK205" s="9"/>
      <c r="XL205" s="9"/>
      <c r="XM205" s="9"/>
      <c r="XN205" s="9"/>
      <c r="XO205" s="9"/>
      <c r="XP205" s="9"/>
      <c r="XQ205" s="9"/>
      <c r="XR205" s="9"/>
      <c r="XS205" s="9"/>
      <c r="XT205" s="9"/>
      <c r="XU205" s="9"/>
      <c r="XV205" s="9"/>
      <c r="XW205" s="9"/>
      <c r="XX205" s="9"/>
      <c r="XY205" s="9"/>
      <c r="XZ205" s="9"/>
      <c r="YA205" s="9"/>
      <c r="YB205" s="9"/>
      <c r="YC205" s="9"/>
      <c r="YD205" s="9"/>
      <c r="YE205" s="9"/>
      <c r="YF205" s="9"/>
      <c r="YG205" s="9"/>
      <c r="YH205" s="9"/>
      <c r="YI205" s="9"/>
      <c r="YJ205" s="9"/>
      <c r="YK205" s="9"/>
      <c r="YL205" s="9"/>
      <c r="YM205" s="9"/>
      <c r="YN205" s="9"/>
      <c r="YO205" s="9"/>
      <c r="YP205" s="9"/>
      <c r="YQ205" s="9"/>
      <c r="YR205" s="9"/>
      <c r="YS205" s="9"/>
      <c r="YT205" s="9"/>
      <c r="YU205" s="9"/>
      <c r="YV205" s="9"/>
      <c r="YW205" s="9"/>
      <c r="YX205" s="9"/>
      <c r="YY205" s="9"/>
      <c r="YZ205" s="9"/>
      <c r="ZA205" s="9"/>
      <c r="ZB205" s="9"/>
      <c r="ZC205" s="9"/>
      <c r="ZD205" s="9"/>
      <c r="ZE205" s="9"/>
      <c r="ZF205" s="9"/>
      <c r="ZG205" s="9"/>
      <c r="ZH205" s="9"/>
      <c r="ZI205" s="9"/>
      <c r="ZJ205" s="9"/>
      <c r="ZK205" s="9"/>
      <c r="ZL205" s="9"/>
      <c r="ZM205" s="9"/>
      <c r="ZN205" s="9"/>
      <c r="ZO205" s="9"/>
      <c r="ZP205" s="9"/>
      <c r="ZQ205" s="9"/>
      <c r="ZR205" s="9"/>
      <c r="ZS205" s="9"/>
      <c r="ZT205" s="9"/>
      <c r="ZU205" s="9"/>
      <c r="ZV205" s="9"/>
      <c r="ZW205" s="9"/>
      <c r="ZX205" s="9"/>
      <c r="ZY205" s="9"/>
      <c r="ZZ205" s="9"/>
      <c r="AAA205" s="9"/>
      <c r="AAB205" s="9"/>
      <c r="AAC205" s="9"/>
      <c r="AAD205" s="9"/>
      <c r="AAE205" s="9"/>
      <c r="AAF205" s="9"/>
      <c r="AAG205" s="9"/>
      <c r="AAH205" s="9"/>
      <c r="AAI205" s="9"/>
      <c r="AAJ205" s="9"/>
      <c r="AAK205" s="9"/>
      <c r="AAL205" s="9"/>
      <c r="AAM205" s="9"/>
      <c r="AAN205" s="9"/>
      <c r="AAO205" s="9"/>
      <c r="AAP205" s="9"/>
      <c r="AAQ205" s="9"/>
      <c r="AAR205" s="9"/>
      <c r="AAS205" s="9"/>
      <c r="AAT205" s="9"/>
      <c r="AAU205" s="9"/>
      <c r="AAV205" s="9"/>
      <c r="AAW205" s="9"/>
      <c r="AAX205" s="9"/>
      <c r="AAY205" s="9"/>
      <c r="AAZ205" s="9"/>
      <c r="ABA205" s="9"/>
      <c r="ABB205" s="9"/>
      <c r="ABC205" s="9"/>
      <c r="ABD205" s="9"/>
      <c r="ABE205" s="9"/>
      <c r="ABF205" s="9"/>
      <c r="ABG205" s="9"/>
      <c r="ABH205" s="9"/>
      <c r="ABI205" s="9"/>
      <c r="ABJ205" s="9"/>
      <c r="ABK205" s="9"/>
      <c r="ABL205" s="9"/>
      <c r="ABM205" s="9"/>
      <c r="ABN205" s="9"/>
      <c r="ABO205" s="9"/>
      <c r="ABP205" s="9"/>
      <c r="ABQ205" s="9"/>
      <c r="ABR205" s="9"/>
      <c r="ABS205" s="9"/>
      <c r="ABT205" s="9"/>
      <c r="ABU205" s="9"/>
      <c r="ABV205" s="9"/>
      <c r="ABW205" s="9"/>
      <c r="ABX205" s="9"/>
      <c r="ABY205" s="9"/>
      <c r="ABZ205" s="9"/>
      <c r="ACA205" s="9"/>
      <c r="ACB205" s="9"/>
      <c r="ACC205" s="9"/>
      <c r="ACD205" s="9"/>
      <c r="ACE205" s="9"/>
      <c r="ACF205" s="9"/>
      <c r="ACG205" s="9"/>
      <c r="ACH205" s="9"/>
      <c r="ACI205" s="9"/>
      <c r="ACJ205" s="9"/>
      <c r="ACK205" s="9"/>
      <c r="ACL205" s="9"/>
      <c r="ACM205" s="9"/>
      <c r="ACN205" s="9"/>
      <c r="ACO205" s="9"/>
      <c r="ACP205" s="9"/>
      <c r="ACQ205" s="9"/>
      <c r="ACR205" s="9"/>
      <c r="ACS205" s="9"/>
      <c r="ACT205" s="9"/>
      <c r="ACU205" s="9"/>
      <c r="ACV205" s="9"/>
      <c r="ACW205" s="9"/>
      <c r="ACX205" s="9"/>
      <c r="ACY205" s="9"/>
      <c r="ACZ205" s="9"/>
      <c r="ADA205" s="9"/>
      <c r="ADB205" s="9"/>
      <c r="ADC205" s="9"/>
      <c r="ADD205" s="9"/>
      <c r="ADE205" s="9"/>
      <c r="ADF205" s="9"/>
      <c r="ADG205" s="9"/>
      <c r="ADH205" s="9"/>
      <c r="ADI205" s="9"/>
      <c r="ADJ205" s="9"/>
      <c r="ADK205" s="9"/>
      <c r="ADL205" s="9"/>
      <c r="ADM205" s="9"/>
      <c r="ADN205" s="9"/>
      <c r="ADO205" s="9"/>
      <c r="ADP205" s="9"/>
      <c r="ADQ205" s="9"/>
      <c r="ADR205" s="9"/>
      <c r="ADS205" s="9"/>
      <c r="ADT205" s="9"/>
      <c r="ADU205" s="9"/>
      <c r="ADV205" s="9"/>
      <c r="ADW205" s="9"/>
      <c r="ADX205" s="9"/>
      <c r="ADY205" s="9"/>
      <c r="ADZ205" s="9"/>
      <c r="AEA205" s="9"/>
      <c r="AEB205" s="9"/>
      <c r="AEC205" s="9"/>
      <c r="AED205" s="9"/>
      <c r="AEE205" s="9"/>
      <c r="AEF205" s="9"/>
      <c r="AEG205" s="9"/>
      <c r="AEH205" s="9"/>
      <c r="AEI205" s="9"/>
      <c r="AEJ205" s="9"/>
      <c r="AEK205" s="9"/>
      <c r="AEL205" s="9"/>
      <c r="AEM205" s="9"/>
      <c r="AEN205" s="9"/>
      <c r="AEO205" s="9"/>
      <c r="AEP205" s="9"/>
      <c r="AEQ205" s="9"/>
      <c r="AER205" s="9"/>
      <c r="AES205" s="9"/>
      <c r="AET205" s="9"/>
      <c r="AEU205" s="9"/>
      <c r="AEV205" s="9"/>
      <c r="AEW205" s="9"/>
      <c r="AEX205" s="9"/>
      <c r="AEY205" s="9"/>
      <c r="AEZ205" s="9"/>
      <c r="AFA205" s="9"/>
      <c r="AFB205" s="9"/>
      <c r="AFC205" s="9"/>
      <c r="AFD205" s="9"/>
      <c r="AFE205" s="9"/>
      <c r="AFF205" s="9"/>
      <c r="AFG205" s="9"/>
      <c r="AFH205" s="9"/>
      <c r="AFI205" s="9"/>
      <c r="AFJ205" s="9"/>
      <c r="AFK205" s="9"/>
      <c r="AFL205" s="9"/>
      <c r="AFM205" s="9"/>
      <c r="AFN205" s="9"/>
      <c r="AFO205" s="9"/>
      <c r="AFP205" s="9"/>
      <c r="AFQ205" s="9"/>
      <c r="AFR205" s="9"/>
      <c r="AFS205" s="9"/>
      <c r="AFT205" s="9"/>
      <c r="AFU205" s="9"/>
      <c r="AFV205" s="9"/>
      <c r="AFW205" s="9"/>
      <c r="AFX205" s="9"/>
      <c r="AFY205" s="9"/>
      <c r="AFZ205" s="9"/>
      <c r="AGA205" s="9"/>
      <c r="AGB205" s="9"/>
      <c r="AGC205" s="9"/>
      <c r="AGD205" s="9"/>
      <c r="AGE205" s="9"/>
      <c r="AGF205" s="9"/>
      <c r="AGG205" s="9"/>
      <c r="AGH205" s="9"/>
      <c r="AGI205" s="9"/>
      <c r="AGJ205" s="9"/>
      <c r="AGK205" s="9"/>
      <c r="AGL205" s="9"/>
      <c r="AGM205" s="9"/>
      <c r="AGN205" s="9"/>
      <c r="AGO205" s="9"/>
      <c r="AGP205" s="9"/>
      <c r="AGQ205" s="9"/>
      <c r="AGR205" s="9"/>
      <c r="AGS205" s="9"/>
      <c r="AGT205" s="9"/>
      <c r="AGU205" s="9"/>
      <c r="AGV205" s="9"/>
      <c r="AGW205" s="9"/>
      <c r="AGX205" s="9"/>
      <c r="AGY205" s="9"/>
      <c r="AGZ205" s="9"/>
      <c r="AHA205" s="9"/>
      <c r="AHB205" s="9"/>
      <c r="AHC205" s="9"/>
      <c r="AHD205" s="9"/>
      <c r="AHE205" s="9"/>
      <c r="AHF205" s="9"/>
      <c r="AHG205" s="9"/>
      <c r="AHH205" s="9"/>
      <c r="AHI205" s="9"/>
      <c r="AHJ205" s="9"/>
      <c r="AHK205" s="9"/>
      <c r="AHL205" s="9"/>
      <c r="AHM205" s="9"/>
      <c r="AHN205" s="9"/>
      <c r="AHO205" s="9"/>
      <c r="AHP205" s="9"/>
      <c r="AHQ205" s="9"/>
      <c r="AHR205" s="9"/>
      <c r="AHS205" s="9"/>
      <c r="AHT205" s="9"/>
      <c r="AHU205" s="9"/>
      <c r="AHV205" s="9"/>
      <c r="AHW205" s="9"/>
      <c r="AHX205" s="9"/>
      <c r="AHY205" s="9"/>
      <c r="AHZ205" s="9"/>
      <c r="AIA205" s="9"/>
      <c r="AIB205" s="9"/>
      <c r="AIC205" s="9"/>
      <c r="AID205" s="9"/>
      <c r="AIE205" s="9"/>
      <c r="AIF205" s="9"/>
      <c r="AIG205" s="9"/>
      <c r="AIH205" s="9"/>
      <c r="AII205" s="9"/>
      <c r="AIJ205" s="9"/>
      <c r="AIK205" s="9"/>
      <c r="AIL205" s="9"/>
      <c r="AIM205" s="9"/>
      <c r="AIN205" s="9"/>
      <c r="AIO205" s="9"/>
      <c r="AIP205" s="9"/>
      <c r="AIQ205" s="9"/>
      <c r="AIR205" s="9"/>
      <c r="AIS205" s="9"/>
      <c r="AIT205" s="9"/>
      <c r="AIU205" s="9"/>
      <c r="AIV205" s="9"/>
      <c r="AIW205" s="9"/>
      <c r="AIX205" s="9"/>
      <c r="AIY205" s="9"/>
      <c r="AIZ205" s="9"/>
      <c r="AJA205" s="9"/>
      <c r="AJB205" s="9"/>
      <c r="AJC205" s="9"/>
      <c r="AJD205" s="9"/>
      <c r="AJE205" s="9"/>
      <c r="AJF205" s="9"/>
      <c r="AJG205" s="9"/>
      <c r="AJH205" s="9"/>
      <c r="AJI205" s="9"/>
      <c r="AJJ205" s="9"/>
      <c r="AJK205" s="9"/>
      <c r="AJL205" s="9"/>
      <c r="AJM205" s="9"/>
      <c r="AJN205" s="9"/>
      <c r="AJO205" s="9"/>
      <c r="AJP205" s="9"/>
      <c r="AJQ205" s="9"/>
      <c r="AJR205" s="9"/>
      <c r="AJS205" s="9"/>
      <c r="AJT205" s="9"/>
      <c r="AJU205" s="9"/>
      <c r="AJV205" s="9"/>
      <c r="AJW205" s="9"/>
      <c r="AJX205" s="9"/>
      <c r="AJY205" s="9"/>
      <c r="AJZ205" s="9"/>
      <c r="AKA205" s="9"/>
      <c r="AKB205" s="9"/>
      <c r="AKC205" s="9"/>
      <c r="AKD205" s="9"/>
      <c r="AKE205" s="9"/>
      <c r="AKF205" s="9"/>
      <c r="AKG205" s="9"/>
      <c r="AKH205" s="9"/>
      <c r="AKI205" s="9"/>
      <c r="AKJ205" s="9"/>
      <c r="AKK205" s="9"/>
      <c r="AKL205" s="9"/>
      <c r="AKM205" s="9"/>
      <c r="AKN205" s="9"/>
      <c r="AKO205" s="9"/>
      <c r="AKP205" s="9"/>
      <c r="AKQ205" s="9"/>
      <c r="AKR205" s="9"/>
      <c r="AKS205" s="9"/>
      <c r="AKT205" s="9"/>
      <c r="AKU205" s="9"/>
      <c r="AKV205" s="9"/>
      <c r="AKW205" s="9"/>
      <c r="AKX205" s="9"/>
      <c r="AKY205" s="9"/>
      <c r="AKZ205" s="9"/>
      <c r="ALA205" s="9"/>
      <c r="ALB205" s="9"/>
      <c r="ALC205" s="9"/>
      <c r="ALD205" s="9"/>
      <c r="ALE205" s="9"/>
      <c r="ALF205" s="9"/>
      <c r="ALG205" s="9"/>
      <c r="ALH205" s="9"/>
      <c r="ALI205" s="9"/>
      <c r="ALJ205" s="9"/>
      <c r="ALK205" s="9"/>
      <c r="ALL205" s="9"/>
      <c r="ALM205" s="9"/>
      <c r="ALN205" s="9"/>
      <c r="ALO205" s="9"/>
      <c r="ALP205" s="9"/>
      <c r="ALQ205" s="9"/>
      <c r="ALR205" s="9"/>
      <c r="ALS205" s="9"/>
      <c r="ALT205" s="9"/>
      <c r="ALU205" s="9"/>
      <c r="ALV205" s="9"/>
      <c r="ALW205" s="9"/>
      <c r="ALX205" s="9"/>
      <c r="ALY205" s="9"/>
      <c r="ALZ205" s="9"/>
      <c r="AMA205" s="9"/>
      <c r="AMB205" s="9"/>
      <c r="AMC205" s="9"/>
      <c r="AMD205" s="9"/>
      <c r="AME205" s="9"/>
      <c r="AMF205" s="9"/>
      <c r="AMG205" s="9"/>
      <c r="AMH205" s="9"/>
      <c r="AMI205" s="9"/>
      <c r="AMJ205" s="9"/>
      <c r="AMK205" s="9"/>
      <c r="AML205" s="9"/>
      <c r="AMM205" s="9"/>
      <c r="AMN205" s="9"/>
      <c r="AMO205" s="9"/>
    </row>
    <row r="206" spans="1:1030" x14ac:dyDescent="0.2">
      <c r="A206" s="3" t="str">
        <f t="shared" si="1007"/>
        <v>cxcr4_human__wt</v>
      </c>
      <c r="B206" s="3" t="s">
        <v>1171</v>
      </c>
      <c r="C206" s="3" t="s">
        <v>100</v>
      </c>
      <c r="D206" s="3" t="str">
        <f>IFERROR(MID(VLOOKUP($B206,Seqs!$A:$B,2,0),E206,1),"")</f>
        <v>R</v>
      </c>
      <c r="E206" s="3">
        <v>30</v>
      </c>
      <c r="F206" s="3" t="str">
        <f>IFERROR(MID(VLOOKUP($B206,Seqs!$A:$B,2,0),G206,1),"")</f>
        <v>Q</v>
      </c>
      <c r="G206" s="3">
        <v>66</v>
      </c>
      <c r="H206" s="3" t="str">
        <f>IFERROR(MID(VLOOKUP($B206,Seqs!$A:$B,2,0),I206,1),"")</f>
        <v>K</v>
      </c>
      <c r="I206" s="23">
        <v>67</v>
      </c>
      <c r="J206" s="3" t="str">
        <f>IFERROR(MID(VLOOKUP($B206,Seqs!$A:$B,2,0),K206,1),"")</f>
        <v>R</v>
      </c>
      <c r="K206" s="23">
        <v>70</v>
      </c>
      <c r="L206" s="3" t="str">
        <f>IFERROR(MID(VLOOKUP($B206,Seqs!$A:$B,2,0),M206,1),"")</f>
        <v>S</v>
      </c>
      <c r="M206" s="3">
        <v>71</v>
      </c>
      <c r="N206" s="3" t="str">
        <f>IFERROR(MID(VLOOKUP($B206,Seqs!$A:$B,2,0),O206,1),"")</f>
        <v>A</v>
      </c>
      <c r="O206" s="3">
        <v>100</v>
      </c>
      <c r="P206" s="3" t="str">
        <f>IFERROR(MID(VLOOKUP($B206,Seqs!$A:$B,2,0),Q206,1),"")</f>
        <v>N</v>
      </c>
      <c r="Q206" s="3">
        <v>101</v>
      </c>
      <c r="R206" s="3" t="str">
        <f>IFERROR(MID(VLOOKUP($B206,Seqs!$A:$B,2,0),S206,1),"")</f>
        <v>F</v>
      </c>
      <c r="S206" s="3">
        <v>104</v>
      </c>
      <c r="T206" s="3" t="str">
        <f>IFERROR(MID(VLOOKUP($B206,Seqs!$A:$B,2,0),U206,1),"")</f>
        <v>G</v>
      </c>
      <c r="U206" s="3">
        <v>105</v>
      </c>
      <c r="V206" s="3" t="str">
        <f>IFERROR(MID(VLOOKUP($B206,Seqs!$A:$B,2,0),W206,1),"")</f>
        <v>H</v>
      </c>
      <c r="W206" s="3">
        <v>140</v>
      </c>
      <c r="X206" s="3" t="str">
        <f>IFERROR(MID(VLOOKUP($B206,Seqs!$A:$B,2,0),Y206,1),"")</f>
        <v>A</v>
      </c>
      <c r="Y206" s="3">
        <v>141</v>
      </c>
      <c r="Z206" s="3" t="str">
        <f>IFERROR(MID(VLOOKUP($B206,Seqs!$A:$B,2,0),AA206,1),"")</f>
        <v>R</v>
      </c>
      <c r="AA206" s="3">
        <v>148</v>
      </c>
      <c r="AB206" s="3" t="str">
        <f>IFERROR(MID(VLOOKUP($B206,Seqs!$A:$B,2,0),AC206,1),"")</f>
        <v>K</v>
      </c>
      <c r="AC206" s="9">
        <v>149</v>
      </c>
      <c r="AD206" s="3" t="str">
        <f>IFERROR(MID(VLOOKUP($B206,Seqs!$A:$B,2,0),AE206,1),"")</f>
        <v>A</v>
      </c>
      <c r="AE206" s="3">
        <v>175</v>
      </c>
      <c r="AF206" s="3" t="str">
        <f>IFERROR(MID(VLOOKUP($B206,Seqs!$A:$B,2,0),AG206,1),"")</f>
        <v>C</v>
      </c>
      <c r="AG206" s="3">
        <v>186</v>
      </c>
      <c r="AH206" s="3" t="str">
        <f>IFERROR(MID(VLOOKUP($B206,Seqs!$A:$B,2,0),AI206,1),"")</f>
        <v>R</v>
      </c>
      <c r="AI206" s="3">
        <v>188</v>
      </c>
      <c r="AJ206" s="3" t="str">
        <f>IFERROR(MID(VLOOKUP($B206,Seqs!$A:$B,2,0),AK206,1),"")</f>
        <v>D</v>
      </c>
      <c r="AK206" s="3">
        <v>193</v>
      </c>
      <c r="AL206" s="3" t="str">
        <f>IFERROR(MID(VLOOKUP($B206,Seqs!$A:$B,2,0),AM206,1),"")</f>
        <v>S</v>
      </c>
      <c r="AM206" s="3">
        <v>229</v>
      </c>
      <c r="AN206" s="3" t="str">
        <f>IFERROR(MID(VLOOKUP($B206,Seqs!$A:$B,2,0),AO206,1),"")</f>
        <v>K</v>
      </c>
      <c r="AO206" s="3">
        <v>234</v>
      </c>
      <c r="AP206" s="3" t="str">
        <f>IFERROR(MID(VLOOKUP($B206,Seqs!$A:$B,2,0),AQ206,1),"")</f>
        <v>E</v>
      </c>
      <c r="AQ206" s="3">
        <v>268</v>
      </c>
      <c r="AR206" s="3" t="str">
        <f>IFERROR(MID(VLOOKUP($B206,Seqs!$A:$B,2,0),AS206,1),"")</f>
        <v>G</v>
      </c>
      <c r="AS206" s="3">
        <v>273</v>
      </c>
      <c r="AT206" s="3" t="str">
        <f>IFERROR(MID(VLOOKUP($B206,Seqs!$A:$B,2,0),AU206,1),"")</f>
        <v>L</v>
      </c>
      <c r="AU206" s="3">
        <v>305</v>
      </c>
      <c r="AV206" s="3" t="str">
        <f>IFERROR(MID(VLOOKUP($B206,Seqs!$A:$B,2,0),AW206,1),"")</f>
        <v>G</v>
      </c>
      <c r="AW206" s="3">
        <v>306</v>
      </c>
      <c r="AX206" s="3" t="str">
        <f>IFERROR(MID(VLOOKUP($B206,Seqs!$A:$B,2,0),AY206,1),"")</f>
        <v>T</v>
      </c>
      <c r="AY206" s="3">
        <v>318</v>
      </c>
      <c r="AZ206" s="77" t="str">
        <f>VLOOKUP(B206,Classification!A:D,2,0)</f>
        <v>A</v>
      </c>
      <c r="BA206" s="94" t="str">
        <f>VLOOKUP(B206,Classification!A:D,4,0)</f>
        <v>Chemokine</v>
      </c>
      <c r="BB206" s="27" t="b">
        <f t="shared" si="1008"/>
        <v>1</v>
      </c>
      <c r="BC206" s="23">
        <f t="shared" ref="BC206:BC214" si="1679">_xlfn.AGGREGATE(9,6,CH206:CS206)-_xlfn.AGGREGATE(9,6,BV206:CG206)+12</f>
        <v>267</v>
      </c>
      <c r="BD206" s="34" t="s">
        <v>23</v>
      </c>
      <c r="BE206" s="3" t="s">
        <v>23</v>
      </c>
      <c r="BF206" s="118" t="s">
        <v>23</v>
      </c>
      <c r="BG206" s="49" t="s">
        <v>1372</v>
      </c>
      <c r="BH206" s="49" t="s">
        <v>1377</v>
      </c>
      <c r="BI206" s="1"/>
      <c r="BJ206" s="70" t="s">
        <v>1287</v>
      </c>
      <c r="BK206" s="57" t="s">
        <v>1287</v>
      </c>
      <c r="BL206" s="57" t="s">
        <v>1287</v>
      </c>
      <c r="BM206" s="57" t="s">
        <v>1287</v>
      </c>
      <c r="BN206" s="57" t="s">
        <v>1287</v>
      </c>
      <c r="BO206" s="57" t="s">
        <v>1287</v>
      </c>
      <c r="BP206" s="57" t="s">
        <v>1287</v>
      </c>
      <c r="BQ206" s="57" t="s">
        <v>1287</v>
      </c>
      <c r="BR206" s="57" t="s">
        <v>1287</v>
      </c>
      <c r="BS206" s="57" t="s">
        <v>1287</v>
      </c>
      <c r="BT206" s="57" t="s">
        <v>1287</v>
      </c>
      <c r="BU206" s="57" t="s">
        <v>1287</v>
      </c>
      <c r="BV206" s="70">
        <f t="shared" ref="BV206:BV214" si="1680">E206</f>
        <v>30</v>
      </c>
      <c r="BW206" s="71">
        <f t="shared" ref="BW206:BW214" si="1681">I206</f>
        <v>67</v>
      </c>
      <c r="BX206" s="72">
        <f t="shared" ref="BX206:BX214" si="1682">M206</f>
        <v>71</v>
      </c>
      <c r="BY206" s="71">
        <f t="shared" ref="BY206:BY214" si="1683">Q206</f>
        <v>101</v>
      </c>
      <c r="BZ206" s="72">
        <f t="shared" ref="BZ206:BZ214" si="1684">U206</f>
        <v>105</v>
      </c>
      <c r="CA206" s="71">
        <f t="shared" ref="CA206:CA214" si="1685">Y206</f>
        <v>141</v>
      </c>
      <c r="CB206" s="72">
        <f t="shared" ref="CB206:CB214" si="1686">AC206</f>
        <v>149</v>
      </c>
      <c r="CC206" s="71">
        <f t="shared" ref="CC206:CC214" si="1687">AG206</f>
        <v>186</v>
      </c>
      <c r="CD206" s="72">
        <f t="shared" ref="CD206:CD214" si="1688">AK206</f>
        <v>193</v>
      </c>
      <c r="CE206" s="71">
        <f t="shared" ref="CE206:CE214" si="1689">AO206</f>
        <v>234</v>
      </c>
      <c r="CF206" s="72">
        <f t="shared" ref="CF206:CF214" si="1690">AS206</f>
        <v>273</v>
      </c>
      <c r="CG206" s="71">
        <f t="shared" ref="CG206:CG214" si="1691">AW206</f>
        <v>306</v>
      </c>
      <c r="CH206" s="70">
        <f t="shared" ref="CH206:CH214" si="1692">G206</f>
        <v>66</v>
      </c>
      <c r="CI206" s="71">
        <f t="shared" ref="CI206:CI214" si="1693">K206</f>
        <v>70</v>
      </c>
      <c r="CJ206" s="72">
        <f t="shared" ref="CJ206:CJ214" si="1694">O206</f>
        <v>100</v>
      </c>
      <c r="CK206" s="72">
        <f t="shared" ref="CK206:CK214" si="1695">S206</f>
        <v>104</v>
      </c>
      <c r="CL206" s="72">
        <f t="shared" ref="CL206:CL214" si="1696">W206</f>
        <v>140</v>
      </c>
      <c r="CM206" s="72">
        <f t="shared" ref="CM206:CM214" si="1697">AA206</f>
        <v>148</v>
      </c>
      <c r="CN206" s="72">
        <f t="shared" ref="CN206:CN214" si="1698">AE206</f>
        <v>175</v>
      </c>
      <c r="CO206" s="72">
        <f t="shared" ref="CO206:CO214" si="1699">AI206</f>
        <v>188</v>
      </c>
      <c r="CP206" s="72">
        <f t="shared" ref="CP206:CP214" si="1700">AM206</f>
        <v>229</v>
      </c>
      <c r="CQ206" s="72">
        <f t="shared" ref="CQ206:CQ214" si="1701">AQ206</f>
        <v>268</v>
      </c>
      <c r="CR206" s="72">
        <f t="shared" ref="CR206:CR214" si="1702">AU206</f>
        <v>305</v>
      </c>
      <c r="CS206" s="72">
        <f t="shared" ref="CS206:CS214" si="1703">AY206</f>
        <v>318</v>
      </c>
      <c r="CT206" s="23">
        <f t="shared" ref="CT206:CT214" si="1704">M206-K206</f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30" x14ac:dyDescent="0.2">
      <c r="A207" s="3" t="str">
        <f t="shared" si="1007"/>
        <v>cxcr4_human_3ODU</v>
      </c>
      <c r="B207" s="3" t="s">
        <v>1171</v>
      </c>
      <c r="C207" s="3" t="s">
        <v>63</v>
      </c>
      <c r="D207" s="3" t="str">
        <f>IFERROR(MID(VLOOKUP($B207,Seqs!$A:$B,2,0),E207,1),"")</f>
        <v>A</v>
      </c>
      <c r="E207" s="3">
        <v>34</v>
      </c>
      <c r="F207" s="3" t="str">
        <f>IFERROR(MID(VLOOKUP($B207,Seqs!$A:$B,2,0),G207,1),"")</f>
        <v>Q</v>
      </c>
      <c r="G207" s="3">
        <v>66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S</v>
      </c>
      <c r="M207" s="3">
        <v>71</v>
      </c>
      <c r="N207" s="3" t="str">
        <f>IFERROR(MID(VLOOKUP($B207,Seqs!$A:$B,2,0),O207,1),"")</f>
        <v>A</v>
      </c>
      <c r="O207" s="3">
        <v>100</v>
      </c>
      <c r="P207" s="3" t="str">
        <f>IFERROR(MID(VLOOKUP($B207,Seqs!$A:$B,2,0),Q207,1),"")</f>
        <v>N</v>
      </c>
      <c r="Q207" s="3">
        <v>101</v>
      </c>
      <c r="R207" s="3" t="str">
        <f>IFERROR(MID(VLOOKUP($B207,Seqs!$A:$B,2,0),S207,1),"")</f>
        <v>F</v>
      </c>
      <c r="S207" s="3">
        <v>104</v>
      </c>
      <c r="T207" s="3" t="str">
        <f>IFERROR(MID(VLOOKUP($B207,Seqs!$A:$B,2,0),U207,1),"")</f>
        <v>G</v>
      </c>
      <c r="U207" s="3">
        <v>105</v>
      </c>
      <c r="V207" s="3" t="str">
        <f>IFERROR(MID(VLOOKUP($B207,Seqs!$A:$B,2,0),W207,1),"")</f>
        <v>H</v>
      </c>
      <c r="W207" s="3">
        <v>140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S</v>
      </c>
      <c r="AC207" s="9">
        <v>144</v>
      </c>
      <c r="AD207" s="3" t="str">
        <f>IFERROR(MID(VLOOKUP($B207,Seqs!$A:$B,2,0),AE207,1),"")</f>
        <v>A</v>
      </c>
      <c r="AE207" s="3">
        <v>175</v>
      </c>
      <c r="AF207" s="3" t="str">
        <f>IFERROR(MID(VLOOKUP($B207,Seqs!$A:$B,2,0),AG207,1),"")</f>
        <v>C</v>
      </c>
      <c r="AG207" s="3">
        <v>186</v>
      </c>
      <c r="AH207" s="3" t="str">
        <f>IFERROR(MID(VLOOKUP($B207,Seqs!$A:$B,2,0),AI207,1),"")</f>
        <v>R</v>
      </c>
      <c r="AI207" s="3">
        <v>188</v>
      </c>
      <c r="AJ207" s="3" t="str">
        <f>IFERROR(MID(VLOOKUP($B207,Seqs!$A:$B,2,0),AK207,1),"")</f>
        <v>D</v>
      </c>
      <c r="AK207" s="3">
        <v>193</v>
      </c>
      <c r="AL207" s="3" t="str">
        <f>IFERROR(MID(VLOOKUP($B207,Seqs!$A:$B,2,0),AM207,1),"")</f>
        <v>K</v>
      </c>
      <c r="AM207" s="3">
        <v>225</v>
      </c>
      <c r="AN207" s="3" t="str">
        <f>IFERROR(MID(VLOOKUP($B207,Seqs!$A:$B,2,0),AO207,1),"")</f>
        <v>G</v>
      </c>
      <c r="AO207" s="3">
        <v>231</v>
      </c>
      <c r="AP207" s="3" t="str">
        <f>IFERROR(MID(VLOOKUP($B207,Seqs!$A:$B,2,0),AQ207,1),"")</f>
        <v>E</v>
      </c>
      <c r="AQ207" s="3">
        <v>268</v>
      </c>
      <c r="AR207" s="3" t="str">
        <f>IFERROR(MID(VLOOKUP($B207,Seqs!$A:$B,2,0),AS207,1),"")</f>
        <v>G</v>
      </c>
      <c r="AS207" s="3">
        <v>273</v>
      </c>
      <c r="AT207" s="3" t="str">
        <f>IFERROR(MID(VLOOKUP($B207,Seqs!$A:$B,2,0),AU207,1),"")</f>
        <v>I</v>
      </c>
      <c r="AU207" s="3">
        <v>300</v>
      </c>
      <c r="AV207" s="3" t="str">
        <f>IFERROR(MID(VLOOKUP($B207,Seqs!$A:$B,2,0),AW207,1),"")</f>
        <v/>
      </c>
      <c r="AW207" s="3" t="s">
        <v>23</v>
      </c>
      <c r="AX207" s="3" t="str">
        <f>IFERROR(MID(VLOOKUP($B207,Seqs!$A:$B,2,0),AY207,1),"")</f>
        <v/>
      </c>
      <c r="AY207" s="3" t="s">
        <v>23</v>
      </c>
      <c r="AZ207" s="77" t="str">
        <f>VLOOKUP(B207,Classification!A:D,2,0)</f>
        <v>A</v>
      </c>
      <c r="BA207" s="94" t="str">
        <f>VLOOKUP(B207,Classification!A:D,4,0)</f>
        <v>Chemokine</v>
      </c>
      <c r="BB207" s="27" t="b">
        <f t="shared" si="1008"/>
        <v>1</v>
      </c>
      <c r="BC207" s="23">
        <f t="shared" si="1679"/>
        <v>240</v>
      </c>
      <c r="BD207" s="2" t="s">
        <v>1376</v>
      </c>
      <c r="BE207" s="3" t="s">
        <v>1374</v>
      </c>
      <c r="BF207" s="118">
        <v>2.5</v>
      </c>
      <c r="BG207" s="49" t="s">
        <v>1377</v>
      </c>
      <c r="BH207" s="49" t="s">
        <v>1377</v>
      </c>
      <c r="BI207" s="1"/>
      <c r="BJ207" s="70" t="s">
        <v>1287</v>
      </c>
      <c r="BK207" s="57" t="s">
        <v>1287</v>
      </c>
      <c r="BL207" s="57" t="s">
        <v>1287</v>
      </c>
      <c r="BM207" s="57" t="s">
        <v>1287</v>
      </c>
      <c r="BN207" s="57" t="s">
        <v>1287</v>
      </c>
      <c r="BO207" s="57" t="s">
        <v>1287</v>
      </c>
      <c r="BP207" s="57" t="s">
        <v>1287</v>
      </c>
      <c r="BQ207" s="57" t="s">
        <v>1287</v>
      </c>
      <c r="BR207" s="57" t="s">
        <v>1287</v>
      </c>
      <c r="BS207" s="57" t="s">
        <v>1287</v>
      </c>
      <c r="BT207" s="57" t="s">
        <v>1287</v>
      </c>
      <c r="BU207" s="57" t="s">
        <v>1287</v>
      </c>
      <c r="BV207" s="70">
        <f t="shared" si="1680"/>
        <v>34</v>
      </c>
      <c r="BW207" s="71" t="str">
        <f t="shared" si="1681"/>
        <v>-</v>
      </c>
      <c r="BX207" s="72">
        <f t="shared" si="1682"/>
        <v>71</v>
      </c>
      <c r="BY207" s="71">
        <f t="shared" si="1683"/>
        <v>101</v>
      </c>
      <c r="BZ207" s="72">
        <f t="shared" si="1684"/>
        <v>105</v>
      </c>
      <c r="CA207" s="71" t="str">
        <f t="shared" si="1685"/>
        <v>-</v>
      </c>
      <c r="CB207" s="72">
        <f t="shared" si="1686"/>
        <v>144</v>
      </c>
      <c r="CC207" s="71">
        <f t="shared" si="1687"/>
        <v>186</v>
      </c>
      <c r="CD207" s="72">
        <f t="shared" si="1688"/>
        <v>193</v>
      </c>
      <c r="CE207" s="71">
        <f t="shared" si="1689"/>
        <v>231</v>
      </c>
      <c r="CF207" s="72">
        <f t="shared" si="1690"/>
        <v>273</v>
      </c>
      <c r="CG207" s="71" t="str">
        <f t="shared" si="1691"/>
        <v>-</v>
      </c>
      <c r="CH207" s="70">
        <f t="shared" si="1692"/>
        <v>66</v>
      </c>
      <c r="CI207" s="71" t="str">
        <f t="shared" si="1693"/>
        <v>-</v>
      </c>
      <c r="CJ207" s="72">
        <f t="shared" si="1694"/>
        <v>100</v>
      </c>
      <c r="CK207" s="72">
        <f t="shared" si="1695"/>
        <v>104</v>
      </c>
      <c r="CL207" s="72">
        <f t="shared" si="1696"/>
        <v>140</v>
      </c>
      <c r="CM207" s="72" t="str">
        <f t="shared" si="1697"/>
        <v>-</v>
      </c>
      <c r="CN207" s="72">
        <f t="shared" si="1698"/>
        <v>175</v>
      </c>
      <c r="CO207" s="72">
        <f t="shared" si="1699"/>
        <v>188</v>
      </c>
      <c r="CP207" s="72">
        <f t="shared" si="1700"/>
        <v>225</v>
      </c>
      <c r="CQ207" s="72">
        <f t="shared" si="1701"/>
        <v>268</v>
      </c>
      <c r="CR207" s="72">
        <f t="shared" si="1702"/>
        <v>300</v>
      </c>
      <c r="CS207" s="72" t="str">
        <f t="shared" si="1703"/>
        <v>-</v>
      </c>
      <c r="CT207" s="23" t="e">
        <f t="shared" si="1704"/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30" x14ac:dyDescent="0.2">
      <c r="A208" s="3" t="str">
        <f t="shared" si="1007"/>
        <v>cxcr4_human_3OE0</v>
      </c>
      <c r="B208" s="3" t="s">
        <v>1171</v>
      </c>
      <c r="C208" s="3" t="s">
        <v>1031</v>
      </c>
      <c r="D208" s="3" t="str">
        <f>IFERROR(MID(VLOOKUP($B208,Seqs!$A:$B,2,0),E208,1),"")</f>
        <v>A</v>
      </c>
      <c r="E208" s="3">
        <v>34</v>
      </c>
      <c r="F208" s="3" t="str">
        <f>IFERROR(MID(VLOOKUP($B208,Seqs!$A:$B,2,0),G208,1),"")</f>
        <v>Q</v>
      </c>
      <c r="G208" s="3">
        <v>66</v>
      </c>
      <c r="H208" s="3" t="str">
        <f>IFERROR(MID(VLOOKUP($B208,Seqs!$A:$B,2,0),I208,1),"")</f>
        <v/>
      </c>
      <c r="I208" s="23" t="s">
        <v>23</v>
      </c>
      <c r="J208" s="3" t="str">
        <f>IFERROR(MID(VLOOKUP($B208,Seqs!$A:$B,2,0),K208,1),"")</f>
        <v/>
      </c>
      <c r="K208" s="23" t="s">
        <v>23</v>
      </c>
      <c r="L208" s="3" t="str">
        <f>IFERROR(MID(VLOOKUP($B208,Seqs!$A:$B,2,0),M208,1),"")</f>
        <v>S</v>
      </c>
      <c r="M208" s="3">
        <v>71</v>
      </c>
      <c r="N208" s="3" t="str">
        <f>IFERROR(MID(VLOOKUP($B208,Seqs!$A:$B,2,0),O208,1),"")</f>
        <v>A</v>
      </c>
      <c r="O208" s="3">
        <v>100</v>
      </c>
      <c r="P208" s="3" t="str">
        <f>IFERROR(MID(VLOOKUP($B208,Seqs!$A:$B,2,0),Q208,1),"")</f>
        <v>N</v>
      </c>
      <c r="Q208" s="3">
        <v>101</v>
      </c>
      <c r="R208" s="3" t="str">
        <f>IFERROR(MID(VLOOKUP($B208,Seqs!$A:$B,2,0),S208,1),"")</f>
        <v>F</v>
      </c>
      <c r="S208" s="3">
        <v>104</v>
      </c>
      <c r="T208" s="3" t="str">
        <f>IFERROR(MID(VLOOKUP($B208,Seqs!$A:$B,2,0),U208,1),"")</f>
        <v>G</v>
      </c>
      <c r="U208" s="3">
        <v>105</v>
      </c>
      <c r="V208" s="3" t="str">
        <f>IFERROR(MID(VLOOKUP($B208,Seqs!$A:$B,2,0),W208,1),"")</f>
        <v>H</v>
      </c>
      <c r="W208" s="3">
        <v>140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S</v>
      </c>
      <c r="AC208" s="9">
        <v>144</v>
      </c>
      <c r="AD208" s="3" t="str">
        <f>IFERROR(MID(VLOOKUP($B208,Seqs!$A:$B,2,0),AE208,1),"")</f>
        <v>A</v>
      </c>
      <c r="AE208" s="3">
        <v>175</v>
      </c>
      <c r="AF208" s="3" t="str">
        <f>IFERROR(MID(VLOOKUP($B208,Seqs!$A:$B,2,0),AG208,1),"")</f>
        <v>C</v>
      </c>
      <c r="AG208" s="3">
        <v>186</v>
      </c>
      <c r="AH208" s="3" t="str">
        <f>IFERROR(MID(VLOOKUP($B208,Seqs!$A:$B,2,0),AI208,1),"")</f>
        <v>R</v>
      </c>
      <c r="AI208" s="3">
        <v>188</v>
      </c>
      <c r="AJ208" s="3" t="str">
        <f>IFERROR(MID(VLOOKUP($B208,Seqs!$A:$B,2,0),AK208,1),"")</f>
        <v>D</v>
      </c>
      <c r="AK208" s="3">
        <v>193</v>
      </c>
      <c r="AL208" s="3" t="str">
        <f>IFERROR(MID(VLOOKUP($B208,Seqs!$A:$B,2,0),AM208,1),"")</f>
        <v>H</v>
      </c>
      <c r="AM208" s="3">
        <v>228</v>
      </c>
      <c r="AN208" s="3" t="str">
        <f>IFERROR(MID(VLOOKUP($B208,Seqs!$A:$B,2,0),AO208,1),"")</f>
        <v>K</v>
      </c>
      <c r="AO208" s="3">
        <v>239</v>
      </c>
      <c r="AP208" s="3" t="str">
        <f>IFERROR(MID(VLOOKUP($B208,Seqs!$A:$B,2,0),AQ208,1),"")</f>
        <v>E</v>
      </c>
      <c r="AQ208" s="3">
        <v>268</v>
      </c>
      <c r="AR208" s="3" t="str">
        <f>IFERROR(MID(VLOOKUP($B208,Seqs!$A:$B,2,0),AS208,1),"")</f>
        <v>G</v>
      </c>
      <c r="AS208" s="3">
        <v>273</v>
      </c>
      <c r="AT208" s="3" t="str">
        <f>IFERROR(MID(VLOOKUP($B208,Seqs!$A:$B,2,0),AU208,1),"")</f>
        <v>I</v>
      </c>
      <c r="AU208" s="3">
        <v>300</v>
      </c>
      <c r="AV208" s="3" t="str">
        <f>IFERROR(MID(VLOOKUP($B208,Seqs!$A:$B,2,0),AW208,1),"")</f>
        <v/>
      </c>
      <c r="AW208" s="3" t="s">
        <v>23</v>
      </c>
      <c r="AX208" s="3" t="str">
        <f>IFERROR(MID(VLOOKUP($B208,Seqs!$A:$B,2,0),AY208,1),"")</f>
        <v/>
      </c>
      <c r="AY208" s="3" t="s">
        <v>23</v>
      </c>
      <c r="AZ208" s="77" t="str">
        <f>VLOOKUP(B208,Classification!A:D,2,0)</f>
        <v>A</v>
      </c>
      <c r="BA208" s="94" t="str">
        <f>VLOOKUP(B208,Classification!A:D,4,0)</f>
        <v>Chemokine</v>
      </c>
      <c r="BB208" s="27" t="b">
        <f t="shared" si="1008"/>
        <v>1</v>
      </c>
      <c r="BC208" s="23">
        <f t="shared" si="1679"/>
        <v>235</v>
      </c>
      <c r="BD208" s="4" t="s">
        <v>23</v>
      </c>
      <c r="BE208" s="3" t="s">
        <v>1374</v>
      </c>
      <c r="BF208" s="118">
        <v>2.9</v>
      </c>
      <c r="BG208" s="49" t="s">
        <v>1377</v>
      </c>
      <c r="BH208" s="49" t="s">
        <v>1377</v>
      </c>
      <c r="BI208" s="1"/>
      <c r="BJ208" s="70" t="s">
        <v>1287</v>
      </c>
      <c r="BK208" s="57" t="s">
        <v>1287</v>
      </c>
      <c r="BL208" s="57" t="s">
        <v>1287</v>
      </c>
      <c r="BM208" s="57" t="s">
        <v>1287</v>
      </c>
      <c r="BN208" s="57" t="s">
        <v>1287</v>
      </c>
      <c r="BO208" s="57" t="s">
        <v>1287</v>
      </c>
      <c r="BP208" s="57" t="s">
        <v>1287</v>
      </c>
      <c r="BQ208" s="57" t="s">
        <v>1287</v>
      </c>
      <c r="BR208" s="57" t="s">
        <v>1287</v>
      </c>
      <c r="BS208" s="57" t="s">
        <v>1287</v>
      </c>
      <c r="BT208" s="57" t="s">
        <v>1287</v>
      </c>
      <c r="BU208" s="57" t="s">
        <v>1287</v>
      </c>
      <c r="BV208" s="70">
        <f t="shared" si="1680"/>
        <v>34</v>
      </c>
      <c r="BW208" s="71" t="str">
        <f t="shared" si="1681"/>
        <v>-</v>
      </c>
      <c r="BX208" s="72">
        <f t="shared" si="1682"/>
        <v>71</v>
      </c>
      <c r="BY208" s="71">
        <f t="shared" si="1683"/>
        <v>101</v>
      </c>
      <c r="BZ208" s="72">
        <f t="shared" si="1684"/>
        <v>105</v>
      </c>
      <c r="CA208" s="71" t="str">
        <f t="shared" si="1685"/>
        <v>-</v>
      </c>
      <c r="CB208" s="72">
        <f t="shared" si="1686"/>
        <v>144</v>
      </c>
      <c r="CC208" s="71">
        <f t="shared" si="1687"/>
        <v>186</v>
      </c>
      <c r="CD208" s="72">
        <f t="shared" si="1688"/>
        <v>193</v>
      </c>
      <c r="CE208" s="71">
        <f t="shared" si="1689"/>
        <v>239</v>
      </c>
      <c r="CF208" s="72">
        <f t="shared" si="1690"/>
        <v>273</v>
      </c>
      <c r="CG208" s="71" t="str">
        <f t="shared" si="1691"/>
        <v>-</v>
      </c>
      <c r="CH208" s="70">
        <f t="shared" si="1692"/>
        <v>66</v>
      </c>
      <c r="CI208" s="71" t="str">
        <f t="shared" si="1693"/>
        <v>-</v>
      </c>
      <c r="CJ208" s="72">
        <f t="shared" si="1694"/>
        <v>100</v>
      </c>
      <c r="CK208" s="72">
        <f t="shared" si="1695"/>
        <v>104</v>
      </c>
      <c r="CL208" s="72">
        <f t="shared" si="1696"/>
        <v>140</v>
      </c>
      <c r="CM208" s="72" t="str">
        <f t="shared" si="1697"/>
        <v>-</v>
      </c>
      <c r="CN208" s="72">
        <f t="shared" si="1698"/>
        <v>175</v>
      </c>
      <c r="CO208" s="72">
        <f t="shared" si="1699"/>
        <v>188</v>
      </c>
      <c r="CP208" s="72">
        <f t="shared" si="1700"/>
        <v>228</v>
      </c>
      <c r="CQ208" s="72">
        <f t="shared" si="1701"/>
        <v>268</v>
      </c>
      <c r="CR208" s="72">
        <f t="shared" si="1702"/>
        <v>300</v>
      </c>
      <c r="CS208" s="72" t="str">
        <f t="shared" si="1703"/>
        <v>-</v>
      </c>
      <c r="CT208" s="23" t="e">
        <f t="shared" si="1704"/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29" x14ac:dyDescent="0.2">
      <c r="A209" s="3" t="str">
        <f t="shared" si="1007"/>
        <v>cxcr4_human_4RWS</v>
      </c>
      <c r="B209" s="3" t="s">
        <v>1171</v>
      </c>
      <c r="C209" s="3" t="s">
        <v>1052</v>
      </c>
      <c r="D209" s="3" t="str">
        <f>IFERROR(MID(VLOOKUP($B209,Seqs!$A:$B,2,0),E209,1),"")</f>
        <v>R</v>
      </c>
      <c r="E209" s="3">
        <v>30</v>
      </c>
      <c r="F209" s="3" t="str">
        <f>IFERROR(MID(VLOOKUP($B209,Seqs!$A:$B,2,0),G209,1),"")</f>
        <v>Q</v>
      </c>
      <c r="G209" s="3">
        <v>66</v>
      </c>
      <c r="H209" s="3" t="str">
        <f>IFERROR(MID(VLOOKUP($B209,Seqs!$A:$B,2,0),I209,1),"")</f>
        <v/>
      </c>
      <c r="I209" s="23" t="s">
        <v>23</v>
      </c>
      <c r="J209" s="3" t="str">
        <f>IFERROR(MID(VLOOKUP($B209,Seqs!$A:$B,2,0),K209,1),"")</f>
        <v/>
      </c>
      <c r="K209" s="23" t="s">
        <v>23</v>
      </c>
      <c r="L209" s="3" t="str">
        <f>IFERROR(MID(VLOOKUP($B209,Seqs!$A:$B,2,0),M209,1),"")</f>
        <v>S</v>
      </c>
      <c r="M209" s="3">
        <v>71</v>
      </c>
      <c r="N209" s="3" t="str">
        <f>IFERROR(MID(VLOOKUP($B209,Seqs!$A:$B,2,0),O209,1),"")</f>
        <v>A</v>
      </c>
      <c r="O209" s="3">
        <v>100</v>
      </c>
      <c r="P209" s="3" t="str">
        <f>IFERROR(MID(VLOOKUP($B209,Seqs!$A:$B,2,0),Q209,1),"")</f>
        <v>N</v>
      </c>
      <c r="Q209" s="3">
        <v>101</v>
      </c>
      <c r="R209" s="3" t="str">
        <f>IFERROR(MID(VLOOKUP($B209,Seqs!$A:$B,2,0),S209,1),"")</f>
        <v>F</v>
      </c>
      <c r="S209" s="3">
        <v>104</v>
      </c>
      <c r="T209" s="3" t="str">
        <f>IFERROR(MID(VLOOKUP($B209,Seqs!$A:$B,2,0),U209,1),"")</f>
        <v>G</v>
      </c>
      <c r="U209" s="3">
        <v>105</v>
      </c>
      <c r="V209" s="3" t="str">
        <f>IFERROR(MID(VLOOKUP($B209,Seqs!$A:$B,2,0),W209,1),"")</f>
        <v>H</v>
      </c>
      <c r="W209" s="3">
        <v>140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S</v>
      </c>
      <c r="AC209" s="9">
        <v>144</v>
      </c>
      <c r="AD209" s="3" t="str">
        <f>IFERROR(MID(VLOOKUP($B209,Seqs!$A:$B,2,0),AE209,1),"")</f>
        <v>A</v>
      </c>
      <c r="AE209" s="3">
        <v>175</v>
      </c>
      <c r="AF209" s="3" t="str">
        <f>IFERROR(MID(VLOOKUP($B209,Seqs!$A:$B,2,0),AG209,1),"")</f>
        <v>C</v>
      </c>
      <c r="AG209" s="3">
        <v>186</v>
      </c>
      <c r="AH209" s="3" t="str">
        <f>IFERROR(MID(VLOOKUP($B209,Seqs!$A:$B,2,0),AI209,1),"")</f>
        <v>R</v>
      </c>
      <c r="AI209" s="3">
        <v>188</v>
      </c>
      <c r="AJ209" s="3" t="str">
        <f>IFERROR(MID(VLOOKUP($B209,Seqs!$A:$B,2,0),AK209,1),"")</f>
        <v>D</v>
      </c>
      <c r="AK209" s="3">
        <v>193</v>
      </c>
      <c r="AL209" s="3" t="str">
        <f>IFERROR(MID(VLOOKUP($B209,Seqs!$A:$B,2,0),AM209,1),"")</f>
        <v>S</v>
      </c>
      <c r="AM209" s="3">
        <v>227</v>
      </c>
      <c r="AN209" s="3" t="str">
        <f>IFERROR(MID(VLOOKUP($B209,Seqs!$A:$B,2,0),AO209,1),"")</f>
        <v>K</v>
      </c>
      <c r="AO209" s="3">
        <v>239</v>
      </c>
      <c r="AP209" s="3" t="str">
        <f>IFERROR(MID(VLOOKUP($B209,Seqs!$A:$B,2,0),AQ209,1),"")</f>
        <v>E</v>
      </c>
      <c r="AQ209" s="3">
        <v>268</v>
      </c>
      <c r="AR209" s="3" t="str">
        <f>IFERROR(MID(VLOOKUP($B209,Seqs!$A:$B,2,0),AS209,1),"")</f>
        <v>G</v>
      </c>
      <c r="AS209" s="3">
        <v>273</v>
      </c>
      <c r="AT209" s="3" t="str">
        <f>IFERROR(MID(VLOOKUP($B209,Seqs!$A:$B,2,0),AU209,1),"")</f>
        <v>I</v>
      </c>
      <c r="AU209" s="3">
        <v>300</v>
      </c>
      <c r="AV209" s="3" t="str">
        <f>IFERROR(MID(VLOOKUP($B209,Seqs!$A:$B,2,0),AW209,1),"")</f>
        <v/>
      </c>
      <c r="AW209" s="3" t="s">
        <v>23</v>
      </c>
      <c r="AX209" s="3" t="str">
        <f>IFERROR(MID(VLOOKUP($B209,Seqs!$A:$B,2,0),AY209,1),"")</f>
        <v/>
      </c>
      <c r="AY209" s="3" t="s">
        <v>23</v>
      </c>
      <c r="AZ209" s="77" t="str">
        <f>VLOOKUP(B209,Classification!A:D,2,0)</f>
        <v>A</v>
      </c>
      <c r="BA209" s="94" t="str">
        <f>VLOOKUP(B209,Classification!A:D,4,0)</f>
        <v>Chemokine</v>
      </c>
      <c r="BB209" s="27" t="b">
        <f t="shared" si="1008"/>
        <v>1</v>
      </c>
      <c r="BC209" s="23">
        <f t="shared" si="1679"/>
        <v>238</v>
      </c>
      <c r="BD209" s="5" t="s">
        <v>23</v>
      </c>
      <c r="BE209" s="3" t="s">
        <v>1374</v>
      </c>
      <c r="BF209" s="118">
        <v>3.1</v>
      </c>
      <c r="BG209" s="49" t="s">
        <v>1377</v>
      </c>
      <c r="BH209" s="49" t="s">
        <v>1377</v>
      </c>
      <c r="BI209" s="1"/>
      <c r="BJ209" s="70" t="s">
        <v>1287</v>
      </c>
      <c r="BK209" s="57" t="s">
        <v>1287</v>
      </c>
      <c r="BL209" s="57" t="s">
        <v>1287</v>
      </c>
      <c r="BM209" s="57" t="s">
        <v>1287</v>
      </c>
      <c r="BN209" s="57" t="s">
        <v>1287</v>
      </c>
      <c r="BO209" s="57" t="s">
        <v>1287</v>
      </c>
      <c r="BP209" s="57" t="s">
        <v>1287</v>
      </c>
      <c r="BQ209" s="57" t="s">
        <v>1287</v>
      </c>
      <c r="BR209" s="57" t="s">
        <v>1287</v>
      </c>
      <c r="BS209" s="57" t="s">
        <v>1287</v>
      </c>
      <c r="BT209" s="57" t="s">
        <v>1287</v>
      </c>
      <c r="BU209" s="57" t="s">
        <v>1287</v>
      </c>
      <c r="BV209" s="70">
        <f t="shared" si="1680"/>
        <v>30</v>
      </c>
      <c r="BW209" s="71" t="str">
        <f t="shared" si="1681"/>
        <v>-</v>
      </c>
      <c r="BX209" s="72">
        <f t="shared" si="1682"/>
        <v>71</v>
      </c>
      <c r="BY209" s="71">
        <f t="shared" si="1683"/>
        <v>101</v>
      </c>
      <c r="BZ209" s="72">
        <f t="shared" si="1684"/>
        <v>105</v>
      </c>
      <c r="CA209" s="71" t="str">
        <f t="shared" si="1685"/>
        <v>-</v>
      </c>
      <c r="CB209" s="72">
        <f t="shared" si="1686"/>
        <v>144</v>
      </c>
      <c r="CC209" s="71">
        <f t="shared" si="1687"/>
        <v>186</v>
      </c>
      <c r="CD209" s="72">
        <f t="shared" si="1688"/>
        <v>193</v>
      </c>
      <c r="CE209" s="71">
        <f t="shared" si="1689"/>
        <v>239</v>
      </c>
      <c r="CF209" s="72">
        <f t="shared" si="1690"/>
        <v>273</v>
      </c>
      <c r="CG209" s="71" t="str">
        <f t="shared" si="1691"/>
        <v>-</v>
      </c>
      <c r="CH209" s="70">
        <f t="shared" si="1692"/>
        <v>66</v>
      </c>
      <c r="CI209" s="71" t="str">
        <f t="shared" si="1693"/>
        <v>-</v>
      </c>
      <c r="CJ209" s="72">
        <f t="shared" si="1694"/>
        <v>100</v>
      </c>
      <c r="CK209" s="72">
        <f t="shared" si="1695"/>
        <v>104</v>
      </c>
      <c r="CL209" s="72">
        <f t="shared" si="1696"/>
        <v>140</v>
      </c>
      <c r="CM209" s="72" t="str">
        <f t="shared" si="1697"/>
        <v>-</v>
      </c>
      <c r="CN209" s="72">
        <f t="shared" si="1698"/>
        <v>175</v>
      </c>
      <c r="CO209" s="72">
        <f t="shared" si="1699"/>
        <v>188</v>
      </c>
      <c r="CP209" s="72">
        <f t="shared" si="1700"/>
        <v>227</v>
      </c>
      <c r="CQ209" s="72">
        <f t="shared" si="1701"/>
        <v>268</v>
      </c>
      <c r="CR209" s="72">
        <f t="shared" si="1702"/>
        <v>300</v>
      </c>
      <c r="CS209" s="72" t="str">
        <f t="shared" si="1703"/>
        <v>-</v>
      </c>
      <c r="CT209" s="23" t="e">
        <f t="shared" si="1704"/>
        <v>#VALUE!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29" x14ac:dyDescent="0.2">
      <c r="A210" s="3" t="str">
        <f>CONCATENATE(B210,"_",C210)</f>
        <v>drd2_human__wt</v>
      </c>
      <c r="B210" s="3" t="s">
        <v>191</v>
      </c>
      <c r="C210" s="3" t="s">
        <v>100</v>
      </c>
      <c r="D210" s="3" t="str">
        <f>IFERROR(MID(VLOOKUP($B210,Seqs!$A:$B,2,0),E210,1),"")</f>
        <v>R</v>
      </c>
      <c r="E210" s="3">
        <v>31</v>
      </c>
      <c r="F210" s="3" t="str">
        <f>IFERROR(MID(VLOOKUP($B210,Seqs!$A:$B,2,0),G210,1),"")</f>
        <v>E</v>
      </c>
      <c r="G210" s="3">
        <v>62</v>
      </c>
      <c r="H210" s="3" t="str">
        <f>IFERROR(MID(VLOOKUP($B210,Seqs!$A:$B,2,0),I210,1),"")</f>
        <v>K</v>
      </c>
      <c r="I210" s="23">
        <v>63</v>
      </c>
      <c r="J210" s="3" t="str">
        <f>IFERROR(MID(VLOOKUP($B210,Seqs!$A:$B,2,0),K210,1),"")</f>
        <v>Q</v>
      </c>
      <c r="K210" s="23">
        <v>66</v>
      </c>
      <c r="L210" s="3" t="str">
        <f>IFERROR(MID(VLOOKUP($B210,Seqs!$A:$B,2,0),M210,1),"")</f>
        <v>T</v>
      </c>
      <c r="M210" s="3">
        <v>67</v>
      </c>
      <c r="N210" s="3" t="str">
        <f>IFERROR(MID(VLOOKUP($B210,Seqs!$A:$B,2,0),O210,1),"")</f>
        <v>G</v>
      </c>
      <c r="O210" s="3">
        <v>98</v>
      </c>
      <c r="P210" s="3" t="str">
        <f>IFERROR(MID(VLOOKUP($B210,Seqs!$A:$B,2,0),Q210,1),"")</f>
        <v>E</v>
      </c>
      <c r="Q210" s="3">
        <v>99</v>
      </c>
      <c r="R210" s="3" t="str">
        <f>IFERROR(MID(VLOOKUP($B210,Seqs!$A:$B,2,0),S210,1),"")</f>
        <v>F</v>
      </c>
      <c r="S210" s="3">
        <v>102</v>
      </c>
      <c r="T210" s="3" t="str">
        <f>IFERROR(MID(VLOOKUP($B210,Seqs!$A:$B,2,0),U210,1),"")</f>
        <v>S</v>
      </c>
      <c r="U210" s="3">
        <v>103</v>
      </c>
      <c r="V210" s="3" t="str">
        <f>IFERROR(MID(VLOOKUP($B210,Seqs!$A:$B,2,0),W210,1),"")</f>
        <v>M</v>
      </c>
      <c r="W210" s="3">
        <v>138</v>
      </c>
      <c r="X210" s="3" t="str">
        <f>IFERROR(MID(VLOOKUP($B210,Seqs!$A:$B,2,0),Y210,1),"")</f>
        <v>P</v>
      </c>
      <c r="Y210" s="3">
        <v>139</v>
      </c>
      <c r="Z210" s="3" t="str">
        <f>IFERROR(MID(VLOOKUP($B210,Seqs!$A:$B,2,0),AA210,1),"")</f>
        <v>S</v>
      </c>
      <c r="AA210" s="3">
        <v>147</v>
      </c>
      <c r="AB210" s="3" t="str">
        <f>IFERROR(MID(VLOOKUP($B210,Seqs!$A:$B,2,0),AC210,1),"")</f>
        <v>S</v>
      </c>
      <c r="AC210" s="3">
        <v>148</v>
      </c>
      <c r="AD210" s="3" t="str">
        <f>IFERROR(MID(VLOOKUP($B210,Seqs!$A:$B,2,0),AE210,1),"")</f>
        <v>F</v>
      </c>
      <c r="AE210" s="3">
        <v>172</v>
      </c>
      <c r="AF210" s="3" t="str">
        <f>IFERROR(MID(VLOOKUP($B210,Seqs!$A:$B,2,0),AG210,1),"")</f>
        <v>C</v>
      </c>
      <c r="AG210" s="3">
        <v>182</v>
      </c>
      <c r="AH210" s="3" t="str">
        <f>IFERROR(MID(VLOOKUP($B210,Seqs!$A:$B,2,0),AI210,1),"")</f>
        <v>I</v>
      </c>
      <c r="AI210" s="3">
        <v>184</v>
      </c>
      <c r="AJ210" s="3" t="str">
        <f>IFERROR(MID(VLOOKUP($B210,Seqs!$A:$B,2,0),AK210,1),"")</f>
        <v>N</v>
      </c>
      <c r="AK210" s="3">
        <v>186</v>
      </c>
      <c r="AL210" s="3" t="str">
        <f>IFERROR(MID(VLOOKUP($B210,Seqs!$A:$B,2,0),AM210,1),"")</f>
        <v>K</v>
      </c>
      <c r="AM210" s="3">
        <v>226</v>
      </c>
      <c r="AN210" s="3" t="str">
        <f>IFERROR(MID(VLOOKUP($B210,Seqs!$A:$B,2,0),AO210,1),"")</f>
        <v>K</v>
      </c>
      <c r="AO210" s="3">
        <v>362</v>
      </c>
      <c r="AP210" s="3" t="str">
        <f>IFERROR(MID(VLOOKUP($B210,Seqs!$A:$B,2,0),AQ210,1),"")</f>
        <v>C</v>
      </c>
      <c r="AQ210" s="3">
        <v>399</v>
      </c>
      <c r="AR210" s="3" t="str">
        <f>IFERROR(MID(VLOOKUP($B210,Seqs!$A:$B,2,0),AS210,1),"")</f>
        <v>P</v>
      </c>
      <c r="AS210" s="3">
        <v>404</v>
      </c>
      <c r="AT210" s="3" t="str">
        <f>IFERROR(MID(VLOOKUP($B210,Seqs!$A:$B,2,0),AU210,1),"")</f>
        <v>F</v>
      </c>
      <c r="AU210" s="3">
        <v>429</v>
      </c>
      <c r="AV210" s="3" t="str">
        <f>IFERROR(MID(VLOOKUP($B210,Seqs!$A:$B,2,0),AW210,1),"")</f>
        <v>N</v>
      </c>
      <c r="AW210" s="3">
        <v>430</v>
      </c>
      <c r="AX210" s="3" t="str">
        <f>IFERROR(MID(VLOOKUP($B210,Seqs!$A:$B,2,0),AY210,1),"")</f>
        <v>H</v>
      </c>
      <c r="AY210" s="3">
        <v>442</v>
      </c>
      <c r="AZ210" s="77" t="str">
        <f>VLOOKUP(B210,Classification!A:D,2,0)</f>
        <v>A</v>
      </c>
      <c r="BA210" s="94" t="str">
        <f>VLOOKUP(B210,Classification!A:D,4,0)</f>
        <v>Dopamine</v>
      </c>
      <c r="BB210" s="27" t="b">
        <f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>_xlfn.AGGREGATE(9,6,CH210:CS210)-_xlfn.AGGREGATE(9,6,BV210:CG210)+12</f>
        <v>263</v>
      </c>
      <c r="BD210" s="56" t="s">
        <v>23</v>
      </c>
      <c r="BE210" s="3" t="s">
        <v>23</v>
      </c>
      <c r="BF210" s="118" t="s">
        <v>23</v>
      </c>
      <c r="BG210" s="49" t="s">
        <v>1372</v>
      </c>
      <c r="BH210" s="49" t="s">
        <v>1377</v>
      </c>
      <c r="BI210" s="1"/>
      <c r="BJ210" s="70" t="s">
        <v>1287</v>
      </c>
      <c r="BK210" s="57" t="s">
        <v>1287</v>
      </c>
      <c r="BL210" s="57" t="s">
        <v>1287</v>
      </c>
      <c r="BM210" s="57" t="s">
        <v>1287</v>
      </c>
      <c r="BN210" s="57" t="s">
        <v>1287</v>
      </c>
      <c r="BO210" s="57" t="s">
        <v>1287</v>
      </c>
      <c r="BP210" s="57" t="s">
        <v>1287</v>
      </c>
      <c r="BQ210" s="57" t="s">
        <v>1287</v>
      </c>
      <c r="BR210" s="57" t="s">
        <v>1287</v>
      </c>
      <c r="BS210" s="57" t="s">
        <v>1287</v>
      </c>
      <c r="BT210" s="57" t="s">
        <v>1287</v>
      </c>
      <c r="BU210" s="57" t="s">
        <v>1287</v>
      </c>
      <c r="BV210" s="70">
        <f>E210</f>
        <v>31</v>
      </c>
      <c r="BW210" s="71">
        <f>I210</f>
        <v>63</v>
      </c>
      <c r="BX210" s="72">
        <f>M210</f>
        <v>67</v>
      </c>
      <c r="BY210" s="71">
        <f>Q210</f>
        <v>99</v>
      </c>
      <c r="BZ210" s="72">
        <f>U210</f>
        <v>103</v>
      </c>
      <c r="CA210" s="71">
        <f>Y210</f>
        <v>139</v>
      </c>
      <c r="CB210" s="72">
        <f>AC210</f>
        <v>148</v>
      </c>
      <c r="CC210" s="71">
        <f>AG210</f>
        <v>182</v>
      </c>
      <c r="CD210" s="72">
        <f>AK210</f>
        <v>186</v>
      </c>
      <c r="CE210" s="71">
        <f>AO210</f>
        <v>362</v>
      </c>
      <c r="CF210" s="72">
        <f>AS210</f>
        <v>404</v>
      </c>
      <c r="CG210" s="71">
        <f>AW210</f>
        <v>430</v>
      </c>
      <c r="CH210" s="70">
        <f>G210</f>
        <v>62</v>
      </c>
      <c r="CI210" s="71">
        <f>K210</f>
        <v>66</v>
      </c>
      <c r="CJ210" s="72">
        <f>O210</f>
        <v>98</v>
      </c>
      <c r="CK210" s="72">
        <f>S210</f>
        <v>102</v>
      </c>
      <c r="CL210" s="72">
        <f>W210</f>
        <v>138</v>
      </c>
      <c r="CM210" s="72">
        <f>AA210</f>
        <v>147</v>
      </c>
      <c r="CN210" s="72">
        <f>AE210</f>
        <v>172</v>
      </c>
      <c r="CO210" s="72">
        <f>AI210</f>
        <v>184</v>
      </c>
      <c r="CP210" s="72">
        <f>AM210</f>
        <v>226</v>
      </c>
      <c r="CQ210" s="72">
        <f>AQ210</f>
        <v>399</v>
      </c>
      <c r="CR210" s="72">
        <f>AU210</f>
        <v>429</v>
      </c>
      <c r="CS210" s="72">
        <f>AY210</f>
        <v>442</v>
      </c>
      <c r="CT210" s="23">
        <f>M210-K210</f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29" x14ac:dyDescent="0.2">
      <c r="A211" s="3" t="str">
        <f>CONCATENATE(B211,"_",C211)</f>
        <v>drd2_human_6CM4</v>
      </c>
      <c r="B211" s="3" t="s">
        <v>191</v>
      </c>
      <c r="C211" s="3" t="s">
        <v>1476</v>
      </c>
      <c r="D211" s="3" t="str">
        <f>IFERROR(MID(VLOOKUP($B211,Seqs!$A:$B,2,0),E211,1),"")</f>
        <v>N</v>
      </c>
      <c r="E211" s="3">
        <v>35</v>
      </c>
      <c r="F211" s="3" t="str">
        <f>IFERROR(MID(VLOOKUP($B211,Seqs!$A:$B,2,0),G211,1),"")</f>
        <v>E</v>
      </c>
      <c r="G211" s="3">
        <v>62</v>
      </c>
      <c r="H211" s="3" t="str">
        <f>IFERROR(MID(VLOOKUP($B211,Seqs!$A:$B,2,0),I211,1),"")</f>
        <v>K</v>
      </c>
      <c r="I211" s="23">
        <v>63</v>
      </c>
      <c r="J211" s="3" t="str">
        <f>IFERROR(MID(VLOOKUP($B211,Seqs!$A:$B,2,0),K211,1),"")</f>
        <v>Q</v>
      </c>
      <c r="K211" s="23">
        <v>66</v>
      </c>
      <c r="L211" s="3" t="str">
        <f>IFERROR(MID(VLOOKUP($B211,Seqs!$A:$B,2,0),M211,1),"")</f>
        <v>T</v>
      </c>
      <c r="M211" s="3">
        <v>67</v>
      </c>
      <c r="N211" s="3" t="str">
        <f>IFERROR(MID(VLOOKUP($B211,Seqs!$A:$B,2,0),O211,1),"")</f>
        <v>G</v>
      </c>
      <c r="O211" s="3">
        <v>98</v>
      </c>
      <c r="P211" s="3" t="str">
        <f>IFERROR(MID(VLOOKUP($B211,Seqs!$A:$B,2,0),Q211,1),"")</f>
        <v>E</v>
      </c>
      <c r="Q211" s="3">
        <v>99</v>
      </c>
      <c r="R211" s="3" t="str">
        <f>IFERROR(MID(VLOOKUP($B211,Seqs!$A:$B,2,0),S211,1),"")</f>
        <v>F</v>
      </c>
      <c r="S211" s="3">
        <v>102</v>
      </c>
      <c r="T211" s="3" t="str">
        <f>IFERROR(MID(VLOOKUP($B211,Seqs!$A:$B,2,0),U211,1),"")</f>
        <v>S</v>
      </c>
      <c r="U211" s="3">
        <v>103</v>
      </c>
      <c r="V211" s="3" t="str">
        <f>IFERROR(MID(VLOOKUP($B211,Seqs!$A:$B,2,0),W211,1),"")</f>
        <v>M</v>
      </c>
      <c r="W211" s="3">
        <v>138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Y</v>
      </c>
      <c r="AC211" s="3">
        <v>146</v>
      </c>
      <c r="AD211" s="3" t="str">
        <f>IFERROR(MID(VLOOKUP($B211,Seqs!$A:$B,2,0),AE211,1),"")</f>
        <v>F</v>
      </c>
      <c r="AE211" s="3">
        <v>172</v>
      </c>
      <c r="AF211" s="3" t="str">
        <f>IFERROR(MID(VLOOKUP($B211,Seqs!$A:$B,2,0),AG211,1),"")</f>
        <v>C</v>
      </c>
      <c r="AG211" s="3">
        <v>182</v>
      </c>
      <c r="AH211" s="3" t="str">
        <f>IFERROR(MID(VLOOKUP($B211,Seqs!$A:$B,2,0),AI211,1),"")</f>
        <v>I</v>
      </c>
      <c r="AI211" s="3">
        <v>184</v>
      </c>
      <c r="AJ211" s="3" t="str">
        <f>IFERROR(MID(VLOOKUP($B211,Seqs!$A:$B,2,0),AK211,1),"")</f>
        <v>A</v>
      </c>
      <c r="AK211" s="3">
        <v>188</v>
      </c>
      <c r="AL211" s="3" t="str">
        <f>IFERROR(MID(VLOOKUP($B211,Seqs!$A:$B,2,0),AM211,1),"")</f>
        <v>R</v>
      </c>
      <c r="AM211" s="3">
        <v>222</v>
      </c>
      <c r="AN211" s="3" t="str">
        <f>IFERROR(MID(VLOOKUP($B211,Seqs!$A:$B,2,0),AO211,1),"")</f>
        <v>E</v>
      </c>
      <c r="AO211" s="3">
        <v>368</v>
      </c>
      <c r="AP211" s="3" t="str">
        <f>IFERROR(MID(VLOOKUP($B211,Seqs!$A:$B,2,0),AQ211,1),"")</f>
        <v>C</v>
      </c>
      <c r="AQ211" s="3">
        <v>399</v>
      </c>
      <c r="AR211" s="3" t="str">
        <f>IFERROR(MID(VLOOKUP($B211,Seqs!$A:$B,2,0),AS211,1),"")</f>
        <v>P</v>
      </c>
      <c r="AS211" s="3">
        <v>404</v>
      </c>
      <c r="AT211" s="3" t="str">
        <f>IFERROR(MID(VLOOKUP($B211,Seqs!$A:$B,2,0),AU211,1),"")</f>
        <v>F</v>
      </c>
      <c r="AU211" s="3">
        <v>429</v>
      </c>
      <c r="AV211" s="3" t="str">
        <f>IFERROR(MID(VLOOKUP($B211,Seqs!$A:$B,2,0),AW211,1),"")</f>
        <v>N</v>
      </c>
      <c r="AW211" s="3">
        <v>430</v>
      </c>
      <c r="AX211" s="3" t="str">
        <f>IFERROR(MID(VLOOKUP($B211,Seqs!$A:$B,2,0),AY211,1),"")</f>
        <v>H</v>
      </c>
      <c r="AY211" s="3">
        <v>442</v>
      </c>
      <c r="AZ211" s="77" t="str">
        <f>VLOOKUP(B211,Classification!A:D,2,0)</f>
        <v>A</v>
      </c>
      <c r="BA211" s="94" t="str">
        <f>VLOOKUP(B211,Classification!A:D,4,0)</f>
        <v>Dopamine</v>
      </c>
      <c r="BB211" s="27" t="b">
        <f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>_xlfn.AGGREGATE(9,6,CH211:CS211)-_xlfn.AGGREGATE(9,6,BV211:CG211)+12</f>
        <v>241</v>
      </c>
      <c r="BD211" s="56" t="s">
        <v>1376</v>
      </c>
      <c r="BE211" s="3" t="s">
        <v>1374</v>
      </c>
      <c r="BF211" s="118">
        <v>2.87</v>
      </c>
      <c r="BG211" s="49" t="s">
        <v>1</v>
      </c>
      <c r="BH211" s="49" t="s">
        <v>1</v>
      </c>
      <c r="BI211" s="1"/>
      <c r="BJ211" s="70" t="s">
        <v>1287</v>
      </c>
      <c r="BK211" s="57" t="s">
        <v>1287</v>
      </c>
      <c r="BL211" s="57" t="s">
        <v>1287</v>
      </c>
      <c r="BM211" s="57" t="s">
        <v>1287</v>
      </c>
      <c r="BN211" s="57" t="s">
        <v>1287</v>
      </c>
      <c r="BO211" s="57" t="s">
        <v>1287</v>
      </c>
      <c r="BP211" s="57" t="s">
        <v>1287</v>
      </c>
      <c r="BQ211" s="57" t="s">
        <v>1287</v>
      </c>
      <c r="BR211" s="57" t="s">
        <v>1287</v>
      </c>
      <c r="BS211" s="57" t="s">
        <v>1287</v>
      </c>
      <c r="BT211" s="57" t="s">
        <v>1287</v>
      </c>
      <c r="BU211" s="57" t="s">
        <v>1287</v>
      </c>
      <c r="BV211" s="70">
        <f>E211</f>
        <v>35</v>
      </c>
      <c r="BW211" s="71">
        <f>I211</f>
        <v>63</v>
      </c>
      <c r="BX211" s="72">
        <f>M211</f>
        <v>67</v>
      </c>
      <c r="BY211" s="71">
        <f>Q211</f>
        <v>99</v>
      </c>
      <c r="BZ211" s="72">
        <f>U211</f>
        <v>103</v>
      </c>
      <c r="CA211" s="71" t="str">
        <f>Y211</f>
        <v>-</v>
      </c>
      <c r="CB211" s="72">
        <f>AC211</f>
        <v>146</v>
      </c>
      <c r="CC211" s="71">
        <f>AG211</f>
        <v>182</v>
      </c>
      <c r="CD211" s="72">
        <f>AK211</f>
        <v>188</v>
      </c>
      <c r="CE211" s="71">
        <f>AO211</f>
        <v>368</v>
      </c>
      <c r="CF211" s="72">
        <f>AS211</f>
        <v>404</v>
      </c>
      <c r="CG211" s="71">
        <f>AW211</f>
        <v>430</v>
      </c>
      <c r="CH211" s="70">
        <f>G211</f>
        <v>62</v>
      </c>
      <c r="CI211" s="71">
        <f>K211</f>
        <v>66</v>
      </c>
      <c r="CJ211" s="72">
        <f>O211</f>
        <v>98</v>
      </c>
      <c r="CK211" s="72">
        <f>S211</f>
        <v>102</v>
      </c>
      <c r="CL211" s="72">
        <f>W211</f>
        <v>138</v>
      </c>
      <c r="CM211" s="72" t="str">
        <f>AA211</f>
        <v>-</v>
      </c>
      <c r="CN211" s="72">
        <f>AE211</f>
        <v>172</v>
      </c>
      <c r="CO211" s="72">
        <f>AI211</f>
        <v>184</v>
      </c>
      <c r="CP211" s="72">
        <f>AM211</f>
        <v>222</v>
      </c>
      <c r="CQ211" s="72">
        <f>AQ211</f>
        <v>399</v>
      </c>
      <c r="CR211" s="72">
        <f>AU211</f>
        <v>429</v>
      </c>
      <c r="CS211" s="72">
        <f>AY211</f>
        <v>442</v>
      </c>
      <c r="CT211" s="23">
        <f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29" s="12" customFormat="1" x14ac:dyDescent="0.2">
      <c r="A212" s="9" t="str">
        <f>CONCATENATE(B212,"_",C212)</f>
        <v>drd2_human_6LUQ</v>
      </c>
      <c r="B212" s="9" t="s">
        <v>191</v>
      </c>
      <c r="C212" s="9" t="s">
        <v>1656</v>
      </c>
      <c r="D212" s="9" t="str">
        <f>IFERROR(MID(VLOOKUP($B212,Seqs!$A:$B,2,0),E212,1),"")</f>
        <v>Y</v>
      </c>
      <c r="E212" s="9">
        <v>36</v>
      </c>
      <c r="F212" s="9" t="str">
        <f>IFERROR(MID(VLOOKUP($B212,Seqs!$A:$B,2,0),G212,1),"")</f>
        <v>E</v>
      </c>
      <c r="G212" s="9">
        <v>62</v>
      </c>
      <c r="H212" s="9" t="str">
        <f>IFERROR(MID(VLOOKUP($B212,Seqs!$A:$B,2,0),I212,1),"")</f>
        <v>K</v>
      </c>
      <c r="I212" s="109">
        <v>63</v>
      </c>
      <c r="J212" s="9" t="str">
        <f>IFERROR(MID(VLOOKUP($B212,Seqs!$A:$B,2,0),K212,1),"")</f>
        <v>Q</v>
      </c>
      <c r="K212" s="109">
        <v>66</v>
      </c>
      <c r="L212" s="9" t="str">
        <f>IFERROR(MID(VLOOKUP($B212,Seqs!$A:$B,2,0),M212,1),"")</f>
        <v>T</v>
      </c>
      <c r="M212" s="9">
        <v>67</v>
      </c>
      <c r="N212" s="9" t="str">
        <f>IFERROR(MID(VLOOKUP($B212,Seqs!$A:$B,2,0),O212,1),"")</f>
        <v>G</v>
      </c>
      <c r="O212" s="9">
        <v>98</v>
      </c>
      <c r="P212" s="9" t="str">
        <f>IFERROR(MID(VLOOKUP($B212,Seqs!$A:$B,2,0),Q212,1),"")</f>
        <v>E</v>
      </c>
      <c r="Q212" s="9">
        <v>99</v>
      </c>
      <c r="R212" s="9" t="str">
        <f>IFERROR(MID(VLOOKUP($B212,Seqs!$A:$B,2,0),S212,1),"")</f>
        <v>F</v>
      </c>
      <c r="S212" s="9">
        <v>102</v>
      </c>
      <c r="T212" s="9" t="str">
        <f>IFERROR(MID(VLOOKUP($B212,Seqs!$A:$B,2,0),U212,1),"")</f>
        <v>S</v>
      </c>
      <c r="U212" s="9">
        <v>103</v>
      </c>
      <c r="V212" s="9" t="str">
        <f>IFERROR(MID(VLOOKUP($B212,Seqs!$A:$B,2,0),W212,1),"")</f>
        <v>M</v>
      </c>
      <c r="W212" s="9">
        <v>138</v>
      </c>
      <c r="X212" s="9" t="str">
        <f>IFERROR(MID(VLOOKUP($B212,Seqs!$A:$B,2,0),Y212,1),"")</f>
        <v/>
      </c>
      <c r="Y212" s="9" t="s">
        <v>23</v>
      </c>
      <c r="Z212" s="9" t="str">
        <f>IFERROR(MID(VLOOKUP($B212,Seqs!$A:$B,2,0),AA212,1),"")</f>
        <v/>
      </c>
      <c r="AA212" s="9" t="s">
        <v>23</v>
      </c>
      <c r="AB212" s="9" t="str">
        <f>IFERROR(MID(VLOOKUP($B212,Seqs!$A:$B,2,0),AC212,1),"")</f>
        <v>R</v>
      </c>
      <c r="AC212" s="9">
        <v>145</v>
      </c>
      <c r="AD212" s="9" t="str">
        <f>IFERROR(MID(VLOOKUP($B212,Seqs!$A:$B,2,0),AE212,1),"")</f>
        <v>G</v>
      </c>
      <c r="AE212" s="9">
        <v>173</v>
      </c>
      <c r="AF212" s="9" t="str">
        <f>IFERROR(MID(VLOOKUP($B212,Seqs!$A:$B,2,0),AG212,1),"")</f>
        <v>C</v>
      </c>
      <c r="AG212" s="9">
        <v>182</v>
      </c>
      <c r="AH212" s="9" t="str">
        <f>IFERROR(MID(VLOOKUP($B212,Seqs!$A:$B,2,0),AI212,1),"")</f>
        <v>I</v>
      </c>
      <c r="AI212" s="9">
        <v>184</v>
      </c>
      <c r="AJ212" s="9" t="str">
        <f>IFERROR(MID(VLOOKUP($B212,Seqs!$A:$B,2,0),AK212,1),"")</f>
        <v>A</v>
      </c>
      <c r="AK212" s="9">
        <v>188</v>
      </c>
      <c r="AL212" s="9" t="str">
        <f>IFERROR(MID(VLOOKUP($B212,Seqs!$A:$B,2,0),AM212,1),"")</f>
        <v>R</v>
      </c>
      <c r="AM212" s="9">
        <v>222</v>
      </c>
      <c r="AN212" s="9" t="str">
        <f>IFERROR(MID(VLOOKUP($B212,Seqs!$A:$B,2,0),AO212,1),"")</f>
        <v>L</v>
      </c>
      <c r="AO212" s="9">
        <v>387</v>
      </c>
      <c r="AP212" s="9" t="str">
        <f>IFERROR(MID(VLOOKUP($B212,Seqs!$A:$B,2,0),AQ212,1),"")</f>
        <v>A</v>
      </c>
      <c r="AQ212" s="9">
        <v>420</v>
      </c>
      <c r="AR212" s="9" t="str">
        <f>IFERROR(MID(VLOOKUP($B212,Seqs!$A:$B,2,0),AS212,1),"")</f>
        <v>I</v>
      </c>
      <c r="AS212" s="9">
        <v>425</v>
      </c>
      <c r="AT212" s="9" t="str">
        <f>IFERROR(MID(VLOOKUP($B212,Seqs!$A:$B,2,0),AU212,1),"")</f>
        <v/>
      </c>
      <c r="AU212" s="9">
        <v>450</v>
      </c>
      <c r="AV212" s="9" t="str">
        <f>IFERROR(MID(VLOOKUP($B212,Seqs!$A:$B,2,0),AW212,1),"")</f>
        <v/>
      </c>
      <c r="AW212" s="9">
        <v>451</v>
      </c>
      <c r="AX212" s="9" t="str">
        <f>IFERROR(MID(VLOOKUP($B212,Seqs!$A:$B,2,0),AY212,1),"")</f>
        <v/>
      </c>
      <c r="AY212" s="9">
        <v>463</v>
      </c>
      <c r="AZ212" s="110" t="str">
        <f>VLOOKUP(B212,Classification!A:D,2,0)</f>
        <v>A</v>
      </c>
      <c r="BA212" s="98" t="str">
        <f>VLOOKUP(B212,Classification!A:D,4,0)</f>
        <v>Dopamine</v>
      </c>
      <c r="BB212" s="36" t="b">
        <f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109">
        <f>_xlfn.AGGREGATE(9,6,CH212:CS212)-_xlfn.AGGREGATE(9,6,BV212:CG212)+12</f>
        <v>244</v>
      </c>
      <c r="BD212" s="129" t="s">
        <v>23</v>
      </c>
      <c r="BE212" s="9" t="s">
        <v>1374</v>
      </c>
      <c r="BF212" s="119">
        <v>3.1</v>
      </c>
      <c r="BG212" s="51" t="s">
        <v>1</v>
      </c>
      <c r="BH212" s="51" t="s">
        <v>1</v>
      </c>
      <c r="BJ212" s="111" t="s">
        <v>1287</v>
      </c>
      <c r="BK212" s="112" t="s">
        <v>1287</v>
      </c>
      <c r="BL212" s="112" t="s">
        <v>1287</v>
      </c>
      <c r="BM212" s="112" t="s">
        <v>1287</v>
      </c>
      <c r="BN212" s="112" t="s">
        <v>1287</v>
      </c>
      <c r="BO212" s="112" t="s">
        <v>1287</v>
      </c>
      <c r="BP212" s="112" t="s">
        <v>1287</v>
      </c>
      <c r="BQ212" s="112" t="s">
        <v>1287</v>
      </c>
      <c r="BR212" s="112" t="s">
        <v>1287</v>
      </c>
      <c r="BS212" s="112" t="s">
        <v>1287</v>
      </c>
      <c r="BT212" s="112" t="s">
        <v>1287</v>
      </c>
      <c r="BU212" s="112" t="s">
        <v>1287</v>
      </c>
      <c r="BV212" s="111">
        <f>E212</f>
        <v>36</v>
      </c>
      <c r="BW212" s="113">
        <f>I212</f>
        <v>63</v>
      </c>
      <c r="BX212" s="114">
        <f>M212</f>
        <v>67</v>
      </c>
      <c r="BY212" s="113">
        <f>Q212</f>
        <v>99</v>
      </c>
      <c r="BZ212" s="114">
        <f>U212</f>
        <v>103</v>
      </c>
      <c r="CA212" s="113" t="str">
        <f>Y212</f>
        <v>-</v>
      </c>
      <c r="CB212" s="114">
        <f>AC212</f>
        <v>145</v>
      </c>
      <c r="CC212" s="113">
        <f>AG212</f>
        <v>182</v>
      </c>
      <c r="CD212" s="114">
        <f>AK212</f>
        <v>188</v>
      </c>
      <c r="CE212" s="113">
        <f>AO212</f>
        <v>387</v>
      </c>
      <c r="CF212" s="114">
        <f>AS212</f>
        <v>425</v>
      </c>
      <c r="CG212" s="113">
        <f>AW212</f>
        <v>451</v>
      </c>
      <c r="CH212" s="111">
        <f>G212</f>
        <v>62</v>
      </c>
      <c r="CI212" s="113">
        <f>K212</f>
        <v>66</v>
      </c>
      <c r="CJ212" s="114">
        <f>O212</f>
        <v>98</v>
      </c>
      <c r="CK212" s="114">
        <f>S212</f>
        <v>102</v>
      </c>
      <c r="CL212" s="114">
        <f>W212</f>
        <v>138</v>
      </c>
      <c r="CM212" s="114" t="str">
        <f>AA212</f>
        <v>-</v>
      </c>
      <c r="CN212" s="114">
        <f>AE212</f>
        <v>173</v>
      </c>
      <c r="CO212" s="114">
        <f>AI212</f>
        <v>184</v>
      </c>
      <c r="CP212" s="114">
        <f>AM212</f>
        <v>222</v>
      </c>
      <c r="CQ212" s="114">
        <f>AQ212</f>
        <v>420</v>
      </c>
      <c r="CR212" s="114">
        <f>AU212</f>
        <v>450</v>
      </c>
      <c r="CS212" s="114">
        <f>AY212</f>
        <v>463</v>
      </c>
      <c r="CT212" s="109">
        <f>M212-K212</f>
        <v>1</v>
      </c>
    </row>
    <row r="213" spans="1:1029" x14ac:dyDescent="0.2">
      <c r="A213" s="3" t="str">
        <f t="shared" si="1007"/>
        <v>drd3_human__wt</v>
      </c>
      <c r="B213" s="3" t="s">
        <v>192</v>
      </c>
      <c r="C213" s="3" t="s">
        <v>100</v>
      </c>
      <c r="D213" s="3" t="str">
        <f>IFERROR(MID(VLOOKUP($B213,Seqs!$A:$B,2,0),E213,1),"")</f>
        <v>A</v>
      </c>
      <c r="E213" s="3">
        <v>26</v>
      </c>
      <c r="F213" s="3" t="str">
        <f>IFERROR(MID(VLOOKUP($B213,Seqs!$A:$B,2,0),G213,1),"")</f>
        <v>E</v>
      </c>
      <c r="G213" s="3">
        <v>57</v>
      </c>
      <c r="H213" s="3" t="str">
        <f>IFERROR(MID(VLOOKUP($B213,Seqs!$A:$B,2,0),I213,1),"")</f>
        <v>R</v>
      </c>
      <c r="I213" s="23">
        <v>58</v>
      </c>
      <c r="J213" s="3" t="str">
        <f>IFERROR(MID(VLOOKUP($B213,Seqs!$A:$B,2,0),K213,1),"")</f>
        <v>Q</v>
      </c>
      <c r="K213" s="23">
        <v>61</v>
      </c>
      <c r="L213" s="3" t="str">
        <f>IFERROR(MID(VLOOKUP($B213,Seqs!$A:$B,2,0),M213,1),"")</f>
        <v>T</v>
      </c>
      <c r="M213" s="3">
        <v>62</v>
      </c>
      <c r="N213" s="3" t="str">
        <f>IFERROR(MID(VLOOKUP($B213,Seqs!$A:$B,2,0),O213,1),"")</f>
        <v>T</v>
      </c>
      <c r="O213" s="3">
        <v>92</v>
      </c>
      <c r="P213" s="3" t="str">
        <f>IFERROR(MID(VLOOKUP($B213,Seqs!$A:$B,2,0),Q213,1),"")</f>
        <v>V</v>
      </c>
      <c r="Q213" s="3">
        <v>95</v>
      </c>
      <c r="R213" s="3" t="str">
        <f>IFERROR(MID(VLOOKUP($B213,Seqs!$A:$B,2,0),S213,1),"")</f>
        <v>F</v>
      </c>
      <c r="S213" s="3">
        <v>98</v>
      </c>
      <c r="T213" s="3" t="str">
        <f>IFERROR(MID(VLOOKUP($B213,Seqs!$A:$B,2,0),U213,1),"")</f>
        <v>S</v>
      </c>
      <c r="U213" s="3">
        <v>99</v>
      </c>
      <c r="V213" s="3" t="str">
        <f>IFERROR(MID(VLOOKUP($B213,Seqs!$A:$B,2,0),W213,1),"")</f>
        <v>M</v>
      </c>
      <c r="W213" s="3">
        <v>134</v>
      </c>
      <c r="X213" s="3" t="str">
        <f>IFERROR(MID(VLOOKUP($B213,Seqs!$A:$B,2,0),Y213,1),"")</f>
        <v>P</v>
      </c>
      <c r="Y213" s="3">
        <v>135</v>
      </c>
      <c r="Z213" s="3" t="str">
        <f>IFERROR(MID(VLOOKUP($B213,Seqs!$A:$B,2,0),AA213,1),"")</f>
        <v>G</v>
      </c>
      <c r="AA213" s="3">
        <v>143</v>
      </c>
      <c r="AB213" s="3" t="str">
        <f>IFERROR(MID(VLOOKUP($B213,Seqs!$A:$B,2,0),AC213,1),"")</f>
        <v>S</v>
      </c>
      <c r="AC213" s="3">
        <v>146</v>
      </c>
      <c r="AD213" s="3" t="str">
        <f>IFERROR(MID(VLOOKUP($B213,Seqs!$A:$B,2,0),AE213,1),"")</f>
        <v>G</v>
      </c>
      <c r="AE213" s="3">
        <v>171</v>
      </c>
      <c r="AF213" s="3" t="str">
        <f>IFERROR(MID(VLOOKUP($B213,Seqs!$A:$B,2,0),AG213,1),"")</f>
        <v>C</v>
      </c>
      <c r="AG213" s="3">
        <v>181</v>
      </c>
      <c r="AH213" s="3" t="str">
        <f>IFERROR(MID(VLOOKUP($B213,Seqs!$A:$B,2,0),AI213,1),"")</f>
        <v>I</v>
      </c>
      <c r="AI213" s="3">
        <v>183</v>
      </c>
      <c r="AJ213" s="3" t="str">
        <f>IFERROR(MID(VLOOKUP($B213,Seqs!$A:$B,2,0),AK213,1),"")</f>
        <v>N</v>
      </c>
      <c r="AK213" s="3">
        <v>185</v>
      </c>
      <c r="AL213" s="3" t="str">
        <f>IFERROR(MID(VLOOKUP($B213,Seqs!$A:$B,2,0),AM213,1),"")</f>
        <v>R</v>
      </c>
      <c r="AM213" s="3">
        <v>226</v>
      </c>
      <c r="AN213" s="3" t="str">
        <f>IFERROR(MID(VLOOKUP($B213,Seqs!$A:$B,2,0),AO213,1),"")</f>
        <v>R</v>
      </c>
      <c r="AO213" s="3">
        <v>318</v>
      </c>
      <c r="AP213" s="3" t="str">
        <f>IFERROR(MID(VLOOKUP($B213,Seqs!$A:$B,2,0),AQ213,1),"")</f>
        <v>H</v>
      </c>
      <c r="AQ213" s="3">
        <v>354</v>
      </c>
      <c r="AR213" s="3" t="str">
        <f>IFERROR(MID(VLOOKUP($B213,Seqs!$A:$B,2,0),AS213,1),"")</f>
        <v>S</v>
      </c>
      <c r="AS213" s="3">
        <v>361</v>
      </c>
      <c r="AT213" s="3" t="str">
        <f>IFERROR(MID(VLOOKUP($B213,Seqs!$A:$B,2,0),AU213,1),"")</f>
        <v>F</v>
      </c>
      <c r="AU213" s="3">
        <v>386</v>
      </c>
      <c r="AV213" s="3" t="str">
        <f>IFERROR(MID(VLOOKUP($B213,Seqs!$A:$B,2,0),AW213,1),"")</f>
        <v>N</v>
      </c>
      <c r="AW213" s="3">
        <v>387</v>
      </c>
      <c r="AX213" s="3" t="str">
        <f>IFERROR(MID(VLOOKUP($B213,Seqs!$A:$B,2,0),AY213,1),"")</f>
        <v>S</v>
      </c>
      <c r="AY213" s="3">
        <v>399</v>
      </c>
      <c r="AZ213" s="77" t="str">
        <f>VLOOKUP(B213,Classification!A:D,2,0)</f>
        <v>A</v>
      </c>
      <c r="BA213" s="94" t="str">
        <f>VLOOKUP(B213,Classification!A:D,4,0)</f>
        <v>Dopamine</v>
      </c>
      <c r="BB213" s="27" t="b">
        <f t="shared" si="1008"/>
        <v>1</v>
      </c>
      <c r="BC213" s="23">
        <f t="shared" si="1679"/>
        <v>263</v>
      </c>
      <c r="BD213" s="56" t="s">
        <v>23</v>
      </c>
      <c r="BE213" s="3" t="s">
        <v>23</v>
      </c>
      <c r="BF213" s="118" t="s">
        <v>23</v>
      </c>
      <c r="BG213" s="49" t="s">
        <v>1372</v>
      </c>
      <c r="BH213" s="49" t="s">
        <v>1377</v>
      </c>
      <c r="BI213" s="1"/>
      <c r="BJ213" s="70" t="s">
        <v>1287</v>
      </c>
      <c r="BK213" s="57" t="s">
        <v>1287</v>
      </c>
      <c r="BL213" s="57" t="s">
        <v>1287</v>
      </c>
      <c r="BM213" s="57" t="s">
        <v>1287</v>
      </c>
      <c r="BN213" s="57" t="s">
        <v>1287</v>
      </c>
      <c r="BO213" s="57" t="s">
        <v>1287</v>
      </c>
      <c r="BP213" s="57" t="s">
        <v>1287</v>
      </c>
      <c r="BQ213" s="57" t="s">
        <v>1287</v>
      </c>
      <c r="BR213" s="57" t="s">
        <v>1287</v>
      </c>
      <c r="BS213" s="57" t="s">
        <v>1287</v>
      </c>
      <c r="BT213" s="57" t="s">
        <v>1287</v>
      </c>
      <c r="BU213" s="57" t="s">
        <v>1287</v>
      </c>
      <c r="BV213" s="70">
        <f t="shared" si="1680"/>
        <v>26</v>
      </c>
      <c r="BW213" s="71">
        <f t="shared" si="1681"/>
        <v>58</v>
      </c>
      <c r="BX213" s="72">
        <f t="shared" si="1682"/>
        <v>62</v>
      </c>
      <c r="BY213" s="71">
        <f t="shared" si="1683"/>
        <v>95</v>
      </c>
      <c r="BZ213" s="72">
        <f t="shared" si="1684"/>
        <v>99</v>
      </c>
      <c r="CA213" s="71">
        <f t="shared" si="1685"/>
        <v>135</v>
      </c>
      <c r="CB213" s="72">
        <f t="shared" si="1686"/>
        <v>146</v>
      </c>
      <c r="CC213" s="71">
        <f t="shared" si="1687"/>
        <v>181</v>
      </c>
      <c r="CD213" s="72">
        <f t="shared" si="1688"/>
        <v>185</v>
      </c>
      <c r="CE213" s="71">
        <f t="shared" si="1689"/>
        <v>318</v>
      </c>
      <c r="CF213" s="72">
        <f t="shared" si="1690"/>
        <v>361</v>
      </c>
      <c r="CG213" s="71">
        <f t="shared" si="1691"/>
        <v>387</v>
      </c>
      <c r="CH213" s="70">
        <f t="shared" si="1692"/>
        <v>57</v>
      </c>
      <c r="CI213" s="71">
        <f t="shared" si="1693"/>
        <v>61</v>
      </c>
      <c r="CJ213" s="72">
        <f t="shared" si="1694"/>
        <v>92</v>
      </c>
      <c r="CK213" s="72">
        <f t="shared" si="1695"/>
        <v>98</v>
      </c>
      <c r="CL213" s="72">
        <f t="shared" si="1696"/>
        <v>134</v>
      </c>
      <c r="CM213" s="72">
        <f t="shared" si="1697"/>
        <v>143</v>
      </c>
      <c r="CN213" s="72">
        <f t="shared" si="1698"/>
        <v>171</v>
      </c>
      <c r="CO213" s="72">
        <f t="shared" si="1699"/>
        <v>183</v>
      </c>
      <c r="CP213" s="72">
        <f t="shared" si="1700"/>
        <v>226</v>
      </c>
      <c r="CQ213" s="72">
        <f t="shared" si="1701"/>
        <v>354</v>
      </c>
      <c r="CR213" s="72">
        <f t="shared" si="1702"/>
        <v>386</v>
      </c>
      <c r="CS213" s="72">
        <f t="shared" si="1703"/>
        <v>399</v>
      </c>
      <c r="CT213" s="23">
        <f t="shared" si="1704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29" x14ac:dyDescent="0.2">
      <c r="A214" s="3" t="str">
        <f t="shared" si="1007"/>
        <v>drd3_human_3PBL</v>
      </c>
      <c r="B214" s="3" t="s">
        <v>192</v>
      </c>
      <c r="C214" s="3" t="s">
        <v>72</v>
      </c>
      <c r="D214" s="3" t="str">
        <f>IFERROR(MID(VLOOKUP($B214,Seqs!$A:$B,2,0),E214,1),"")</f>
        <v>Y</v>
      </c>
      <c r="E214" s="3">
        <v>32</v>
      </c>
      <c r="F214" s="3" t="str">
        <f>IFERROR(MID(VLOOKUP($B214,Seqs!$A:$B,2,0),G214,1),"")</f>
        <v>E</v>
      </c>
      <c r="G214" s="3">
        <v>57</v>
      </c>
      <c r="H214" s="3" t="str">
        <f>IFERROR(MID(VLOOKUP($B214,Seqs!$A:$B,2,0),I214,1),"")</f>
        <v>R</v>
      </c>
      <c r="I214" s="23">
        <v>58</v>
      </c>
      <c r="J214" s="3" t="str">
        <f>IFERROR(MID(VLOOKUP($B214,Seqs!$A:$B,2,0),K214,1),"")</f>
        <v>Q</v>
      </c>
      <c r="K214" s="23">
        <v>61</v>
      </c>
      <c r="L214" s="3" t="str">
        <f>IFERROR(MID(VLOOKUP($B214,Seqs!$A:$B,2,0),M214,1),"")</f>
        <v>T</v>
      </c>
      <c r="M214" s="3">
        <v>62</v>
      </c>
      <c r="N214" s="3" t="str">
        <f>IFERROR(MID(VLOOKUP($B214,Seqs!$A:$B,2,0),O214,1),"")</f>
        <v>T</v>
      </c>
      <c r="O214" s="3">
        <v>92</v>
      </c>
      <c r="P214" s="3" t="str">
        <f>IFERROR(MID(VLOOKUP($B214,Seqs!$A:$B,2,0),Q214,1),"")</f>
        <v>V</v>
      </c>
      <c r="Q214" s="3">
        <v>95</v>
      </c>
      <c r="R214" s="3" t="str">
        <f>IFERROR(MID(VLOOKUP($B214,Seqs!$A:$B,2,0),S214,1),"")</f>
        <v>F</v>
      </c>
      <c r="S214" s="3">
        <v>98</v>
      </c>
      <c r="T214" s="3" t="str">
        <f>IFERROR(MID(VLOOKUP($B214,Seqs!$A:$B,2,0),U214,1),"")</f>
        <v>S</v>
      </c>
      <c r="U214" s="3">
        <v>99</v>
      </c>
      <c r="V214" s="3" t="str">
        <f>IFERROR(MID(VLOOKUP($B214,Seqs!$A:$B,2,0),W214,1),"")</f>
        <v>M</v>
      </c>
      <c r="W214" s="3">
        <v>134</v>
      </c>
      <c r="X214" s="3" t="str">
        <f>IFERROR(MID(VLOOKUP($B214,Seqs!$A:$B,2,0),Y214,1),"")</f>
        <v>P</v>
      </c>
      <c r="Y214" s="3">
        <v>135</v>
      </c>
      <c r="Z214" s="3" t="str">
        <f>IFERROR(MID(VLOOKUP($B214,Seqs!$A:$B,2,0),AA214,1),"")</f>
        <v>G</v>
      </c>
      <c r="AA214" s="3">
        <v>143</v>
      </c>
      <c r="AB214" s="3" t="str">
        <f>IFERROR(MID(VLOOKUP($B214,Seqs!$A:$B,2,0),AC214,1),"")</f>
        <v>S</v>
      </c>
      <c r="AC214" s="3">
        <v>146</v>
      </c>
      <c r="AD214" s="3" t="str">
        <f>IFERROR(MID(VLOOKUP($B214,Seqs!$A:$B,2,0),AE214,1),"")</f>
        <v>G</v>
      </c>
      <c r="AE214" s="3">
        <v>171</v>
      </c>
      <c r="AF214" s="3" t="str">
        <f>IFERROR(MID(VLOOKUP($B214,Seqs!$A:$B,2,0),AG214,1),"")</f>
        <v>C</v>
      </c>
      <c r="AG214" s="3">
        <v>181</v>
      </c>
      <c r="AH214" s="3" t="str">
        <f>IFERROR(MID(VLOOKUP($B214,Seqs!$A:$B,2,0),AI214,1),"")</f>
        <v>I</v>
      </c>
      <c r="AI214" s="3">
        <v>183</v>
      </c>
      <c r="AJ214" s="3" t="str">
        <f>IFERROR(MID(VLOOKUP($B214,Seqs!$A:$B,2,0),AK214,1),"")</f>
        <v>N</v>
      </c>
      <c r="AK214" s="3">
        <v>185</v>
      </c>
      <c r="AL214" s="3" t="str">
        <f>IFERROR(MID(VLOOKUP($B214,Seqs!$A:$B,2,0),AM214,1),"")</f>
        <v>K</v>
      </c>
      <c r="AM214" s="3">
        <v>216</v>
      </c>
      <c r="AN214" s="3" t="str">
        <f>IFERROR(MID(VLOOKUP($B214,Seqs!$A:$B,2,0),AO214,1),"")</f>
        <v>R</v>
      </c>
      <c r="AO214" s="3">
        <v>323</v>
      </c>
      <c r="AP214" s="3" t="str">
        <f>IFERROR(MID(VLOOKUP($B214,Seqs!$A:$B,2,0),AQ214,1),"")</f>
        <v>H</v>
      </c>
      <c r="AQ214" s="3">
        <v>354</v>
      </c>
      <c r="AR214" s="3" t="str">
        <f>IFERROR(MID(VLOOKUP($B214,Seqs!$A:$B,2,0),AS214,1),"")</f>
        <v>S</v>
      </c>
      <c r="AS214" s="3">
        <v>361</v>
      </c>
      <c r="AT214" s="3" t="str">
        <f>IFERROR(MID(VLOOKUP($B214,Seqs!$A:$B,2,0),AU214,1),"")</f>
        <v>F</v>
      </c>
      <c r="AU214" s="3">
        <v>386</v>
      </c>
      <c r="AV214" s="3" t="str">
        <f>IFERROR(MID(VLOOKUP($B214,Seqs!$A:$B,2,0),AW214,1),"")</f>
        <v>N</v>
      </c>
      <c r="AW214" s="3">
        <v>387</v>
      </c>
      <c r="AX214" s="3" t="str">
        <f>IFERROR(MID(VLOOKUP($B214,Seqs!$A:$B,2,0),AY214,1),"")</f>
        <v>S</v>
      </c>
      <c r="AY214" s="3">
        <v>399</v>
      </c>
      <c r="AZ214" s="77" t="str">
        <f>VLOOKUP(B214,Classification!A:D,2,0)</f>
        <v>A</v>
      </c>
      <c r="BA214" s="94" t="str">
        <f>VLOOKUP(B214,Classification!A:D,4,0)</f>
        <v>Dopamine</v>
      </c>
      <c r="BB214" s="27" t="b">
        <f t="shared" si="1008"/>
        <v>1</v>
      </c>
      <c r="BC214" s="23">
        <f t="shared" si="1679"/>
        <v>242</v>
      </c>
      <c r="BD214" s="2" t="s">
        <v>1376</v>
      </c>
      <c r="BE214" s="3" t="s">
        <v>1374</v>
      </c>
      <c r="BF214" s="118">
        <v>2.89</v>
      </c>
      <c r="BG214" s="49" t="s">
        <v>1377</v>
      </c>
      <c r="BH214" s="49" t="s">
        <v>1377</v>
      </c>
      <c r="BI214" s="1"/>
      <c r="BJ214" s="70" t="s">
        <v>1287</v>
      </c>
      <c r="BK214" s="57" t="s">
        <v>1287</v>
      </c>
      <c r="BL214" s="57" t="s">
        <v>1287</v>
      </c>
      <c r="BM214" s="57" t="s">
        <v>1287</v>
      </c>
      <c r="BN214" s="57" t="s">
        <v>1287</v>
      </c>
      <c r="BO214" s="57" t="s">
        <v>1287</v>
      </c>
      <c r="BP214" s="57" t="s">
        <v>1287</v>
      </c>
      <c r="BQ214" s="57" t="s">
        <v>1287</v>
      </c>
      <c r="BR214" s="57" t="s">
        <v>1287</v>
      </c>
      <c r="BS214" s="57" t="s">
        <v>1287</v>
      </c>
      <c r="BT214" s="57" t="s">
        <v>1287</v>
      </c>
      <c r="BU214" s="57" t="s">
        <v>1287</v>
      </c>
      <c r="BV214" s="70">
        <f t="shared" si="1680"/>
        <v>32</v>
      </c>
      <c r="BW214" s="71">
        <f t="shared" si="1681"/>
        <v>58</v>
      </c>
      <c r="BX214" s="72">
        <f t="shared" si="1682"/>
        <v>62</v>
      </c>
      <c r="BY214" s="71">
        <f t="shared" si="1683"/>
        <v>95</v>
      </c>
      <c r="BZ214" s="72">
        <f t="shared" si="1684"/>
        <v>99</v>
      </c>
      <c r="CA214" s="71">
        <f t="shared" si="1685"/>
        <v>135</v>
      </c>
      <c r="CB214" s="72">
        <f t="shared" si="1686"/>
        <v>146</v>
      </c>
      <c r="CC214" s="71">
        <f t="shared" si="1687"/>
        <v>181</v>
      </c>
      <c r="CD214" s="72">
        <f t="shared" si="1688"/>
        <v>185</v>
      </c>
      <c r="CE214" s="71">
        <f t="shared" si="1689"/>
        <v>323</v>
      </c>
      <c r="CF214" s="72">
        <f t="shared" si="1690"/>
        <v>361</v>
      </c>
      <c r="CG214" s="71">
        <f t="shared" si="1691"/>
        <v>387</v>
      </c>
      <c r="CH214" s="70">
        <f t="shared" si="1692"/>
        <v>57</v>
      </c>
      <c r="CI214" s="71">
        <f t="shared" si="1693"/>
        <v>61</v>
      </c>
      <c r="CJ214" s="72">
        <f t="shared" si="1694"/>
        <v>92</v>
      </c>
      <c r="CK214" s="72">
        <f t="shared" si="1695"/>
        <v>98</v>
      </c>
      <c r="CL214" s="72">
        <f t="shared" si="1696"/>
        <v>134</v>
      </c>
      <c r="CM214" s="72">
        <f t="shared" si="1697"/>
        <v>143</v>
      </c>
      <c r="CN214" s="72">
        <f t="shared" si="1698"/>
        <v>171</v>
      </c>
      <c r="CO214" s="72">
        <f t="shared" si="1699"/>
        <v>183</v>
      </c>
      <c r="CP214" s="72">
        <f t="shared" si="1700"/>
        <v>216</v>
      </c>
      <c r="CQ214" s="72">
        <f t="shared" si="1701"/>
        <v>354</v>
      </c>
      <c r="CR214" s="72">
        <f t="shared" si="1702"/>
        <v>386</v>
      </c>
      <c r="CS214" s="72">
        <f t="shared" si="1703"/>
        <v>399</v>
      </c>
      <c r="CT214" s="23">
        <f t="shared" si="1704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29" x14ac:dyDescent="0.2">
      <c r="A215" s="3" t="str">
        <f>CONCATENATE(B215,"_",C215)</f>
        <v>drd4_human__wt</v>
      </c>
      <c r="B215" s="3" t="s">
        <v>193</v>
      </c>
      <c r="C215" s="3" t="s">
        <v>100</v>
      </c>
      <c r="D215" s="3" t="str">
        <f>IFERROR(MID(VLOOKUP($B215,Seqs!$A:$B,2,0),E215,1),"")</f>
        <v>A</v>
      </c>
      <c r="E215" s="3">
        <v>31</v>
      </c>
      <c r="F215" s="3" t="str">
        <f>IFERROR(MID(VLOOKUP($B215,Seqs!$A:$B,2,0),G215,1),"")</f>
        <v>E</v>
      </c>
      <c r="G215" s="3">
        <v>62</v>
      </c>
      <c r="H215" s="3" t="str">
        <f>IFERROR(MID(VLOOKUP($B215,Seqs!$A:$B,2,0),I215,1),"")</f>
        <v>R</v>
      </c>
      <c r="I215" s="23">
        <v>63</v>
      </c>
      <c r="J215" s="3" t="str">
        <f>IFERROR(MID(VLOOKUP($B215,Seqs!$A:$B,2,0),K215,1),"")</f>
        <v>Q</v>
      </c>
      <c r="K215" s="23">
        <v>66</v>
      </c>
      <c r="L215" s="3" t="str">
        <f>IFERROR(MID(VLOOKUP($B215,Seqs!$A:$B,2,0),M215,1),"")</f>
        <v>T</v>
      </c>
      <c r="M215" s="3">
        <v>67</v>
      </c>
      <c r="N215" s="3" t="str">
        <f>IFERROR(MID(VLOOKUP($B215,Seqs!$A:$B,2,0),O215,1),"")</f>
        <v>Q</v>
      </c>
      <c r="O215" s="3">
        <v>97</v>
      </c>
      <c r="P215" s="3" t="str">
        <f>IFERROR(MID(VLOOKUP($B215,Seqs!$A:$B,2,0),Q215,1),"")</f>
        <v>A</v>
      </c>
      <c r="Q215" s="3">
        <v>100</v>
      </c>
      <c r="R215" s="3" t="str">
        <f>IFERROR(MID(VLOOKUP($B215,Seqs!$A:$B,2,0),S215,1),"")</f>
        <v>L</v>
      </c>
      <c r="S215" s="3">
        <v>103</v>
      </c>
      <c r="T215" s="3" t="str">
        <f>IFERROR(MID(VLOOKUP($B215,Seqs!$A:$B,2,0),U215,1),"")</f>
        <v>S</v>
      </c>
      <c r="U215" s="3">
        <v>104</v>
      </c>
      <c r="V215" s="3" t="str">
        <f>IFERROR(MID(VLOOKUP($B215,Seqs!$A:$B,2,0),W215,1),"")</f>
        <v>V</v>
      </c>
      <c r="W215" s="3">
        <v>139</v>
      </c>
      <c r="X215" s="3" t="str">
        <f>IFERROR(MID(VLOOKUP($B215,Seqs!$A:$B,2,0),Y215,1),"")</f>
        <v>P</v>
      </c>
      <c r="Y215" s="3">
        <v>140</v>
      </c>
      <c r="Z215" s="3" t="str">
        <f>IFERROR(MID(VLOOKUP($B215,Seqs!$A:$B,2,0),AA215,1),"")</f>
        <v>G</v>
      </c>
      <c r="AA215" s="3">
        <v>147</v>
      </c>
      <c r="AB215" s="3" t="str">
        <f>IFERROR(MID(VLOOKUP($B215,Seqs!$A:$B,2,0),AC215,1),"")</f>
        <v>G</v>
      </c>
      <c r="AC215" s="3">
        <v>148</v>
      </c>
      <c r="AD215" s="3" t="str">
        <f>IFERROR(MID(VLOOKUP($B215,Seqs!$A:$B,2,0),AE215,1),"")</f>
        <v>G</v>
      </c>
      <c r="AE215" s="3">
        <v>173</v>
      </c>
      <c r="AF215" s="3" t="str">
        <f>IFERROR(MID(VLOOKUP($B215,Seqs!$A:$B,2,0),AG215,1),"")</f>
        <v>C</v>
      </c>
      <c r="AG215" s="3">
        <v>185</v>
      </c>
      <c r="AH215" s="3" t="str">
        <f>IFERROR(MID(VLOOKUP($B215,Seqs!$A:$B,2,0),AI215,1),"")</f>
        <v>L</v>
      </c>
      <c r="AI215" s="3">
        <v>187</v>
      </c>
      <c r="AJ215" s="3" t="str">
        <f>IFERROR(MID(VLOOKUP($B215,Seqs!$A:$B,2,0),AK215,1),"")</f>
        <v>D</v>
      </c>
      <c r="AK215" s="3">
        <v>189</v>
      </c>
      <c r="AL215" s="3" t="str">
        <f>IFERROR(MID(VLOOKUP($B215,Seqs!$A:$B,2,0),AM215,1),"")</f>
        <v>K</v>
      </c>
      <c r="AM215" s="3">
        <v>229</v>
      </c>
      <c r="AN215" s="3" t="str">
        <f>IFERROR(MID(VLOOKUP($B215,Seqs!$A:$B,2,0),AO215,1),"")</f>
        <v>A</v>
      </c>
      <c r="AO215" s="3">
        <v>383</v>
      </c>
      <c r="AP215" s="3" t="str">
        <f>IFERROR(MID(VLOOKUP($B215,Seqs!$A:$B,2,0),AQ215,1),"")</f>
        <v>C</v>
      </c>
      <c r="AQ215" s="3">
        <v>420</v>
      </c>
      <c r="AR215" s="3" t="str">
        <f>IFERROR(MID(VLOOKUP($B215,Seqs!$A:$B,2,0),AS215,1),"")</f>
        <v>P</v>
      </c>
      <c r="AS215" s="3">
        <v>426</v>
      </c>
      <c r="AT215" s="3" t="str">
        <f>IFERROR(MID(VLOOKUP($B215,Seqs!$A:$B,2,0),AU215,1),"")</f>
        <v>F</v>
      </c>
      <c r="AU215" s="3">
        <v>451</v>
      </c>
      <c r="AV215" s="3" t="str">
        <f>IFERROR(MID(VLOOKUP($B215,Seqs!$A:$B,2,0),AW215,1),"")</f>
        <v>N</v>
      </c>
      <c r="AW215" s="3">
        <v>452</v>
      </c>
      <c r="AX215" s="3" t="str">
        <f>IFERROR(MID(VLOOKUP($B215,Seqs!$A:$B,2,0),AY215,1),"")</f>
        <v>R</v>
      </c>
      <c r="AY215" s="3">
        <v>464</v>
      </c>
      <c r="AZ215" s="77" t="str">
        <f>VLOOKUP(B215,Classification!A:D,2,0)</f>
        <v>A</v>
      </c>
      <c r="BA215" s="94" t="str">
        <f>VLOOKUP(B215,Classification!A:D,4,0)</f>
        <v>Dopamine</v>
      </c>
      <c r="BB215" s="27" t="b">
        <f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>_xlfn.AGGREGATE(9,6,CH215:CS215)-_xlfn.AGGREGATE(9,6,BV215:CG215)+12</f>
        <v>262</v>
      </c>
      <c r="BD215" s="2" t="s">
        <v>23</v>
      </c>
      <c r="BE215" s="3" t="s">
        <v>1374</v>
      </c>
      <c r="BF215" s="118" t="s">
        <v>23</v>
      </c>
      <c r="BG215" s="49" t="s">
        <v>1377</v>
      </c>
      <c r="BH215" s="49" t="s">
        <v>1377</v>
      </c>
      <c r="BI215" s="1"/>
      <c r="BJ215" s="70" t="s">
        <v>1287</v>
      </c>
      <c r="BK215" s="57" t="s">
        <v>1287</v>
      </c>
      <c r="BL215" s="57" t="s">
        <v>1287</v>
      </c>
      <c r="BM215" s="57" t="s">
        <v>1287</v>
      </c>
      <c r="BN215" s="57" t="s">
        <v>1287</v>
      </c>
      <c r="BO215" s="57" t="s">
        <v>1287</v>
      </c>
      <c r="BP215" s="57" t="s">
        <v>1287</v>
      </c>
      <c r="BQ215" s="57" t="s">
        <v>1287</v>
      </c>
      <c r="BR215" s="57" t="s">
        <v>1287</v>
      </c>
      <c r="BS215" s="57" t="s">
        <v>1287</v>
      </c>
      <c r="BT215" s="57" t="s">
        <v>1287</v>
      </c>
      <c r="BU215" s="57" t="s">
        <v>1287</v>
      </c>
      <c r="BV215" s="70">
        <f>E215</f>
        <v>31</v>
      </c>
      <c r="BW215" s="71">
        <f>I215</f>
        <v>63</v>
      </c>
      <c r="BX215" s="72">
        <f>M215</f>
        <v>67</v>
      </c>
      <c r="BY215" s="71">
        <f>Q215</f>
        <v>100</v>
      </c>
      <c r="BZ215" s="72">
        <f>U215</f>
        <v>104</v>
      </c>
      <c r="CA215" s="71">
        <f>Y215</f>
        <v>140</v>
      </c>
      <c r="CB215" s="72">
        <f>AC215</f>
        <v>148</v>
      </c>
      <c r="CC215" s="71">
        <f>AG215</f>
        <v>185</v>
      </c>
      <c r="CD215" s="72">
        <f>AK215</f>
        <v>189</v>
      </c>
      <c r="CE215" s="71">
        <f>AO215</f>
        <v>383</v>
      </c>
      <c r="CF215" s="72">
        <f>AS215</f>
        <v>426</v>
      </c>
      <c r="CG215" s="71">
        <f>AW215</f>
        <v>452</v>
      </c>
      <c r="CH215" s="70">
        <f>G215</f>
        <v>62</v>
      </c>
      <c r="CI215" s="71">
        <f>K215</f>
        <v>66</v>
      </c>
      <c r="CJ215" s="72">
        <f>O215</f>
        <v>97</v>
      </c>
      <c r="CK215" s="72">
        <f>S215</f>
        <v>103</v>
      </c>
      <c r="CL215" s="72">
        <f>W215</f>
        <v>139</v>
      </c>
      <c r="CM215" s="72">
        <f>AA215</f>
        <v>147</v>
      </c>
      <c r="CN215" s="72">
        <f>AE215</f>
        <v>173</v>
      </c>
      <c r="CO215" s="72">
        <f>AI215</f>
        <v>187</v>
      </c>
      <c r="CP215" s="72">
        <f>AM215</f>
        <v>229</v>
      </c>
      <c r="CQ215" s="72">
        <f>AQ215</f>
        <v>420</v>
      </c>
      <c r="CR215" s="72">
        <f>AU215</f>
        <v>451</v>
      </c>
      <c r="CS215" s="72">
        <f>AY215</f>
        <v>464</v>
      </c>
      <c r="CT215" s="23">
        <f>M215-K215</f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29" x14ac:dyDescent="0.2">
      <c r="A216" s="3" t="str">
        <f>CONCATENATE(B216,"_",C216)</f>
        <v>drd4_human_5WIU</v>
      </c>
      <c r="B216" s="3" t="s">
        <v>193</v>
      </c>
      <c r="C216" s="3" t="s">
        <v>1444</v>
      </c>
      <c r="D216" s="3" t="str">
        <f>IFERROR(MID(VLOOKUP($B216,Seqs!$A:$B,2,0),E216,1),"")</f>
        <v>G</v>
      </c>
      <c r="E216" s="3">
        <v>34</v>
      </c>
      <c r="F216" s="3" t="str">
        <f>IFERROR(MID(VLOOKUP($B216,Seqs!$A:$B,2,0),G216,1),"")</f>
        <v>E</v>
      </c>
      <c r="G216" s="3">
        <v>62</v>
      </c>
      <c r="H216" s="3" t="str">
        <f>IFERROR(MID(VLOOKUP($B216,Seqs!$A:$B,2,0),I216,1),"")</f>
        <v>R</v>
      </c>
      <c r="I216" s="23">
        <v>63</v>
      </c>
      <c r="J216" s="3" t="str">
        <f>IFERROR(MID(VLOOKUP($B216,Seqs!$A:$B,2,0),K216,1),"")</f>
        <v>Q</v>
      </c>
      <c r="K216" s="23">
        <v>66</v>
      </c>
      <c r="L216" s="3" t="str">
        <f>IFERROR(MID(VLOOKUP($B216,Seqs!$A:$B,2,0),M216,1),"")</f>
        <v>T</v>
      </c>
      <c r="M216" s="3">
        <v>67</v>
      </c>
      <c r="N216" s="3" t="str">
        <f>IFERROR(MID(VLOOKUP($B216,Seqs!$A:$B,2,0),O216,1),"")</f>
        <v>Q</v>
      </c>
      <c r="O216" s="3">
        <v>97</v>
      </c>
      <c r="P216" s="3" t="str">
        <f>IFERROR(MID(VLOOKUP($B216,Seqs!$A:$B,2,0),Q216,1),"")</f>
        <v>A</v>
      </c>
      <c r="Q216" s="3">
        <v>100</v>
      </c>
      <c r="R216" s="3" t="str">
        <f>IFERROR(MID(VLOOKUP($B216,Seqs!$A:$B,2,0),S216,1),"")</f>
        <v>L</v>
      </c>
      <c r="S216" s="3">
        <v>103</v>
      </c>
      <c r="T216" s="3" t="str">
        <f>IFERROR(MID(VLOOKUP($B216,Seqs!$A:$B,2,0),U216,1),"")</f>
        <v>S</v>
      </c>
      <c r="U216" s="3">
        <v>104</v>
      </c>
      <c r="V216" s="3" t="str">
        <f>IFERROR(MID(VLOOKUP($B216,Seqs!$A:$B,2,0),W216,1),"")</f>
        <v>V</v>
      </c>
      <c r="W216" s="3">
        <v>139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R</v>
      </c>
      <c r="AC216" s="3">
        <v>150</v>
      </c>
      <c r="AD216" s="3" t="str">
        <f>IFERROR(MID(VLOOKUP($B216,Seqs!$A:$B,2,0),AE216,1),"")</f>
        <v>G</v>
      </c>
      <c r="AE216" s="3">
        <v>173</v>
      </c>
      <c r="AF216" s="3" t="str">
        <f>IFERROR(MID(VLOOKUP($B216,Seqs!$A:$B,2,0),AG216,1),"")</f>
        <v>C</v>
      </c>
      <c r="AG216" s="3">
        <v>185</v>
      </c>
      <c r="AH216" s="3" t="str">
        <f>IFERROR(MID(VLOOKUP($B216,Seqs!$A:$B,2,0),AI216,1),"")</f>
        <v>L</v>
      </c>
      <c r="AI216" s="3">
        <v>187</v>
      </c>
      <c r="AJ216" s="3" t="str">
        <f>IFERROR(MID(VLOOKUP($B216,Seqs!$A:$B,2,0),AK216,1),"")</f>
        <v>D</v>
      </c>
      <c r="AK216" s="3">
        <v>189</v>
      </c>
      <c r="AL216" s="3" t="str">
        <f>IFERROR(MID(VLOOKUP($B216,Seqs!$A:$B,2,0),AM216,1),"")</f>
        <v>W</v>
      </c>
      <c r="AM216" s="3">
        <v>222</v>
      </c>
      <c r="AN216" s="3" t="str">
        <f>IFERROR(MID(VLOOKUP($B216,Seqs!$A:$B,2,0),AO216,1),"")</f>
        <v>V</v>
      </c>
      <c r="AO216" s="3">
        <v>395</v>
      </c>
      <c r="AP216" s="3" t="str">
        <f>IFERROR(MID(VLOOKUP($B216,Seqs!$A:$B,2,0),AQ216,1),"")</f>
        <v>C</v>
      </c>
      <c r="AQ216" s="3">
        <v>420</v>
      </c>
      <c r="AR216" s="3" t="str">
        <f>IFERROR(MID(VLOOKUP($B216,Seqs!$A:$B,2,0),AS216,1),"")</f>
        <v>P</v>
      </c>
      <c r="AS216" s="3">
        <v>426</v>
      </c>
      <c r="AT216" s="3" t="str">
        <f>IFERROR(MID(VLOOKUP($B216,Seqs!$A:$B,2,0),AU216,1),"")</f>
        <v>F</v>
      </c>
      <c r="AU216" s="3">
        <v>451</v>
      </c>
      <c r="AV216" s="3" t="str">
        <f>IFERROR(MID(VLOOKUP($B216,Seqs!$A:$B,2,0),AW216,1),"")</f>
        <v>N</v>
      </c>
      <c r="AW216" s="3">
        <v>452</v>
      </c>
      <c r="AX216" s="3" t="str">
        <f>IFERROR(MID(VLOOKUP($B216,Seqs!$A:$B,2,0),AY216,1),"")</f>
        <v>R</v>
      </c>
      <c r="AY216" s="3">
        <v>460</v>
      </c>
      <c r="AZ216" s="77" t="str">
        <f>VLOOKUP(B216,Classification!A:D,2,0)</f>
        <v>A</v>
      </c>
      <c r="BA216" s="94" t="str">
        <f>VLOOKUP(B216,Classification!A:D,4,0)</f>
        <v>Dopamine</v>
      </c>
      <c r="BB216" s="27" t="b">
        <f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>_xlfn.AGGREGATE(9,6,CH216:CS216)-_xlfn.AGGREGATE(9,6,BV216:CG216)+12</f>
        <v>227</v>
      </c>
      <c r="BD216" s="2" t="s">
        <v>23</v>
      </c>
      <c r="BE216" s="3" t="s">
        <v>1374</v>
      </c>
      <c r="BF216" s="118">
        <v>1.96</v>
      </c>
      <c r="BG216" s="49" t="s">
        <v>1</v>
      </c>
      <c r="BH216" s="49" t="s">
        <v>1377</v>
      </c>
      <c r="BI216" s="1"/>
      <c r="BJ216" s="70" t="s">
        <v>1287</v>
      </c>
      <c r="BK216" s="57" t="s">
        <v>1287</v>
      </c>
      <c r="BL216" s="57" t="s">
        <v>1287</v>
      </c>
      <c r="BM216" s="57" t="s">
        <v>1287</v>
      </c>
      <c r="BN216" s="57" t="s">
        <v>1287</v>
      </c>
      <c r="BO216" s="57" t="s">
        <v>1287</v>
      </c>
      <c r="BP216" s="57" t="s">
        <v>1287</v>
      </c>
      <c r="BQ216" s="57" t="s">
        <v>1287</v>
      </c>
      <c r="BR216" s="57" t="s">
        <v>1287</v>
      </c>
      <c r="BS216" s="57" t="s">
        <v>1287</v>
      </c>
      <c r="BT216" s="57" t="s">
        <v>1287</v>
      </c>
      <c r="BU216" s="57" t="s">
        <v>1287</v>
      </c>
      <c r="BV216" s="70">
        <f>E216</f>
        <v>34</v>
      </c>
      <c r="BW216" s="71">
        <f>I216</f>
        <v>63</v>
      </c>
      <c r="BX216" s="72">
        <f>M216</f>
        <v>67</v>
      </c>
      <c r="BY216" s="71">
        <f>Q216</f>
        <v>100</v>
      </c>
      <c r="BZ216" s="72">
        <f>U216</f>
        <v>104</v>
      </c>
      <c r="CA216" s="71" t="str">
        <f>Y216</f>
        <v>-</v>
      </c>
      <c r="CB216" s="72">
        <f>AC216</f>
        <v>150</v>
      </c>
      <c r="CC216" s="71">
        <f>AG216</f>
        <v>185</v>
      </c>
      <c r="CD216" s="72">
        <f>AK216</f>
        <v>189</v>
      </c>
      <c r="CE216" s="71">
        <f>AO216</f>
        <v>395</v>
      </c>
      <c r="CF216" s="72">
        <f>AS216</f>
        <v>426</v>
      </c>
      <c r="CG216" s="71">
        <f>AW216</f>
        <v>452</v>
      </c>
      <c r="CH216" s="70">
        <f>G216</f>
        <v>62</v>
      </c>
      <c r="CI216" s="71">
        <f>K216</f>
        <v>66</v>
      </c>
      <c r="CJ216" s="72">
        <f>O216</f>
        <v>97</v>
      </c>
      <c r="CK216" s="72">
        <f>S216</f>
        <v>103</v>
      </c>
      <c r="CL216" s="72">
        <f>W216</f>
        <v>139</v>
      </c>
      <c r="CM216" s="72" t="str">
        <f>AA216</f>
        <v>-</v>
      </c>
      <c r="CN216" s="72">
        <f>AE216</f>
        <v>173</v>
      </c>
      <c r="CO216" s="72">
        <f>AI216</f>
        <v>187</v>
      </c>
      <c r="CP216" s="72">
        <f>AM216</f>
        <v>222</v>
      </c>
      <c r="CQ216" s="72">
        <f>AQ216</f>
        <v>420</v>
      </c>
      <c r="CR216" s="72">
        <f>AU216</f>
        <v>451</v>
      </c>
      <c r="CS216" s="72">
        <f>AY216</f>
        <v>460</v>
      </c>
      <c r="CT216" s="23">
        <f>M216-K216</f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29" x14ac:dyDescent="0.2">
      <c r="A217" s="3" t="str">
        <f>CONCATENATE(B217,"_",C217)</f>
        <v>drd4_human_5WIV</v>
      </c>
      <c r="B217" s="3" t="s">
        <v>193</v>
      </c>
      <c r="C217" s="3" t="s">
        <v>1446</v>
      </c>
      <c r="D217" s="3" t="str">
        <f>IFERROR(MID(VLOOKUP($B217,Seqs!$A:$B,2,0),E217,1),"")</f>
        <v>G</v>
      </c>
      <c r="E217" s="3">
        <v>32</v>
      </c>
      <c r="F217" s="3" t="str">
        <f>IFERROR(MID(VLOOKUP($B217,Seqs!$A:$B,2,0),G217,1),"")</f>
        <v>E</v>
      </c>
      <c r="G217" s="3">
        <v>62</v>
      </c>
      <c r="H217" s="3" t="str">
        <f>IFERROR(MID(VLOOKUP($B217,Seqs!$A:$B,2,0),I217,1),"")</f>
        <v>R</v>
      </c>
      <c r="I217" s="23">
        <v>63</v>
      </c>
      <c r="J217" s="3" t="str">
        <f>IFERROR(MID(VLOOKUP($B217,Seqs!$A:$B,2,0),K217,1),"")</f>
        <v>Q</v>
      </c>
      <c r="K217" s="23">
        <v>66</v>
      </c>
      <c r="L217" s="3" t="str">
        <f>IFERROR(MID(VLOOKUP($B217,Seqs!$A:$B,2,0),M217,1),"")</f>
        <v>T</v>
      </c>
      <c r="M217" s="3">
        <v>67</v>
      </c>
      <c r="N217" s="3" t="str">
        <f>IFERROR(MID(VLOOKUP($B217,Seqs!$A:$B,2,0),O217,1),"")</f>
        <v>Q</v>
      </c>
      <c r="O217" s="3">
        <v>97</v>
      </c>
      <c r="P217" s="3" t="str">
        <f>IFERROR(MID(VLOOKUP($B217,Seqs!$A:$B,2,0),Q217,1),"")</f>
        <v>A</v>
      </c>
      <c r="Q217" s="3">
        <v>100</v>
      </c>
      <c r="R217" s="3" t="str">
        <f>IFERROR(MID(VLOOKUP($B217,Seqs!$A:$B,2,0),S217,1),"")</f>
        <v>L</v>
      </c>
      <c r="S217" s="3">
        <v>103</v>
      </c>
      <c r="T217" s="3" t="str">
        <f>IFERROR(MID(VLOOKUP($B217,Seqs!$A:$B,2,0),U217,1),"")</f>
        <v>S</v>
      </c>
      <c r="U217" s="3">
        <v>104</v>
      </c>
      <c r="V217" s="3" t="str">
        <f>IFERROR(MID(VLOOKUP($B217,Seqs!$A:$B,2,0),W217,1),"")</f>
        <v>V</v>
      </c>
      <c r="W217" s="3">
        <v>139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R</v>
      </c>
      <c r="AC217" s="3">
        <v>150</v>
      </c>
      <c r="AD217" s="3" t="str">
        <f>IFERROR(MID(VLOOKUP($B217,Seqs!$A:$B,2,0),AE217,1),"")</f>
        <v>G</v>
      </c>
      <c r="AE217" s="3">
        <v>173</v>
      </c>
      <c r="AF217" s="3" t="str">
        <f>IFERROR(MID(VLOOKUP($B217,Seqs!$A:$B,2,0),AG217,1),"")</f>
        <v>C</v>
      </c>
      <c r="AG217" s="3">
        <v>185</v>
      </c>
      <c r="AH217" s="3" t="str">
        <f>IFERROR(MID(VLOOKUP($B217,Seqs!$A:$B,2,0),AI217,1),"")</f>
        <v>L</v>
      </c>
      <c r="AI217" s="3">
        <v>187</v>
      </c>
      <c r="AJ217" s="3" t="str">
        <f>IFERROR(MID(VLOOKUP($B217,Seqs!$A:$B,2,0),AK217,1),"")</f>
        <v>D</v>
      </c>
      <c r="AK217" s="3">
        <v>189</v>
      </c>
      <c r="AL217" s="3" t="str">
        <f>IFERROR(MID(VLOOKUP($B217,Seqs!$A:$B,2,0),AM217,1),"")</f>
        <v>W</v>
      </c>
      <c r="AM217" s="3">
        <v>222</v>
      </c>
      <c r="AN217" s="3" t="str">
        <f>IFERROR(MID(VLOOKUP($B217,Seqs!$A:$B,2,0),AO217,1),"")</f>
        <v>V</v>
      </c>
      <c r="AO217" s="3">
        <v>395</v>
      </c>
      <c r="AP217" s="3" t="str">
        <f>IFERROR(MID(VLOOKUP($B217,Seqs!$A:$B,2,0),AQ217,1),"")</f>
        <v>C</v>
      </c>
      <c r="AQ217" s="3">
        <v>420</v>
      </c>
      <c r="AR217" s="3" t="str">
        <f>IFERROR(MID(VLOOKUP($B217,Seqs!$A:$B,2,0),AS217,1),"")</f>
        <v>P</v>
      </c>
      <c r="AS217" s="3">
        <v>426</v>
      </c>
      <c r="AT217" s="3" t="str">
        <f>IFERROR(MID(VLOOKUP($B217,Seqs!$A:$B,2,0),AU217,1),"")</f>
        <v>F</v>
      </c>
      <c r="AU217" s="3">
        <v>451</v>
      </c>
      <c r="AV217" s="3" t="str">
        <f>IFERROR(MID(VLOOKUP($B217,Seqs!$A:$B,2,0),AW217,1),"")</f>
        <v>N</v>
      </c>
      <c r="AW217" s="3">
        <v>452</v>
      </c>
      <c r="AX217" s="3" t="str">
        <f>IFERROR(MID(VLOOKUP($B217,Seqs!$A:$B,2,0),AY217,1),"")</f>
        <v>A</v>
      </c>
      <c r="AY217" s="3">
        <v>462</v>
      </c>
      <c r="AZ217" s="77" t="str">
        <f>VLOOKUP(B217,Classification!A:D,2,0)</f>
        <v>A</v>
      </c>
      <c r="BA217" s="94" t="str">
        <f>VLOOKUP(B217,Classification!A:D,4,0)</f>
        <v>Dopamine</v>
      </c>
      <c r="BB217" s="27" t="b">
        <f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>_xlfn.AGGREGATE(9,6,CH217:CS217)-_xlfn.AGGREGATE(9,6,BV217:CG217)+12</f>
        <v>231</v>
      </c>
      <c r="BD217" s="2" t="s">
        <v>1376</v>
      </c>
      <c r="BE217" s="3" t="s">
        <v>1374</v>
      </c>
      <c r="BF217" s="118">
        <v>2.14</v>
      </c>
      <c r="BG217" s="49" t="s">
        <v>1</v>
      </c>
      <c r="BH217" s="49" t="s">
        <v>1377</v>
      </c>
      <c r="BI217" s="1"/>
      <c r="BJ217" s="70" t="s">
        <v>1287</v>
      </c>
      <c r="BK217" s="57" t="s">
        <v>1287</v>
      </c>
      <c r="BL217" s="57" t="s">
        <v>1287</v>
      </c>
      <c r="BM217" s="57" t="s">
        <v>1287</v>
      </c>
      <c r="BN217" s="57" t="s">
        <v>1287</v>
      </c>
      <c r="BO217" s="57" t="s">
        <v>1287</v>
      </c>
      <c r="BP217" s="57" t="s">
        <v>1287</v>
      </c>
      <c r="BQ217" s="57" t="s">
        <v>1287</v>
      </c>
      <c r="BR217" s="57" t="s">
        <v>1287</v>
      </c>
      <c r="BS217" s="57" t="s">
        <v>1287</v>
      </c>
      <c r="BT217" s="57" t="s">
        <v>1287</v>
      </c>
      <c r="BU217" s="57" t="s">
        <v>1287</v>
      </c>
      <c r="BV217" s="70">
        <f>E217</f>
        <v>32</v>
      </c>
      <c r="BW217" s="71">
        <f>I217</f>
        <v>63</v>
      </c>
      <c r="BX217" s="72">
        <f>M217</f>
        <v>67</v>
      </c>
      <c r="BY217" s="71">
        <f>Q217</f>
        <v>100</v>
      </c>
      <c r="BZ217" s="72">
        <f>U217</f>
        <v>104</v>
      </c>
      <c r="CA217" s="71" t="str">
        <f>Y217</f>
        <v>-</v>
      </c>
      <c r="CB217" s="72">
        <f>AC217</f>
        <v>150</v>
      </c>
      <c r="CC217" s="71">
        <f>AG217</f>
        <v>185</v>
      </c>
      <c r="CD217" s="72">
        <f>AK217</f>
        <v>189</v>
      </c>
      <c r="CE217" s="71">
        <f>AO217</f>
        <v>395</v>
      </c>
      <c r="CF217" s="72">
        <f>AS217</f>
        <v>426</v>
      </c>
      <c r="CG217" s="71">
        <f>AW217</f>
        <v>452</v>
      </c>
      <c r="CH217" s="70">
        <f>G217</f>
        <v>62</v>
      </c>
      <c r="CI217" s="71">
        <f>K217</f>
        <v>66</v>
      </c>
      <c r="CJ217" s="72">
        <f>O217</f>
        <v>97</v>
      </c>
      <c r="CK217" s="72">
        <f>S217</f>
        <v>103</v>
      </c>
      <c r="CL217" s="72">
        <f>W217</f>
        <v>139</v>
      </c>
      <c r="CM217" s="72" t="str">
        <f>AA217</f>
        <v>-</v>
      </c>
      <c r="CN217" s="72">
        <f>AE217</f>
        <v>173</v>
      </c>
      <c r="CO217" s="72">
        <f>AI217</f>
        <v>187</v>
      </c>
      <c r="CP217" s="72">
        <f>AM217</f>
        <v>222</v>
      </c>
      <c r="CQ217" s="72">
        <f>AQ217</f>
        <v>420</v>
      </c>
      <c r="CR217" s="72">
        <f>AU217</f>
        <v>451</v>
      </c>
      <c r="CS217" s="72">
        <f>AY217</f>
        <v>462</v>
      </c>
      <c r="CT217" s="23">
        <f>M217-K217</f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29" x14ac:dyDescent="0.2">
      <c r="A218" s="3" t="str">
        <f t="shared" si="1007"/>
        <v>ednrb_human__wt</v>
      </c>
      <c r="B218" s="2" t="s">
        <v>196</v>
      </c>
      <c r="C218" s="2" t="s">
        <v>100</v>
      </c>
      <c r="D218" s="3" t="str">
        <f>IFERROR(MID(VLOOKUP($B218,Seqs!$A:$B,2,0),E218,1),"")</f>
        <v>Q</v>
      </c>
      <c r="E218" s="2">
        <v>91</v>
      </c>
      <c r="F218" s="3" t="str">
        <f>IFERROR(MID(VLOOKUP($B218,Seqs!$A:$B,2,0),G218,1),"")</f>
        <v>N</v>
      </c>
      <c r="G218" s="2">
        <v>129</v>
      </c>
      <c r="H218" s="3" t="str">
        <f>IFERROR(MID(VLOOKUP($B218,Seqs!$A:$B,2,0),I218,1),"")</f>
        <v>K</v>
      </c>
      <c r="I218" s="56">
        <v>130</v>
      </c>
      <c r="J218" s="3" t="str">
        <f>IFERROR(MID(VLOOKUP($B218,Seqs!$A:$B,2,0),K218,1),"")</f>
        <v>N</v>
      </c>
      <c r="K218" s="56">
        <v>134</v>
      </c>
      <c r="L218" s="3" t="str">
        <f>IFERROR(MID(VLOOKUP($B218,Seqs!$A:$B,2,0),M218,1),"")</f>
        <v>G</v>
      </c>
      <c r="M218" s="2">
        <v>135</v>
      </c>
      <c r="N218" s="3" t="str">
        <f>IFERROR(MID(VLOOKUP($B218,Seqs!$A:$B,2,0),O218,1),"")</f>
        <v>A</v>
      </c>
      <c r="O218" s="2">
        <v>164</v>
      </c>
      <c r="P218" s="3" t="str">
        <f>IFERROR(MID(VLOOKUP($B218,Seqs!$A:$B,2,0),Q218,1),"")</f>
        <v>D</v>
      </c>
      <c r="Q218" s="2">
        <v>166</v>
      </c>
      <c r="R218" s="3" t="str">
        <f>IFERROR(MID(VLOOKUP($B218,Seqs!$A:$B,2,0),S218,1),"")</f>
        <v>F</v>
      </c>
      <c r="S218" s="2">
        <v>169</v>
      </c>
      <c r="T218" s="3" t="str">
        <f>IFERROR(MID(VLOOKUP($B218,Seqs!$A:$B,2,0),U218,1),"")</f>
        <v>G</v>
      </c>
      <c r="U218" s="4">
        <v>170</v>
      </c>
      <c r="V218" s="3" t="str">
        <f>IFERROR(MID(VLOOKUP($B218,Seqs!$A:$B,2,0),W218,1),"")</f>
        <v>S</v>
      </c>
      <c r="W218" s="2">
        <v>205</v>
      </c>
      <c r="X218" s="3" t="str">
        <f>IFERROR(MID(VLOOKUP($B218,Seqs!$A:$B,2,0),Y218,1),"")</f>
        <v>W</v>
      </c>
      <c r="Y218" s="2">
        <v>206</v>
      </c>
      <c r="Z218" s="3" t="str">
        <f>IFERROR(MID(VLOOKUP($B218,Seqs!$A:$B,2,0),AA218,1),"")</f>
        <v>G</v>
      </c>
      <c r="AA218" s="2">
        <v>213</v>
      </c>
      <c r="AB218" s="3" t="str">
        <f>IFERROR(MID(VLOOKUP($B218,Seqs!$A:$B,2,0),AC218,1),"")</f>
        <v>V</v>
      </c>
      <c r="AC218" s="40">
        <v>214</v>
      </c>
      <c r="AD218" s="3" t="str">
        <f>IFERROR(MID(VLOOKUP($B218,Seqs!$A:$B,2,0),AE218,1),"")</f>
        <v>F</v>
      </c>
      <c r="AE218" s="2">
        <v>240</v>
      </c>
      <c r="AF218" s="3" t="str">
        <f>IFERROR(MID(VLOOKUP($B218,Seqs!$A:$B,2,0),AG218,1),"")</f>
        <v>C</v>
      </c>
      <c r="AG218" s="2">
        <v>255</v>
      </c>
      <c r="AH218" s="3" t="str">
        <f>IFERROR(MID(VLOOKUP($B218,Seqs!$A:$B,2,0),AI218,1),"")</f>
        <v>L</v>
      </c>
      <c r="AI218" s="2">
        <v>257</v>
      </c>
      <c r="AJ218" s="3" t="str">
        <f>IFERROR(MID(VLOOKUP($B218,Seqs!$A:$B,2,0),AK218,1),"")</f>
        <v>T</v>
      </c>
      <c r="AK218" s="2">
        <v>263</v>
      </c>
      <c r="AL218" s="3" t="str">
        <f>IFERROR(MID(VLOOKUP($B218,Seqs!$A:$B,2,0),AM218,1),"")</f>
        <v>M</v>
      </c>
      <c r="AM218" s="2">
        <v>307</v>
      </c>
      <c r="AN218" s="3" t="str">
        <f>IFERROR(MID(VLOOKUP($B218,Seqs!$A:$B,2,0),AO218,1),"")</f>
        <v>N</v>
      </c>
      <c r="AO218" s="2">
        <v>312</v>
      </c>
      <c r="AP218" s="3" t="str">
        <f>IFERROR(MID(VLOOKUP($B218,Seqs!$A:$B,2,0),AQ218,1),"")</f>
        <v>Y</v>
      </c>
      <c r="AQ218" s="2">
        <v>350</v>
      </c>
      <c r="AR218" s="3" t="str">
        <f>IFERROR(MID(VLOOKUP($B218,Seqs!$A:$B,2,0),AS218,1),"")</f>
        <v>R</v>
      </c>
      <c r="AS218" s="2">
        <v>357</v>
      </c>
      <c r="AT218" s="3" t="str">
        <f>IFERROR(MID(VLOOKUP($B218,Seqs!$A:$B,2,0),AU218,1),"")</f>
        <v>V</v>
      </c>
      <c r="AU218" s="2">
        <v>389</v>
      </c>
      <c r="AV218" s="3" t="str">
        <f>IFERROR(MID(VLOOKUP($B218,Seqs!$A:$B,2,0),AW218,1),"")</f>
        <v>S</v>
      </c>
      <c r="AW218" s="2">
        <v>390</v>
      </c>
      <c r="AX218" s="3" t="str">
        <f>IFERROR(MID(VLOOKUP($B218,Seqs!$A:$B,2,0),AY218,1),"")</f>
        <v>C</v>
      </c>
      <c r="AY218" s="2">
        <v>403</v>
      </c>
      <c r="AZ218" s="77" t="str">
        <f>VLOOKUP(B218,Classification!A:D,2,0)</f>
        <v>A</v>
      </c>
      <c r="BA218" s="94" t="str">
        <f>VLOOKUP(B218,Classification!A:D,4,0)</f>
        <v>Endothelin</v>
      </c>
      <c r="BB218" s="27" t="b">
        <f t="shared" si="1008"/>
        <v>1</v>
      </c>
      <c r="BC218" s="2"/>
      <c r="BD218" s="34" t="s">
        <v>23</v>
      </c>
      <c r="BE218" s="3" t="s">
        <v>23</v>
      </c>
      <c r="BF218" s="118" t="s">
        <v>23</v>
      </c>
      <c r="BG218" s="49" t="s">
        <v>1372</v>
      </c>
      <c r="BH218" s="49" t="s">
        <v>1377</v>
      </c>
      <c r="BI218" s="2"/>
      <c r="BJ218" s="70"/>
      <c r="BU218" s="57"/>
      <c r="BV218" s="70"/>
      <c r="BW218" s="57"/>
      <c r="BX218" s="57"/>
      <c r="BY218" s="57"/>
      <c r="BZ218" s="57"/>
      <c r="CA218" s="57"/>
      <c r="CB218" s="57"/>
      <c r="CC218" s="57"/>
      <c r="CD218" s="57"/>
      <c r="CE218" s="57"/>
      <c r="CF218" s="57"/>
      <c r="CG218" s="57"/>
      <c r="CH218" s="70"/>
      <c r="CI218" s="57"/>
      <c r="CJ218" s="57"/>
      <c r="CK218" s="57"/>
      <c r="CL218" s="57"/>
      <c r="CM218" s="57"/>
      <c r="CN218" s="57"/>
      <c r="CO218" s="57"/>
      <c r="CP218" s="57"/>
      <c r="CQ218" s="57"/>
      <c r="CR218" s="57"/>
      <c r="CS218" s="57"/>
      <c r="CT218" s="2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29" x14ac:dyDescent="0.2">
      <c r="A219" s="3" t="str">
        <f t="shared" si="1007"/>
        <v>ednrb_human_5GLH</v>
      </c>
      <c r="B219" s="2" t="s">
        <v>196</v>
      </c>
      <c r="C219" s="2" t="s">
        <v>1328</v>
      </c>
      <c r="D219" s="3" t="str">
        <f>IFERROR(MID(VLOOKUP($B219,Seqs!$A:$B,2,0),E219,1),"")</f>
        <v>K</v>
      </c>
      <c r="E219" s="2">
        <v>97</v>
      </c>
      <c r="F219" s="3" t="str">
        <f>IFERROR(MID(VLOOKUP($B219,Seqs!$A:$B,2,0),G219,1),"")</f>
        <v>N</v>
      </c>
      <c r="G219" s="2">
        <v>129</v>
      </c>
      <c r="H219" s="3" t="str">
        <f>IFERROR(MID(VLOOKUP($B219,Seqs!$A:$B,2,0),I219,1),"")</f>
        <v/>
      </c>
      <c r="I219" s="56" t="s">
        <v>23</v>
      </c>
      <c r="J219" s="3" t="str">
        <f>IFERROR(MID(VLOOKUP($B219,Seqs!$A:$B,2,0),K219,1),"")</f>
        <v/>
      </c>
      <c r="K219" s="56" t="s">
        <v>23</v>
      </c>
      <c r="L219" s="3" t="str">
        <f>IFERROR(MID(VLOOKUP($B219,Seqs!$A:$B,2,0),M219,1),"")</f>
        <v>P</v>
      </c>
      <c r="M219" s="2">
        <v>136</v>
      </c>
      <c r="N219" s="3" t="str">
        <f>IFERROR(MID(VLOOKUP($B219,Seqs!$A:$B,2,0),O219,1),"")</f>
        <v>A</v>
      </c>
      <c r="O219" s="2">
        <v>164</v>
      </c>
      <c r="P219" s="3" t="str">
        <f>IFERROR(MID(VLOOKUP($B219,Seqs!$A:$B,2,0),Q219,1),"")</f>
        <v>D</v>
      </c>
      <c r="Q219" s="2">
        <v>166</v>
      </c>
      <c r="R219" s="3" t="str">
        <f>IFERROR(MID(VLOOKUP($B219,Seqs!$A:$B,2,0),S219,1),"")</f>
        <v>F</v>
      </c>
      <c r="S219" s="2">
        <v>169</v>
      </c>
      <c r="T219" s="3" t="str">
        <f>IFERROR(MID(VLOOKUP($B219,Seqs!$A:$B,2,0),U219,1),"")</f>
        <v>G</v>
      </c>
      <c r="U219" s="4">
        <v>170</v>
      </c>
      <c r="V219" s="3" t="str">
        <f>IFERROR(MID(VLOOKUP($B219,Seqs!$A:$B,2,0),W219,1),"")</f>
        <v>S</v>
      </c>
      <c r="W219" s="2">
        <v>205</v>
      </c>
      <c r="X219" s="3" t="str">
        <f>IFERROR(MID(VLOOKUP($B219,Seqs!$A:$B,2,0),Y219,1),"")</f>
        <v/>
      </c>
      <c r="Y219" s="2" t="s">
        <v>23</v>
      </c>
      <c r="Z219" s="3" t="str">
        <f>IFERROR(MID(VLOOKUP($B219,Seqs!$A:$B,2,0),AA219,1),"")</f>
        <v/>
      </c>
      <c r="AA219" s="2" t="s">
        <v>23</v>
      </c>
      <c r="AB219" s="3" t="str">
        <f>IFERROR(MID(VLOOKUP($B219,Seqs!$A:$B,2,0),AC219,1),"")</f>
        <v>T</v>
      </c>
      <c r="AC219" s="40">
        <v>218</v>
      </c>
      <c r="AD219" s="3" t="str">
        <f>IFERROR(MID(VLOOKUP($B219,Seqs!$A:$B,2,0),AE219,1),"")</f>
        <v>F</v>
      </c>
      <c r="AE219" s="2">
        <v>240</v>
      </c>
      <c r="AF219" s="3" t="str">
        <f>IFERROR(MID(VLOOKUP($B219,Seqs!$A:$B,2,0),AG219,1),"")</f>
        <v>C</v>
      </c>
      <c r="AG219" s="2">
        <v>255</v>
      </c>
      <c r="AH219" s="3" t="str">
        <f>IFERROR(MID(VLOOKUP($B219,Seqs!$A:$B,2,0),AI219,1),"")</f>
        <v>L</v>
      </c>
      <c r="AI219" s="2">
        <v>257</v>
      </c>
      <c r="AJ219" s="3" t="str">
        <f>IFERROR(MID(VLOOKUP($B219,Seqs!$A:$B,2,0),AK219,1),"")</f>
        <v>T</v>
      </c>
      <c r="AK219" s="2">
        <v>263</v>
      </c>
      <c r="AL219" s="3" t="str">
        <f>IFERROR(MID(VLOOKUP($B219,Seqs!$A:$B,2,0),AM219,1),"")</f>
        <v>K</v>
      </c>
      <c r="AM219" s="2">
        <v>303</v>
      </c>
      <c r="AN219" s="3" t="str">
        <f>IFERROR(MID(VLOOKUP($B219,Seqs!$A:$B,2,0),AO219,1),"")</f>
        <v>N</v>
      </c>
      <c r="AO219" s="2">
        <v>312</v>
      </c>
      <c r="AP219" s="3" t="str">
        <f>IFERROR(MID(VLOOKUP($B219,Seqs!$A:$B,2,0),AQ219,1),"")</f>
        <v>Y</v>
      </c>
      <c r="AQ219" s="2">
        <v>350</v>
      </c>
      <c r="AR219" s="3" t="str">
        <f>IFERROR(MID(VLOOKUP($B219,Seqs!$A:$B,2,0),AS219,1),"")</f>
        <v>R</v>
      </c>
      <c r="AS219" s="2">
        <v>357</v>
      </c>
      <c r="AT219" s="3" t="str">
        <f>IFERROR(MID(VLOOKUP($B219,Seqs!$A:$B,2,0),AU219,1),"")</f>
        <v>V</v>
      </c>
      <c r="AU219" s="2">
        <v>389</v>
      </c>
      <c r="AV219" s="3" t="str">
        <f>IFERROR(MID(VLOOKUP($B219,Seqs!$A:$B,2,0),AW219,1),"")</f>
        <v>S</v>
      </c>
      <c r="AW219" s="2">
        <v>390</v>
      </c>
      <c r="AX219" s="3" t="str">
        <f>IFERROR(MID(VLOOKUP($B219,Seqs!$A:$B,2,0),AY219,1),"")</f>
        <v>L</v>
      </c>
      <c r="AY219" s="2">
        <v>401</v>
      </c>
      <c r="AZ219" s="77" t="str">
        <f>VLOOKUP(B219,Classification!A:D,2,0)</f>
        <v>A</v>
      </c>
      <c r="BA219" s="94" t="str">
        <f>VLOOKUP(B219,Classification!A:D,4,0)</f>
        <v>Endothelin</v>
      </c>
      <c r="BB219" s="27" t="b">
        <f t="shared" si="1008"/>
        <v>1</v>
      </c>
      <c r="BC219" s="23">
        <f t="shared" ref="BC219:BC298" si="1705">_xlfn.AGGREGATE(9,6,CH219:CS219)-_xlfn.AGGREGATE(9,6,BV219:CG219)+12</f>
        <v>255</v>
      </c>
      <c r="BD219" s="2" t="s">
        <v>23</v>
      </c>
      <c r="BE219" s="3" t="s">
        <v>1374</v>
      </c>
      <c r="BF219" s="118">
        <v>2.8</v>
      </c>
      <c r="BG219" s="49" t="s">
        <v>1377</v>
      </c>
      <c r="BH219" s="49" t="s">
        <v>1377</v>
      </c>
      <c r="BI219" s="2"/>
      <c r="BJ219" s="70" t="s">
        <v>1287</v>
      </c>
      <c r="BK219" s="57" t="s">
        <v>1287</v>
      </c>
      <c r="BL219" s="57" t="s">
        <v>1287</v>
      </c>
      <c r="BM219" s="57" t="s">
        <v>1287</v>
      </c>
      <c r="BN219" s="57" t="s">
        <v>1287</v>
      </c>
      <c r="BO219" s="57" t="s">
        <v>1287</v>
      </c>
      <c r="BP219" s="57" t="s">
        <v>1287</v>
      </c>
      <c r="BQ219" s="57" t="s">
        <v>1287</v>
      </c>
      <c r="BR219" s="57" t="s">
        <v>1287</v>
      </c>
      <c r="BS219" s="57" t="s">
        <v>1287</v>
      </c>
      <c r="BT219" s="57" t="s">
        <v>1287</v>
      </c>
      <c r="BU219" s="57" t="s">
        <v>1287</v>
      </c>
      <c r="BV219" s="70">
        <f t="shared" ref="BV219:BV298" si="1706">E219</f>
        <v>97</v>
      </c>
      <c r="BW219" s="71" t="str">
        <f t="shared" ref="BW219:BW298" si="1707">I219</f>
        <v>-</v>
      </c>
      <c r="BX219" s="72">
        <f t="shared" ref="BX219:BX298" si="1708">M219</f>
        <v>136</v>
      </c>
      <c r="BY219" s="71">
        <f t="shared" ref="BY219:BY298" si="1709">Q219</f>
        <v>166</v>
      </c>
      <c r="BZ219" s="72">
        <f t="shared" ref="BZ219:BZ298" si="1710">U219</f>
        <v>170</v>
      </c>
      <c r="CA219" s="71" t="str">
        <f t="shared" ref="CA219:CA298" si="1711">Y219</f>
        <v>-</v>
      </c>
      <c r="CB219" s="72">
        <f t="shared" ref="CB219:CB298" si="1712">AC219</f>
        <v>218</v>
      </c>
      <c r="CC219" s="71">
        <f t="shared" ref="CC219:CC298" si="1713">AG219</f>
        <v>255</v>
      </c>
      <c r="CD219" s="72">
        <f t="shared" ref="CD219:CD298" si="1714">AK219</f>
        <v>263</v>
      </c>
      <c r="CE219" s="71">
        <f t="shared" ref="CE219:CE298" si="1715">AO219</f>
        <v>312</v>
      </c>
      <c r="CF219" s="72">
        <f t="shared" ref="CF219:CF298" si="1716">AS219</f>
        <v>357</v>
      </c>
      <c r="CG219" s="71">
        <f t="shared" ref="CG219:CG298" si="1717">AW219</f>
        <v>390</v>
      </c>
      <c r="CH219" s="70">
        <f t="shared" ref="CH219:CH298" si="1718">G219</f>
        <v>129</v>
      </c>
      <c r="CI219" s="71" t="str">
        <f t="shared" ref="CI219:CI298" si="1719">K219</f>
        <v>-</v>
      </c>
      <c r="CJ219" s="72">
        <f t="shared" ref="CJ219:CJ298" si="1720">O219</f>
        <v>164</v>
      </c>
      <c r="CK219" s="72">
        <f t="shared" ref="CK219:CK298" si="1721">S219</f>
        <v>169</v>
      </c>
      <c r="CL219" s="72">
        <f t="shared" ref="CL219:CL298" si="1722">W219</f>
        <v>205</v>
      </c>
      <c r="CM219" s="72" t="str">
        <f t="shared" ref="CM219:CM298" si="1723">AA219</f>
        <v>-</v>
      </c>
      <c r="CN219" s="72">
        <f t="shared" ref="CN219:CN298" si="1724">AE219</f>
        <v>240</v>
      </c>
      <c r="CO219" s="72">
        <f t="shared" ref="CO219:CO298" si="1725">AI219</f>
        <v>257</v>
      </c>
      <c r="CP219" s="72">
        <f t="shared" ref="CP219:CP298" si="1726">AM219</f>
        <v>303</v>
      </c>
      <c r="CQ219" s="72">
        <f t="shared" ref="CQ219:CQ298" si="1727">AQ219</f>
        <v>350</v>
      </c>
      <c r="CR219" s="72">
        <f t="shared" ref="CR219:CR298" si="1728">AU219</f>
        <v>389</v>
      </c>
      <c r="CS219" s="72">
        <f t="shared" ref="CS219:CS298" si="1729">AY219</f>
        <v>401</v>
      </c>
      <c r="CT219" s="23" t="e">
        <f t="shared" ref="CT219:CT298" si="1730">M219-K219</f>
        <v>#VALUE!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29" x14ac:dyDescent="0.2">
      <c r="A220" s="3" t="str">
        <f t="shared" si="1007"/>
        <v>ednrb_human_5GLI</v>
      </c>
      <c r="B220" s="2" t="s">
        <v>196</v>
      </c>
      <c r="C220" s="2" t="s">
        <v>1327</v>
      </c>
      <c r="D220" s="3" t="str">
        <f>IFERROR(MID(VLOOKUP($B220,Seqs!$A:$B,2,0),E220,1),"")</f>
        <v>Q</v>
      </c>
      <c r="E220" s="2">
        <v>91</v>
      </c>
      <c r="F220" s="3" t="str">
        <f>IFERROR(MID(VLOOKUP($B220,Seqs!$A:$B,2,0),G220,1),"")</f>
        <v>N</v>
      </c>
      <c r="G220" s="2">
        <v>129</v>
      </c>
      <c r="H220" s="3" t="str">
        <f>IFERROR(MID(VLOOKUP($B220,Seqs!$A:$B,2,0),I220,1),"")</f>
        <v>K</v>
      </c>
      <c r="I220" s="56">
        <v>130</v>
      </c>
      <c r="J220" s="3" t="str">
        <f>IFERROR(MID(VLOOKUP($B220,Seqs!$A:$B,2,0),K220,1),"")</f>
        <v>N</v>
      </c>
      <c r="K220" s="56">
        <v>134</v>
      </c>
      <c r="L220" s="3" t="str">
        <f>IFERROR(MID(VLOOKUP($B220,Seqs!$A:$B,2,0),M220,1),"")</f>
        <v>G</v>
      </c>
      <c r="M220" s="2">
        <v>135</v>
      </c>
      <c r="N220" s="3" t="str">
        <f>IFERROR(MID(VLOOKUP($B220,Seqs!$A:$B,2,0),O220,1),"")</f>
        <v>A</v>
      </c>
      <c r="O220" s="2">
        <v>164</v>
      </c>
      <c r="P220" s="3" t="str">
        <f>IFERROR(MID(VLOOKUP($B220,Seqs!$A:$B,2,0),Q220,1),"")</f>
        <v>D</v>
      </c>
      <c r="Q220" s="2">
        <v>166</v>
      </c>
      <c r="R220" s="3" t="str">
        <f>IFERROR(MID(VLOOKUP($B220,Seqs!$A:$B,2,0),S220,1),"")</f>
        <v>F</v>
      </c>
      <c r="S220" s="2">
        <v>169</v>
      </c>
      <c r="T220" s="3" t="str">
        <f>IFERROR(MID(VLOOKUP($B220,Seqs!$A:$B,2,0),U220,1),"")</f>
        <v>G</v>
      </c>
      <c r="U220" s="4">
        <v>170</v>
      </c>
      <c r="V220" s="3" t="str">
        <f>IFERROR(MID(VLOOKUP($B220,Seqs!$A:$B,2,0),W220,1),"")</f>
        <v>S</v>
      </c>
      <c r="W220" s="2">
        <v>205</v>
      </c>
      <c r="X220" s="3" t="str">
        <f>IFERROR(MID(VLOOKUP($B220,Seqs!$A:$B,2,0),Y220,1),"")</f>
        <v/>
      </c>
      <c r="Y220" s="2" t="s">
        <v>23</v>
      </c>
      <c r="Z220" s="3" t="str">
        <f>IFERROR(MID(VLOOKUP($B220,Seqs!$A:$B,2,0),AA220,1),"")</f>
        <v/>
      </c>
      <c r="AA220" s="2" t="s">
        <v>23</v>
      </c>
      <c r="AB220" s="3" t="str">
        <f>IFERROR(MID(VLOOKUP($B220,Seqs!$A:$B,2,0),AC220,1),"")</f>
        <v>K</v>
      </c>
      <c r="AC220" s="40">
        <v>216</v>
      </c>
      <c r="AD220" s="3" t="str">
        <f>IFERROR(MID(VLOOKUP($B220,Seqs!$A:$B,2,0),AE220,1),"")</f>
        <v>F</v>
      </c>
      <c r="AE220" s="2">
        <v>240</v>
      </c>
      <c r="AF220" s="3" t="str">
        <f>IFERROR(MID(VLOOKUP($B220,Seqs!$A:$B,2,0),AG220,1),"")</f>
        <v>C</v>
      </c>
      <c r="AG220" s="2">
        <v>255</v>
      </c>
      <c r="AH220" s="3" t="str">
        <f>IFERROR(MID(VLOOKUP($B220,Seqs!$A:$B,2,0),AI220,1),"")</f>
        <v>L</v>
      </c>
      <c r="AI220" s="2">
        <v>257</v>
      </c>
      <c r="AJ220" s="3" t="str">
        <f>IFERROR(MID(VLOOKUP($B220,Seqs!$A:$B,2,0),AK220,1),"")</f>
        <v>T</v>
      </c>
      <c r="AK220" s="2">
        <v>263</v>
      </c>
      <c r="AL220" s="3" t="str">
        <f>IFERROR(MID(VLOOKUP($B220,Seqs!$A:$B,2,0),AM220,1),"")</f>
        <v>K</v>
      </c>
      <c r="AM220" s="2">
        <v>303</v>
      </c>
      <c r="AN220" s="3" t="str">
        <f>IFERROR(MID(VLOOKUP($B220,Seqs!$A:$B,2,0),AO220,1),"")</f>
        <v>N</v>
      </c>
      <c r="AO220" s="2">
        <v>312</v>
      </c>
      <c r="AP220" s="3" t="str">
        <f>IFERROR(MID(VLOOKUP($B220,Seqs!$A:$B,2,0),AQ220,1),"")</f>
        <v>Y</v>
      </c>
      <c r="AQ220" s="2">
        <v>350</v>
      </c>
      <c r="AR220" s="3" t="str">
        <f>IFERROR(MID(VLOOKUP($B220,Seqs!$A:$B,2,0),AS220,1),"")</f>
        <v>R</v>
      </c>
      <c r="AS220" s="2">
        <v>357</v>
      </c>
      <c r="AT220" s="3" t="str">
        <f>IFERROR(MID(VLOOKUP($B220,Seqs!$A:$B,2,0),AU220,1),"")</f>
        <v>V</v>
      </c>
      <c r="AU220" s="2">
        <v>389</v>
      </c>
      <c r="AV220" s="3" t="str">
        <f>IFERROR(MID(VLOOKUP($B220,Seqs!$A:$B,2,0),AW220,1),"")</f>
        <v>S</v>
      </c>
      <c r="AW220" s="2">
        <v>390</v>
      </c>
      <c r="AX220" s="3" t="str">
        <f>IFERROR(MID(VLOOKUP($B220,Seqs!$A:$B,2,0),AY220,1),"")</f>
        <v>C</v>
      </c>
      <c r="AY220" s="2">
        <v>403</v>
      </c>
      <c r="AZ220" s="77" t="str">
        <f>VLOOKUP(B220,Classification!A:D,2,0)</f>
        <v>A</v>
      </c>
      <c r="BA220" s="94" t="str">
        <f>VLOOKUP(B220,Classification!A:D,4,0)</f>
        <v>Endothelin</v>
      </c>
      <c r="BB220" s="27" t="b">
        <f t="shared" si="1008"/>
        <v>1</v>
      </c>
      <c r="BC220" s="23">
        <f t="shared" si="1705"/>
        <v>270</v>
      </c>
      <c r="BD220" s="2" t="s">
        <v>23</v>
      </c>
      <c r="BE220" s="3" t="s">
        <v>1374</v>
      </c>
      <c r="BF220" s="118">
        <v>2.5</v>
      </c>
      <c r="BG220" s="49" t="s">
        <v>1377</v>
      </c>
      <c r="BH220" s="49" t="s">
        <v>1377</v>
      </c>
      <c r="BI220" s="2"/>
      <c r="BJ220" s="70" t="s">
        <v>1287</v>
      </c>
      <c r="BK220" s="57" t="s">
        <v>1287</v>
      </c>
      <c r="BL220" s="57" t="s">
        <v>1287</v>
      </c>
      <c r="BM220" s="57" t="s">
        <v>1287</v>
      </c>
      <c r="BN220" s="57" t="s">
        <v>1287</v>
      </c>
      <c r="BO220" s="57" t="s">
        <v>1287</v>
      </c>
      <c r="BP220" s="57" t="s">
        <v>1287</v>
      </c>
      <c r="BQ220" s="57" t="s">
        <v>1287</v>
      </c>
      <c r="BR220" s="57" t="s">
        <v>1287</v>
      </c>
      <c r="BS220" s="57" t="s">
        <v>1287</v>
      </c>
      <c r="BT220" s="57" t="s">
        <v>1287</v>
      </c>
      <c r="BU220" s="57" t="s">
        <v>1287</v>
      </c>
      <c r="BV220" s="70">
        <f t="shared" si="1706"/>
        <v>91</v>
      </c>
      <c r="BW220" s="71">
        <f t="shared" si="1707"/>
        <v>130</v>
      </c>
      <c r="BX220" s="72">
        <f t="shared" si="1708"/>
        <v>135</v>
      </c>
      <c r="BY220" s="71">
        <f t="shared" si="1709"/>
        <v>166</v>
      </c>
      <c r="BZ220" s="72">
        <f t="shared" si="1710"/>
        <v>170</v>
      </c>
      <c r="CA220" s="71" t="str">
        <f t="shared" si="1711"/>
        <v>-</v>
      </c>
      <c r="CB220" s="72">
        <f t="shared" si="1712"/>
        <v>216</v>
      </c>
      <c r="CC220" s="71">
        <f t="shared" si="1713"/>
        <v>255</v>
      </c>
      <c r="CD220" s="72">
        <f t="shared" si="1714"/>
        <v>263</v>
      </c>
      <c r="CE220" s="71">
        <f t="shared" si="1715"/>
        <v>312</v>
      </c>
      <c r="CF220" s="72">
        <f t="shared" si="1716"/>
        <v>357</v>
      </c>
      <c r="CG220" s="71">
        <f t="shared" si="1717"/>
        <v>390</v>
      </c>
      <c r="CH220" s="70">
        <f t="shared" si="1718"/>
        <v>129</v>
      </c>
      <c r="CI220" s="71">
        <f t="shared" si="1719"/>
        <v>134</v>
      </c>
      <c r="CJ220" s="72">
        <f t="shared" si="1720"/>
        <v>164</v>
      </c>
      <c r="CK220" s="72">
        <f t="shared" si="1721"/>
        <v>169</v>
      </c>
      <c r="CL220" s="72">
        <f t="shared" si="1722"/>
        <v>205</v>
      </c>
      <c r="CM220" s="72" t="str">
        <f t="shared" si="1723"/>
        <v>-</v>
      </c>
      <c r="CN220" s="72">
        <f t="shared" si="1724"/>
        <v>240</v>
      </c>
      <c r="CO220" s="72">
        <f t="shared" si="1725"/>
        <v>257</v>
      </c>
      <c r="CP220" s="72">
        <f t="shared" si="1726"/>
        <v>303</v>
      </c>
      <c r="CQ220" s="72">
        <f t="shared" si="1727"/>
        <v>350</v>
      </c>
      <c r="CR220" s="72">
        <f t="shared" si="1728"/>
        <v>389</v>
      </c>
      <c r="CS220" s="72">
        <f t="shared" si="1729"/>
        <v>403</v>
      </c>
      <c r="CT220" s="23">
        <f t="shared" si="1730"/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29" x14ac:dyDescent="0.2">
      <c r="A221" s="3" t="str">
        <f t="shared" ref="A221:A226" si="1731">CONCATENATE(B221,"_",C221)</f>
        <v>ednrb_human_5X93</v>
      </c>
      <c r="B221" s="2" t="s">
        <v>196</v>
      </c>
      <c r="C221" s="2" t="s">
        <v>1438</v>
      </c>
      <c r="D221" s="3" t="str">
        <f>IFERROR(MID(VLOOKUP($B221,Seqs!$A:$B,2,0),E221,1),"")</f>
        <v>Q</v>
      </c>
      <c r="E221" s="2">
        <v>91</v>
      </c>
      <c r="F221" s="3" t="str">
        <f>IFERROR(MID(VLOOKUP($B221,Seqs!$A:$B,2,0),G221,1),"")</f>
        <v>N</v>
      </c>
      <c r="G221" s="2">
        <v>129</v>
      </c>
      <c r="H221" s="3" t="str">
        <f>IFERROR(MID(VLOOKUP($B221,Seqs!$A:$B,2,0),I221,1),"")</f>
        <v>K</v>
      </c>
      <c r="I221" s="56">
        <v>130</v>
      </c>
      <c r="J221" s="3" t="str">
        <f>IFERROR(MID(VLOOKUP($B221,Seqs!$A:$B,2,0),K221,1),"")</f>
        <v>N</v>
      </c>
      <c r="K221" s="56">
        <v>134</v>
      </c>
      <c r="L221" s="3" t="str">
        <f>IFERROR(MID(VLOOKUP($B221,Seqs!$A:$B,2,0),M221,1),"")</f>
        <v>G</v>
      </c>
      <c r="M221" s="2">
        <v>135</v>
      </c>
      <c r="N221" s="3" t="str">
        <f>IFERROR(MID(VLOOKUP($B221,Seqs!$A:$B,2,0),O221,1),"")</f>
        <v>A</v>
      </c>
      <c r="O221" s="2">
        <v>164</v>
      </c>
      <c r="P221" s="3" t="str">
        <f>IFERROR(MID(VLOOKUP($B221,Seqs!$A:$B,2,0),Q221,1),"")</f>
        <v>D</v>
      </c>
      <c r="Q221" s="2">
        <v>166</v>
      </c>
      <c r="R221" s="3" t="str">
        <f>IFERROR(MID(VLOOKUP($B221,Seqs!$A:$B,2,0),S221,1),"")</f>
        <v>F</v>
      </c>
      <c r="S221" s="2">
        <v>169</v>
      </c>
      <c r="T221" s="3" t="str">
        <f>IFERROR(MID(VLOOKUP($B221,Seqs!$A:$B,2,0),U221,1),"")</f>
        <v>G</v>
      </c>
      <c r="U221" s="4">
        <v>170</v>
      </c>
      <c r="V221" s="3" t="str">
        <f>IFERROR(MID(VLOOKUP($B221,Seqs!$A:$B,2,0),W221,1),"")</f>
        <v>S</v>
      </c>
      <c r="W221" s="2">
        <v>205</v>
      </c>
      <c r="X221" s="3" t="str">
        <f>IFERROR(MID(VLOOKUP($B221,Seqs!$A:$B,2,0),Y221,1),"")</f>
        <v/>
      </c>
      <c r="Y221" s="2" t="s">
        <v>23</v>
      </c>
      <c r="Z221" s="3" t="str">
        <f>IFERROR(MID(VLOOKUP($B221,Seqs!$A:$B,2,0),AA221,1),"")</f>
        <v/>
      </c>
      <c r="AA221" s="2" t="s">
        <v>23</v>
      </c>
      <c r="AB221" s="3" t="str">
        <f>IFERROR(MID(VLOOKUP($B221,Seqs!$A:$B,2,0),AC221,1),"")</f>
        <v>K</v>
      </c>
      <c r="AC221" s="2">
        <v>216</v>
      </c>
      <c r="AD221" s="3" t="str">
        <f>IFERROR(MID(VLOOKUP($B221,Seqs!$A:$B,2,0),AE221,1),"")</f>
        <v>F</v>
      </c>
      <c r="AE221" s="2">
        <v>240</v>
      </c>
      <c r="AF221" s="3" t="str">
        <f>IFERROR(MID(VLOOKUP($B221,Seqs!$A:$B,2,0),AG221,1),"")</f>
        <v>C</v>
      </c>
      <c r="AG221" s="2">
        <v>255</v>
      </c>
      <c r="AH221" s="3" t="str">
        <f>IFERROR(MID(VLOOKUP($B221,Seqs!$A:$B,2,0),AI221,1),"")</f>
        <v>L</v>
      </c>
      <c r="AI221" s="2">
        <v>257</v>
      </c>
      <c r="AJ221" s="3" t="str">
        <f>IFERROR(MID(VLOOKUP($B221,Seqs!$A:$B,2,0),AK221,1),"")</f>
        <v>T</v>
      </c>
      <c r="AK221" s="2">
        <v>263</v>
      </c>
      <c r="AL221" s="3" t="str">
        <f>IFERROR(MID(VLOOKUP($B221,Seqs!$A:$B,2,0),AM221,1),"")</f>
        <v>K</v>
      </c>
      <c r="AM221" s="2">
        <v>303</v>
      </c>
      <c r="AN221" s="3" t="str">
        <f>IFERROR(MID(VLOOKUP($B221,Seqs!$A:$B,2,0),AO221,1),"")</f>
        <v>N</v>
      </c>
      <c r="AO221" s="2">
        <v>312</v>
      </c>
      <c r="AP221" s="3" t="str">
        <f>IFERROR(MID(VLOOKUP($B221,Seqs!$A:$B,2,0),AQ221,1),"")</f>
        <v>Y</v>
      </c>
      <c r="AQ221" s="2">
        <v>350</v>
      </c>
      <c r="AR221" s="3" t="str">
        <f>IFERROR(MID(VLOOKUP($B221,Seqs!$A:$B,2,0),AS221,1),"")</f>
        <v>R</v>
      </c>
      <c r="AS221" s="2">
        <v>357</v>
      </c>
      <c r="AT221" s="3" t="str">
        <f>IFERROR(MID(VLOOKUP($B221,Seqs!$A:$B,2,0),AU221,1),"")</f>
        <v>V</v>
      </c>
      <c r="AU221" s="2">
        <v>389</v>
      </c>
      <c r="AV221" s="3" t="str">
        <f>IFERROR(MID(VLOOKUP($B221,Seqs!$A:$B,2,0),AW221,1),"")</f>
        <v>S</v>
      </c>
      <c r="AW221" s="2">
        <v>390</v>
      </c>
      <c r="AX221" s="3" t="str">
        <f>IFERROR(MID(VLOOKUP($B221,Seqs!$A:$B,2,0),AY221,1),"")</f>
        <v>C</v>
      </c>
      <c r="AY221" s="2">
        <v>403</v>
      </c>
      <c r="AZ221" s="77" t="str">
        <f>VLOOKUP(B221,Classification!A:D,2,0)</f>
        <v>A</v>
      </c>
      <c r="BA221" s="94" t="str">
        <f>VLOOKUP(B221,Classification!A:D,4,0)</f>
        <v>Endothelin</v>
      </c>
      <c r="BB221" s="27" t="b">
        <f t="shared" ref="BB221:BB226" si="1732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23">
        <f t="shared" ref="BC221:BC226" si="1733">_xlfn.AGGREGATE(9,6,CH221:CS221)-_xlfn.AGGREGATE(9,6,BV221:CG221)+12</f>
        <v>270</v>
      </c>
      <c r="BD221" s="2" t="s">
        <v>1376</v>
      </c>
      <c r="BE221" s="3" t="s">
        <v>1374</v>
      </c>
      <c r="BF221" s="118">
        <v>2.2000000000000002</v>
      </c>
      <c r="BG221" s="49" t="s">
        <v>1</v>
      </c>
      <c r="BH221" s="49" t="s">
        <v>1</v>
      </c>
      <c r="BI221" s="2"/>
      <c r="BJ221" s="70" t="s">
        <v>1287</v>
      </c>
      <c r="BK221" s="57" t="s">
        <v>1287</v>
      </c>
      <c r="BL221" s="57" t="s">
        <v>1287</v>
      </c>
      <c r="BM221" s="57" t="s">
        <v>1287</v>
      </c>
      <c r="BN221" s="57" t="s">
        <v>1287</v>
      </c>
      <c r="BO221" s="57" t="s">
        <v>1287</v>
      </c>
      <c r="BP221" s="57" t="s">
        <v>1287</v>
      </c>
      <c r="BQ221" s="57" t="s">
        <v>1287</v>
      </c>
      <c r="BR221" s="57" t="s">
        <v>1287</v>
      </c>
      <c r="BS221" s="57" t="s">
        <v>1287</v>
      </c>
      <c r="BT221" s="57" t="s">
        <v>1287</v>
      </c>
      <c r="BU221" s="57" t="s">
        <v>1287</v>
      </c>
      <c r="BV221" s="70">
        <f t="shared" ref="BV221:BV226" si="1734">E221</f>
        <v>91</v>
      </c>
      <c r="BW221" s="71">
        <f t="shared" ref="BW221:BW226" si="1735">I221</f>
        <v>130</v>
      </c>
      <c r="BX221" s="72">
        <f t="shared" ref="BX221:BX226" si="1736">M221</f>
        <v>135</v>
      </c>
      <c r="BY221" s="71">
        <f t="shared" ref="BY221:BY226" si="1737">Q221</f>
        <v>166</v>
      </c>
      <c r="BZ221" s="72">
        <f t="shared" ref="BZ221:BZ226" si="1738">U221</f>
        <v>170</v>
      </c>
      <c r="CA221" s="71" t="str">
        <f t="shared" ref="CA221:CA226" si="1739">Y221</f>
        <v>-</v>
      </c>
      <c r="CB221" s="72">
        <f t="shared" ref="CB221:CB226" si="1740">AC221</f>
        <v>216</v>
      </c>
      <c r="CC221" s="71">
        <f t="shared" ref="CC221:CC226" si="1741">AG221</f>
        <v>255</v>
      </c>
      <c r="CD221" s="72">
        <f t="shared" ref="CD221:CD226" si="1742">AK221</f>
        <v>263</v>
      </c>
      <c r="CE221" s="71">
        <f t="shared" ref="CE221:CE226" si="1743">AO221</f>
        <v>312</v>
      </c>
      <c r="CF221" s="72">
        <f t="shared" ref="CF221:CF226" si="1744">AS221</f>
        <v>357</v>
      </c>
      <c r="CG221" s="71">
        <f t="shared" ref="CG221:CG226" si="1745">AW221</f>
        <v>390</v>
      </c>
      <c r="CH221" s="70">
        <f t="shared" ref="CH221:CH226" si="1746">G221</f>
        <v>129</v>
      </c>
      <c r="CI221" s="71">
        <f t="shared" ref="CI221:CI226" si="1747">K221</f>
        <v>134</v>
      </c>
      <c r="CJ221" s="72">
        <f t="shared" ref="CJ221:CJ226" si="1748">O221</f>
        <v>164</v>
      </c>
      <c r="CK221" s="72">
        <f t="shared" ref="CK221:CK226" si="1749">S221</f>
        <v>169</v>
      </c>
      <c r="CL221" s="72">
        <f t="shared" ref="CL221:CL226" si="1750">W221</f>
        <v>205</v>
      </c>
      <c r="CM221" s="72" t="str">
        <f t="shared" ref="CM221:CM226" si="1751">AA221</f>
        <v>-</v>
      </c>
      <c r="CN221" s="72">
        <f t="shared" ref="CN221:CN226" si="1752">AE221</f>
        <v>240</v>
      </c>
      <c r="CO221" s="72">
        <f t="shared" ref="CO221:CO226" si="1753">AI221</f>
        <v>257</v>
      </c>
      <c r="CP221" s="72">
        <f t="shared" ref="CP221:CP226" si="1754">AM221</f>
        <v>303</v>
      </c>
      <c r="CQ221" s="72">
        <f t="shared" ref="CQ221:CQ226" si="1755">AQ221</f>
        <v>350</v>
      </c>
      <c r="CR221" s="72">
        <f t="shared" ref="CR221:CR226" si="1756">AU221</f>
        <v>389</v>
      </c>
      <c r="CS221" s="72">
        <f t="shared" ref="CS221:CS226" si="1757">AY221</f>
        <v>403</v>
      </c>
      <c r="CT221" s="23">
        <f t="shared" ref="CT221:CT226" si="1758">M221-K221</f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29" x14ac:dyDescent="0.2">
      <c r="A222" s="3" t="str">
        <f t="shared" si="1731"/>
        <v>ednrb_human_5XPR</v>
      </c>
      <c r="B222" s="2" t="s">
        <v>196</v>
      </c>
      <c r="C222" s="2" t="s">
        <v>1439</v>
      </c>
      <c r="D222" s="3" t="str">
        <f>IFERROR(MID(VLOOKUP($B222,Seqs!$A:$B,2,0),E222,1),"")</f>
        <v>G</v>
      </c>
      <c r="E222" s="2">
        <v>92</v>
      </c>
      <c r="F222" s="3" t="str">
        <f>IFERROR(MID(VLOOKUP($B222,Seqs!$A:$B,2,0),G222,1),"")</f>
        <v>N</v>
      </c>
      <c r="G222" s="2">
        <v>129</v>
      </c>
      <c r="H222" s="3" t="str">
        <f>IFERROR(MID(VLOOKUP($B222,Seqs!$A:$B,2,0),I222,1),"")</f>
        <v>K</v>
      </c>
      <c r="I222" s="56">
        <v>130</v>
      </c>
      <c r="J222" s="3" t="str">
        <f>IFERROR(MID(VLOOKUP($B222,Seqs!$A:$B,2,0),K222,1),"")</f>
        <v>N</v>
      </c>
      <c r="K222" s="56">
        <v>134</v>
      </c>
      <c r="L222" s="3" t="str">
        <f>IFERROR(MID(VLOOKUP($B222,Seqs!$A:$B,2,0),M222,1),"")</f>
        <v>G</v>
      </c>
      <c r="M222" s="2">
        <v>135</v>
      </c>
      <c r="N222" s="3" t="str">
        <f>IFERROR(MID(VLOOKUP($B222,Seqs!$A:$B,2,0),O222,1),"")</f>
        <v>A</v>
      </c>
      <c r="O222" s="2">
        <v>164</v>
      </c>
      <c r="P222" s="3" t="str">
        <f>IFERROR(MID(VLOOKUP($B222,Seqs!$A:$B,2,0),Q222,1),"")</f>
        <v>D</v>
      </c>
      <c r="Q222" s="2">
        <v>166</v>
      </c>
      <c r="R222" s="3" t="str">
        <f>IFERROR(MID(VLOOKUP($B222,Seqs!$A:$B,2,0),S222,1),"")</f>
        <v>F</v>
      </c>
      <c r="S222" s="2">
        <v>169</v>
      </c>
      <c r="T222" s="3" t="str">
        <f>IFERROR(MID(VLOOKUP($B222,Seqs!$A:$B,2,0),U222,1),"")</f>
        <v>A</v>
      </c>
      <c r="U222" s="4">
        <v>171</v>
      </c>
      <c r="V222" s="3" t="str">
        <f>IFERROR(MID(VLOOKUP($B222,Seqs!$A:$B,2,0),W222,1),"")</f>
        <v>A</v>
      </c>
      <c r="W222" s="2">
        <v>202</v>
      </c>
      <c r="X222" s="3" t="str">
        <f>IFERROR(MID(VLOOKUP($B222,Seqs!$A:$B,2,0),Y222,1),"")</f>
        <v/>
      </c>
      <c r="Y222" s="2" t="s">
        <v>23</v>
      </c>
      <c r="Z222" s="3" t="str">
        <f>IFERROR(MID(VLOOKUP($B222,Seqs!$A:$B,2,0),AA222,1),"")</f>
        <v/>
      </c>
      <c r="AA222" s="2" t="s">
        <v>23</v>
      </c>
      <c r="AB222" s="3" t="str">
        <f>IFERROR(MID(VLOOKUP($B222,Seqs!$A:$B,2,0),AC222,1),"")</f>
        <v>K</v>
      </c>
      <c r="AC222" s="2">
        <v>216</v>
      </c>
      <c r="AD222" s="3" t="str">
        <f>IFERROR(MID(VLOOKUP($B222,Seqs!$A:$B,2,0),AE222,1),"")</f>
        <v>F</v>
      </c>
      <c r="AE222" s="2">
        <v>240</v>
      </c>
      <c r="AF222" s="3" t="str">
        <f>IFERROR(MID(VLOOKUP($B222,Seqs!$A:$B,2,0),AG222,1),"")</f>
        <v>C</v>
      </c>
      <c r="AG222" s="2">
        <v>255</v>
      </c>
      <c r="AH222" s="3" t="str">
        <f>IFERROR(MID(VLOOKUP($B222,Seqs!$A:$B,2,0),AI222,1),"")</f>
        <v>L</v>
      </c>
      <c r="AI222" s="2">
        <v>257</v>
      </c>
      <c r="AJ222" s="3" t="str">
        <f>IFERROR(MID(VLOOKUP($B222,Seqs!$A:$B,2,0),AK222,1),"")</f>
        <v>T</v>
      </c>
      <c r="AK222" s="2">
        <v>263</v>
      </c>
      <c r="AL222" s="3" t="str">
        <f>IFERROR(MID(VLOOKUP($B222,Seqs!$A:$B,2,0),AM222,1),"")</f>
        <v>K</v>
      </c>
      <c r="AM222" s="2">
        <v>303</v>
      </c>
      <c r="AN222" s="3" t="str">
        <f>IFERROR(MID(VLOOKUP($B222,Seqs!$A:$B,2,0),AO222,1),"")</f>
        <v>N</v>
      </c>
      <c r="AO222" s="2">
        <v>312</v>
      </c>
      <c r="AP222" s="3" t="str">
        <f>IFERROR(MID(VLOOKUP($B222,Seqs!$A:$B,2,0),AQ222,1),"")</f>
        <v>L</v>
      </c>
      <c r="AQ222" s="2">
        <v>349</v>
      </c>
      <c r="AR222" s="3" t="str">
        <f>IFERROR(MID(VLOOKUP($B222,Seqs!$A:$B,2,0),AS222,1),"")</f>
        <v>N</v>
      </c>
      <c r="AS222" s="2">
        <v>356</v>
      </c>
      <c r="AT222" s="3" t="str">
        <f>IFERROR(MID(VLOOKUP($B222,Seqs!$A:$B,2,0),AU222,1),"")</f>
        <v>V</v>
      </c>
      <c r="AU222" s="2">
        <v>389</v>
      </c>
      <c r="AV222" s="3" t="str">
        <f>IFERROR(MID(VLOOKUP($B222,Seqs!$A:$B,2,0),AW222,1),"")</f>
        <v>S</v>
      </c>
      <c r="AW222" s="2">
        <v>390</v>
      </c>
      <c r="AX222" s="3" t="str">
        <f>IFERROR(MID(VLOOKUP($B222,Seqs!$A:$B,2,0),AY222,1),"")</f>
        <v>C</v>
      </c>
      <c r="AY222" s="2">
        <v>402</v>
      </c>
      <c r="AZ222" s="77" t="str">
        <f>VLOOKUP(B222,Classification!A:D,2,0)</f>
        <v>A</v>
      </c>
      <c r="BA222" s="94" t="str">
        <f>VLOOKUP(B222,Classification!A:D,4,0)</f>
        <v>Endothelin</v>
      </c>
      <c r="BB222" s="27" t="b">
        <f t="shared" si="1732"/>
        <v>1</v>
      </c>
      <c r="BC222" s="23">
        <f t="shared" si="1733"/>
        <v>264</v>
      </c>
      <c r="BD222" s="2" t="s">
        <v>23</v>
      </c>
      <c r="BE222" s="3" t="s">
        <v>1374</v>
      </c>
      <c r="BF222" s="118">
        <v>3.6</v>
      </c>
      <c r="BG222" s="49" t="s">
        <v>1</v>
      </c>
      <c r="BH222" s="49" t="s">
        <v>1</v>
      </c>
      <c r="BI222" s="2"/>
      <c r="BJ222" s="70" t="s">
        <v>1287</v>
      </c>
      <c r="BK222" s="57" t="s">
        <v>1287</v>
      </c>
      <c r="BL222" s="57" t="s">
        <v>1287</v>
      </c>
      <c r="BM222" s="57" t="s">
        <v>1287</v>
      </c>
      <c r="BN222" s="57" t="s">
        <v>1287</v>
      </c>
      <c r="BO222" s="57" t="s">
        <v>1287</v>
      </c>
      <c r="BP222" s="57" t="s">
        <v>1287</v>
      </c>
      <c r="BQ222" s="57" t="s">
        <v>1287</v>
      </c>
      <c r="BR222" s="57" t="s">
        <v>1287</v>
      </c>
      <c r="BS222" s="57" t="s">
        <v>1287</v>
      </c>
      <c r="BT222" s="57" t="s">
        <v>1287</v>
      </c>
      <c r="BU222" s="57" t="s">
        <v>1287</v>
      </c>
      <c r="BV222" s="70">
        <f t="shared" si="1734"/>
        <v>92</v>
      </c>
      <c r="BW222" s="71">
        <f t="shared" si="1735"/>
        <v>130</v>
      </c>
      <c r="BX222" s="72">
        <f t="shared" si="1736"/>
        <v>135</v>
      </c>
      <c r="BY222" s="71">
        <f t="shared" si="1737"/>
        <v>166</v>
      </c>
      <c r="BZ222" s="72">
        <f t="shared" si="1738"/>
        <v>171</v>
      </c>
      <c r="CA222" s="71" t="str">
        <f t="shared" si="1739"/>
        <v>-</v>
      </c>
      <c r="CB222" s="72">
        <f t="shared" si="1740"/>
        <v>216</v>
      </c>
      <c r="CC222" s="71">
        <f t="shared" si="1741"/>
        <v>255</v>
      </c>
      <c r="CD222" s="72">
        <f t="shared" si="1742"/>
        <v>263</v>
      </c>
      <c r="CE222" s="71">
        <f t="shared" si="1743"/>
        <v>312</v>
      </c>
      <c r="CF222" s="72">
        <f t="shared" si="1744"/>
        <v>356</v>
      </c>
      <c r="CG222" s="71">
        <f t="shared" si="1745"/>
        <v>390</v>
      </c>
      <c r="CH222" s="70">
        <f t="shared" si="1746"/>
        <v>129</v>
      </c>
      <c r="CI222" s="71">
        <f t="shared" si="1747"/>
        <v>134</v>
      </c>
      <c r="CJ222" s="72">
        <f t="shared" si="1748"/>
        <v>164</v>
      </c>
      <c r="CK222" s="72">
        <f t="shared" si="1749"/>
        <v>169</v>
      </c>
      <c r="CL222" s="72">
        <f t="shared" si="1750"/>
        <v>202</v>
      </c>
      <c r="CM222" s="72" t="str">
        <f t="shared" si="1751"/>
        <v>-</v>
      </c>
      <c r="CN222" s="72">
        <f t="shared" si="1752"/>
        <v>240</v>
      </c>
      <c r="CO222" s="72">
        <f t="shared" si="1753"/>
        <v>257</v>
      </c>
      <c r="CP222" s="72">
        <f t="shared" si="1754"/>
        <v>303</v>
      </c>
      <c r="CQ222" s="72">
        <f t="shared" si="1755"/>
        <v>349</v>
      </c>
      <c r="CR222" s="72">
        <f t="shared" si="1756"/>
        <v>389</v>
      </c>
      <c r="CS222" s="72">
        <f t="shared" si="1757"/>
        <v>402</v>
      </c>
      <c r="CT222" s="23">
        <f t="shared" si="1758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29" s="12" customFormat="1" x14ac:dyDescent="0.2">
      <c r="A223" s="9" t="str">
        <f t="shared" si="1731"/>
        <v>ednrb_human_6IGL</v>
      </c>
      <c r="B223" s="40" t="s">
        <v>196</v>
      </c>
      <c r="C223" s="40" t="s">
        <v>1528</v>
      </c>
      <c r="D223" s="9" t="str">
        <f>IFERROR(MID(VLOOKUP($B223,Seqs!$A:$B,2,0),E223,1),"")</f>
        <v>K</v>
      </c>
      <c r="E223" s="40">
        <v>97</v>
      </c>
      <c r="F223" s="9" t="str">
        <f>IFERROR(MID(VLOOKUP($B223,Seqs!$A:$B,2,0),G223,1),"")</f>
        <v>N</v>
      </c>
      <c r="G223" s="40">
        <v>129</v>
      </c>
      <c r="H223" s="9" t="str">
        <f>IFERROR(MID(VLOOKUP($B223,Seqs!$A:$B,2,0),I223,1),"")</f>
        <v/>
      </c>
      <c r="I223" s="129" t="s">
        <v>23</v>
      </c>
      <c r="J223" s="9" t="str">
        <f>IFERROR(MID(VLOOKUP($B223,Seqs!$A:$B,2,0),K223,1),"")</f>
        <v/>
      </c>
      <c r="K223" s="129" t="s">
        <v>23</v>
      </c>
      <c r="L223" s="9" t="str">
        <f>IFERROR(MID(VLOOKUP($B223,Seqs!$A:$B,2,0),M223,1),"")</f>
        <v>N</v>
      </c>
      <c r="M223" s="40">
        <v>134</v>
      </c>
      <c r="N223" s="9" t="str">
        <f>IFERROR(MID(VLOOKUP($B223,Seqs!$A:$B,2,0),O223,1),"")</f>
        <v>E</v>
      </c>
      <c r="O223" s="40">
        <v>165</v>
      </c>
      <c r="P223" s="9" t="str">
        <f>IFERROR(MID(VLOOKUP($B223,Seqs!$A:$B,2,0),Q223,1),"")</f>
        <v>D</v>
      </c>
      <c r="Q223" s="40">
        <v>166</v>
      </c>
      <c r="R223" s="9" t="str">
        <f>IFERROR(MID(VLOOKUP($B223,Seqs!$A:$B,2,0),S223,1),"")</f>
        <v>F</v>
      </c>
      <c r="S223" s="40">
        <v>169</v>
      </c>
      <c r="T223" s="9" t="str">
        <f>IFERROR(MID(VLOOKUP($B223,Seqs!$A:$B,2,0),U223,1),"")</f>
        <v>G</v>
      </c>
      <c r="U223" s="11">
        <v>170</v>
      </c>
      <c r="V223" s="9" t="str">
        <f>IFERROR(MID(VLOOKUP($B223,Seqs!$A:$B,2,0),W223,1),"")</f>
        <v>V</v>
      </c>
      <c r="W223" s="40">
        <v>203</v>
      </c>
      <c r="X223" s="9" t="str">
        <f>IFERROR(MID(VLOOKUP($B223,Seqs!$A:$B,2,0),Y223,1),"")</f>
        <v/>
      </c>
      <c r="Y223" s="40" t="s">
        <v>23</v>
      </c>
      <c r="Z223" s="9" t="str">
        <f>IFERROR(MID(VLOOKUP($B223,Seqs!$A:$B,2,0),AA223,1),"")</f>
        <v/>
      </c>
      <c r="AA223" s="40" t="s">
        <v>23</v>
      </c>
      <c r="AB223" s="9" t="str">
        <f>IFERROR(MID(VLOOKUP($B223,Seqs!$A:$B,2,0),AC223,1),"")</f>
        <v>W</v>
      </c>
      <c r="AC223" s="40">
        <v>217</v>
      </c>
      <c r="AD223" s="9" t="str">
        <f>IFERROR(MID(VLOOKUP($B223,Seqs!$A:$B,2,0),AE223,1),"")</f>
        <v>F</v>
      </c>
      <c r="AE223" s="40">
        <v>240</v>
      </c>
      <c r="AF223" s="9" t="str">
        <f>IFERROR(MID(VLOOKUP($B223,Seqs!$A:$B,2,0),AG223,1),"")</f>
        <v>C</v>
      </c>
      <c r="AG223" s="40">
        <v>255</v>
      </c>
      <c r="AH223" s="9" t="str">
        <f>IFERROR(MID(VLOOKUP($B223,Seqs!$A:$B,2,0),AI223,1),"")</f>
        <v>L</v>
      </c>
      <c r="AI223" s="40">
        <v>257</v>
      </c>
      <c r="AJ223" s="9" t="str">
        <f>IFERROR(MID(VLOOKUP($B223,Seqs!$A:$B,2,0),AK223,1),"")</f>
        <v>T</v>
      </c>
      <c r="AK223" s="40">
        <v>263</v>
      </c>
      <c r="AL223" s="9" t="str">
        <f>IFERROR(MID(VLOOKUP($B223,Seqs!$A:$B,2,0),AM223,1),"")</f>
        <v>K</v>
      </c>
      <c r="AM223" s="40">
        <v>303</v>
      </c>
      <c r="AN223" s="9" t="str">
        <f>IFERROR(MID(VLOOKUP($B223,Seqs!$A:$B,2,0),AO223,1),"")</f>
        <v>N</v>
      </c>
      <c r="AO223" s="40">
        <v>312</v>
      </c>
      <c r="AP223" s="9" t="str">
        <f>IFERROR(MID(VLOOKUP($B223,Seqs!$A:$B,2,0),AQ223,1),"")</f>
        <v>Y</v>
      </c>
      <c r="AQ223" s="40">
        <v>350</v>
      </c>
      <c r="AR223" s="9" t="str">
        <f>IFERROR(MID(VLOOKUP($B223,Seqs!$A:$B,2,0),AS223,1),"")</f>
        <v>R</v>
      </c>
      <c r="AS223" s="40">
        <v>357</v>
      </c>
      <c r="AT223" s="9" t="str">
        <f>IFERROR(MID(VLOOKUP($B223,Seqs!$A:$B,2,0),AU223,1),"")</f>
        <v>V</v>
      </c>
      <c r="AU223" s="40">
        <v>389</v>
      </c>
      <c r="AV223" s="9" t="str">
        <f>IFERROR(MID(VLOOKUP($B223,Seqs!$A:$B,2,0),AW223,1),"")</f>
        <v>S</v>
      </c>
      <c r="AW223" s="40">
        <v>390</v>
      </c>
      <c r="AX223" s="9" t="str">
        <f>IFERROR(MID(VLOOKUP($B223,Seqs!$A:$B,2,0),AY223,1),"")</f>
        <v>L</v>
      </c>
      <c r="AY223" s="40">
        <v>401</v>
      </c>
      <c r="AZ223" s="110" t="str">
        <f>VLOOKUP(B223,Classification!A:D,2,0)</f>
        <v>A</v>
      </c>
      <c r="BA223" s="98" t="str">
        <f>VLOOKUP(B223,Classification!A:D,4,0)</f>
        <v>Endothelin</v>
      </c>
      <c r="BB223" s="36" t="b">
        <f t="shared" si="1732"/>
        <v>1</v>
      </c>
      <c r="BC223" s="109">
        <f t="shared" si="1733"/>
        <v>257</v>
      </c>
      <c r="BD223" s="40" t="s">
        <v>23</v>
      </c>
      <c r="BE223" s="9" t="s">
        <v>1374</v>
      </c>
      <c r="BF223" s="119">
        <v>2.7</v>
      </c>
      <c r="BG223" s="51" t="s">
        <v>1</v>
      </c>
      <c r="BH223" s="51" t="s">
        <v>1</v>
      </c>
      <c r="BI223" s="40"/>
      <c r="BJ223" s="111" t="s">
        <v>1287</v>
      </c>
      <c r="BK223" s="112" t="s">
        <v>1287</v>
      </c>
      <c r="BL223" s="112" t="s">
        <v>1287</v>
      </c>
      <c r="BM223" s="112" t="s">
        <v>1287</v>
      </c>
      <c r="BN223" s="112" t="s">
        <v>1287</v>
      </c>
      <c r="BO223" s="112" t="s">
        <v>1287</v>
      </c>
      <c r="BP223" s="112" t="s">
        <v>1287</v>
      </c>
      <c r="BQ223" s="112" t="s">
        <v>1287</v>
      </c>
      <c r="BR223" s="112" t="s">
        <v>1287</v>
      </c>
      <c r="BS223" s="112" t="s">
        <v>1287</v>
      </c>
      <c r="BT223" s="112" t="s">
        <v>1287</v>
      </c>
      <c r="BU223" s="112" t="s">
        <v>1287</v>
      </c>
      <c r="BV223" s="111">
        <f t="shared" si="1734"/>
        <v>97</v>
      </c>
      <c r="BW223" s="113" t="str">
        <f t="shared" si="1735"/>
        <v>-</v>
      </c>
      <c r="BX223" s="114">
        <f t="shared" si="1736"/>
        <v>134</v>
      </c>
      <c r="BY223" s="113">
        <f t="shared" si="1737"/>
        <v>166</v>
      </c>
      <c r="BZ223" s="114">
        <f t="shared" si="1738"/>
        <v>170</v>
      </c>
      <c r="CA223" s="113" t="str">
        <f t="shared" si="1739"/>
        <v>-</v>
      </c>
      <c r="CB223" s="114">
        <f t="shared" si="1740"/>
        <v>217</v>
      </c>
      <c r="CC223" s="113">
        <f t="shared" si="1741"/>
        <v>255</v>
      </c>
      <c r="CD223" s="114">
        <f t="shared" si="1742"/>
        <v>263</v>
      </c>
      <c r="CE223" s="113">
        <f t="shared" si="1743"/>
        <v>312</v>
      </c>
      <c r="CF223" s="114">
        <f t="shared" si="1744"/>
        <v>357</v>
      </c>
      <c r="CG223" s="113">
        <f t="shared" si="1745"/>
        <v>390</v>
      </c>
      <c r="CH223" s="111">
        <f t="shared" si="1746"/>
        <v>129</v>
      </c>
      <c r="CI223" s="113" t="str">
        <f t="shared" si="1747"/>
        <v>-</v>
      </c>
      <c r="CJ223" s="114">
        <f t="shared" si="1748"/>
        <v>165</v>
      </c>
      <c r="CK223" s="114">
        <f t="shared" si="1749"/>
        <v>169</v>
      </c>
      <c r="CL223" s="114">
        <f t="shared" si="1750"/>
        <v>203</v>
      </c>
      <c r="CM223" s="114" t="str">
        <f t="shared" si="1751"/>
        <v>-</v>
      </c>
      <c r="CN223" s="114">
        <f t="shared" si="1752"/>
        <v>240</v>
      </c>
      <c r="CO223" s="114">
        <f t="shared" si="1753"/>
        <v>257</v>
      </c>
      <c r="CP223" s="114">
        <f t="shared" si="1754"/>
        <v>303</v>
      </c>
      <c r="CQ223" s="114">
        <f t="shared" si="1755"/>
        <v>350</v>
      </c>
      <c r="CR223" s="114">
        <f t="shared" si="1756"/>
        <v>389</v>
      </c>
      <c r="CS223" s="114">
        <f t="shared" si="1757"/>
        <v>401</v>
      </c>
      <c r="CT223" s="109" t="e">
        <f t="shared" si="1758"/>
        <v>#VALUE!</v>
      </c>
    </row>
    <row r="224" spans="1:1029" s="12" customFormat="1" x14ac:dyDescent="0.2">
      <c r="A224" s="9" t="str">
        <f t="shared" si="1731"/>
        <v>ednrb_human_6IGK</v>
      </c>
      <c r="B224" s="40" t="s">
        <v>196</v>
      </c>
      <c r="C224" s="40" t="s">
        <v>1529</v>
      </c>
      <c r="D224" s="9" t="str">
        <f>IFERROR(MID(VLOOKUP($B224,Seqs!$A:$B,2,0),E224,1),"")</f>
        <v>K</v>
      </c>
      <c r="E224" s="40">
        <v>97</v>
      </c>
      <c r="F224" s="9" t="str">
        <f>IFERROR(MID(VLOOKUP($B224,Seqs!$A:$B,2,0),G224,1),"")</f>
        <v>N</v>
      </c>
      <c r="G224" s="40">
        <v>129</v>
      </c>
      <c r="H224" s="9" t="str">
        <f>IFERROR(MID(VLOOKUP($B224,Seqs!$A:$B,2,0),I224,1),"")</f>
        <v/>
      </c>
      <c r="I224" s="129" t="s">
        <v>23</v>
      </c>
      <c r="J224" s="9" t="str">
        <f>IFERROR(MID(VLOOKUP($B224,Seqs!$A:$B,2,0),K224,1),"")</f>
        <v/>
      </c>
      <c r="K224" s="129" t="s">
        <v>23</v>
      </c>
      <c r="L224" s="9" t="str">
        <f>IFERROR(MID(VLOOKUP($B224,Seqs!$A:$B,2,0),M224,1),"")</f>
        <v>N</v>
      </c>
      <c r="M224" s="40">
        <v>134</v>
      </c>
      <c r="N224" s="9" t="str">
        <f>IFERROR(MID(VLOOKUP($B224,Seqs!$A:$B,2,0),O224,1),"")</f>
        <v>E</v>
      </c>
      <c r="O224" s="40">
        <v>165</v>
      </c>
      <c r="P224" s="9" t="str">
        <f>IFERROR(MID(VLOOKUP($B224,Seqs!$A:$B,2,0),Q224,1),"")</f>
        <v>D</v>
      </c>
      <c r="Q224" s="40">
        <v>166</v>
      </c>
      <c r="R224" s="9" t="str">
        <f>IFERROR(MID(VLOOKUP($B224,Seqs!$A:$B,2,0),S224,1),"")</f>
        <v>F</v>
      </c>
      <c r="S224" s="40">
        <v>169</v>
      </c>
      <c r="T224" s="9" t="str">
        <f>IFERROR(MID(VLOOKUP($B224,Seqs!$A:$B,2,0),U224,1),"")</f>
        <v>G</v>
      </c>
      <c r="U224" s="11">
        <v>170</v>
      </c>
      <c r="V224" s="9" t="str">
        <f>IFERROR(MID(VLOOKUP($B224,Seqs!$A:$B,2,0),W224,1),"")</f>
        <v>S</v>
      </c>
      <c r="W224" s="40">
        <v>205</v>
      </c>
      <c r="X224" s="9" t="str">
        <f>IFERROR(MID(VLOOKUP($B224,Seqs!$A:$B,2,0),Y224,1),"")</f>
        <v/>
      </c>
      <c r="Y224" s="40" t="s">
        <v>23</v>
      </c>
      <c r="Z224" s="9" t="str">
        <f>IFERROR(MID(VLOOKUP($B224,Seqs!$A:$B,2,0),AA224,1),"")</f>
        <v/>
      </c>
      <c r="AA224" s="40" t="s">
        <v>23</v>
      </c>
      <c r="AB224" s="9" t="str">
        <f>IFERROR(MID(VLOOKUP($B224,Seqs!$A:$B,2,0),AC224,1),"")</f>
        <v>P</v>
      </c>
      <c r="AC224" s="40">
        <v>215</v>
      </c>
      <c r="AD224" s="9" t="str">
        <f>IFERROR(MID(VLOOKUP($B224,Seqs!$A:$B,2,0),AE224,1),"")</f>
        <v>F</v>
      </c>
      <c r="AE224" s="40">
        <v>240</v>
      </c>
      <c r="AF224" s="9" t="str">
        <f>IFERROR(MID(VLOOKUP($B224,Seqs!$A:$B,2,0),AG224,1),"")</f>
        <v>C</v>
      </c>
      <c r="AG224" s="40">
        <v>255</v>
      </c>
      <c r="AH224" s="9" t="str">
        <f>IFERROR(MID(VLOOKUP($B224,Seqs!$A:$B,2,0),AI224,1),"")</f>
        <v>L</v>
      </c>
      <c r="AI224" s="40">
        <v>257</v>
      </c>
      <c r="AJ224" s="9" t="str">
        <f>IFERROR(MID(VLOOKUP($B224,Seqs!$A:$B,2,0),AK224,1),"")</f>
        <v>T</v>
      </c>
      <c r="AK224" s="40">
        <v>263</v>
      </c>
      <c r="AL224" s="9" t="str">
        <f>IFERROR(MID(VLOOKUP($B224,Seqs!$A:$B,2,0),AM224,1),"")</f>
        <v>K</v>
      </c>
      <c r="AM224" s="40">
        <v>303</v>
      </c>
      <c r="AN224" s="9" t="str">
        <f>IFERROR(MID(VLOOKUP($B224,Seqs!$A:$B,2,0),AO224,1),"")</f>
        <v>N</v>
      </c>
      <c r="AO224" s="40">
        <v>312</v>
      </c>
      <c r="AP224" s="9" t="str">
        <f>IFERROR(MID(VLOOKUP($B224,Seqs!$A:$B,2,0),AQ224,1),"")</f>
        <v>Y</v>
      </c>
      <c r="AQ224" s="40">
        <v>350</v>
      </c>
      <c r="AR224" s="9" t="str">
        <f>IFERROR(MID(VLOOKUP($B224,Seqs!$A:$B,2,0),AS224,1),"")</f>
        <v>N</v>
      </c>
      <c r="AS224" s="40">
        <v>356</v>
      </c>
      <c r="AT224" s="9" t="str">
        <f>IFERROR(MID(VLOOKUP($B224,Seqs!$A:$B,2,0),AU224,1),"")</f>
        <v>V</v>
      </c>
      <c r="AU224" s="40">
        <v>389</v>
      </c>
      <c r="AV224" s="9" t="str">
        <f>IFERROR(MID(VLOOKUP($B224,Seqs!$A:$B,2,0),AW224,1),"")</f>
        <v>S</v>
      </c>
      <c r="AW224" s="40">
        <v>390</v>
      </c>
      <c r="AX224" s="9" t="str">
        <f>IFERROR(MID(VLOOKUP($B224,Seqs!$A:$B,2,0),AY224,1),"")</f>
        <v>C</v>
      </c>
      <c r="AY224" s="40">
        <v>402</v>
      </c>
      <c r="AZ224" s="110" t="str">
        <f>VLOOKUP(B224,Classification!A:D,2,0)</f>
        <v>A</v>
      </c>
      <c r="BA224" s="98" t="str">
        <f>VLOOKUP(B224,Classification!A:D,4,0)</f>
        <v>Endothelin</v>
      </c>
      <c r="BB224" s="36" t="b">
        <f t="shared" si="1732"/>
        <v>1</v>
      </c>
      <c r="BC224" s="109">
        <f t="shared" si="1733"/>
        <v>263</v>
      </c>
      <c r="BD224" s="40" t="s">
        <v>23</v>
      </c>
      <c r="BE224" s="9" t="s">
        <v>1374</v>
      </c>
      <c r="BF224" s="119">
        <v>2</v>
      </c>
      <c r="BG224" s="51" t="s">
        <v>1</v>
      </c>
      <c r="BH224" s="51" t="s">
        <v>1</v>
      </c>
      <c r="BI224" s="40"/>
      <c r="BJ224" s="111" t="s">
        <v>1287</v>
      </c>
      <c r="BK224" s="112" t="s">
        <v>1287</v>
      </c>
      <c r="BL224" s="112" t="s">
        <v>1287</v>
      </c>
      <c r="BM224" s="112" t="s">
        <v>1287</v>
      </c>
      <c r="BN224" s="112" t="s">
        <v>1287</v>
      </c>
      <c r="BO224" s="112" t="s">
        <v>1287</v>
      </c>
      <c r="BP224" s="112" t="s">
        <v>1287</v>
      </c>
      <c r="BQ224" s="112" t="s">
        <v>1287</v>
      </c>
      <c r="BR224" s="112" t="s">
        <v>1287</v>
      </c>
      <c r="BS224" s="112" t="s">
        <v>1287</v>
      </c>
      <c r="BT224" s="112" t="s">
        <v>1287</v>
      </c>
      <c r="BU224" s="112" t="s">
        <v>1287</v>
      </c>
      <c r="BV224" s="111">
        <f t="shared" si="1734"/>
        <v>97</v>
      </c>
      <c r="BW224" s="113" t="str">
        <f t="shared" si="1735"/>
        <v>-</v>
      </c>
      <c r="BX224" s="114">
        <f t="shared" si="1736"/>
        <v>134</v>
      </c>
      <c r="BY224" s="113">
        <f t="shared" si="1737"/>
        <v>166</v>
      </c>
      <c r="BZ224" s="114">
        <f t="shared" si="1738"/>
        <v>170</v>
      </c>
      <c r="CA224" s="113" t="str">
        <f t="shared" si="1739"/>
        <v>-</v>
      </c>
      <c r="CB224" s="114">
        <f t="shared" si="1740"/>
        <v>215</v>
      </c>
      <c r="CC224" s="113">
        <f t="shared" si="1741"/>
        <v>255</v>
      </c>
      <c r="CD224" s="114">
        <f t="shared" si="1742"/>
        <v>263</v>
      </c>
      <c r="CE224" s="113">
        <f t="shared" si="1743"/>
        <v>312</v>
      </c>
      <c r="CF224" s="114">
        <f t="shared" si="1744"/>
        <v>356</v>
      </c>
      <c r="CG224" s="113">
        <f t="shared" si="1745"/>
        <v>390</v>
      </c>
      <c r="CH224" s="111">
        <f t="shared" si="1746"/>
        <v>129</v>
      </c>
      <c r="CI224" s="113" t="str">
        <f t="shared" si="1747"/>
        <v>-</v>
      </c>
      <c r="CJ224" s="114">
        <f t="shared" si="1748"/>
        <v>165</v>
      </c>
      <c r="CK224" s="114">
        <f t="shared" si="1749"/>
        <v>169</v>
      </c>
      <c r="CL224" s="114">
        <f t="shared" si="1750"/>
        <v>205</v>
      </c>
      <c r="CM224" s="114" t="str">
        <f t="shared" si="1751"/>
        <v>-</v>
      </c>
      <c r="CN224" s="114">
        <f t="shared" si="1752"/>
        <v>240</v>
      </c>
      <c r="CO224" s="114">
        <f t="shared" si="1753"/>
        <v>257</v>
      </c>
      <c r="CP224" s="114">
        <f t="shared" si="1754"/>
        <v>303</v>
      </c>
      <c r="CQ224" s="114">
        <f t="shared" si="1755"/>
        <v>350</v>
      </c>
      <c r="CR224" s="114">
        <f t="shared" si="1756"/>
        <v>389</v>
      </c>
      <c r="CS224" s="114">
        <f t="shared" si="1757"/>
        <v>402</v>
      </c>
      <c r="CT224" s="109" t="e">
        <f t="shared" si="1758"/>
        <v>#VALUE!</v>
      </c>
    </row>
    <row r="225" spans="1:1029" s="12" customFormat="1" x14ac:dyDescent="0.2">
      <c r="A225" s="9" t="str">
        <f t="shared" si="1731"/>
        <v>ednrb_human_6K1Q</v>
      </c>
      <c r="B225" s="40" t="s">
        <v>196</v>
      </c>
      <c r="C225" s="40" t="s">
        <v>1586</v>
      </c>
      <c r="D225" s="9" t="str">
        <f>IFERROR(MID(VLOOKUP($B225,Seqs!$A:$B,2,0),E225,1),"")</f>
        <v>Q</v>
      </c>
      <c r="E225" s="40">
        <v>91</v>
      </c>
      <c r="F225" s="9" t="str">
        <f>IFERROR(MID(VLOOKUP($B225,Seqs!$A:$B,2,0),G225,1),"")</f>
        <v>N</v>
      </c>
      <c r="G225" s="40">
        <v>129</v>
      </c>
      <c r="H225" s="9" t="str">
        <f>IFERROR(MID(VLOOKUP($B225,Seqs!$A:$B,2,0),I225,1),"")</f>
        <v/>
      </c>
      <c r="I225" s="129" t="s">
        <v>23</v>
      </c>
      <c r="J225" s="9" t="str">
        <f>IFERROR(MID(VLOOKUP($B225,Seqs!$A:$B,2,0),K225,1),"")</f>
        <v/>
      </c>
      <c r="K225" s="129" t="s">
        <v>23</v>
      </c>
      <c r="L225" s="9" t="str">
        <f>IFERROR(MID(VLOOKUP($B225,Seqs!$A:$B,2,0),M225,1),"")</f>
        <v>N</v>
      </c>
      <c r="M225" s="40">
        <v>134</v>
      </c>
      <c r="N225" s="9" t="str">
        <f>IFERROR(MID(VLOOKUP($B225,Seqs!$A:$B,2,0),O225,1),"")</f>
        <v>A</v>
      </c>
      <c r="O225" s="40">
        <v>164</v>
      </c>
      <c r="P225" s="9" t="str">
        <f>IFERROR(MID(VLOOKUP($B225,Seqs!$A:$B,2,0),Q225,1),"")</f>
        <v>D</v>
      </c>
      <c r="Q225" s="40">
        <v>166</v>
      </c>
      <c r="R225" s="9" t="str">
        <f>IFERROR(MID(VLOOKUP($B225,Seqs!$A:$B,2,0),S225,1),"")</f>
        <v>F</v>
      </c>
      <c r="S225" s="40">
        <v>169</v>
      </c>
      <c r="T225" s="9" t="str">
        <f>IFERROR(MID(VLOOKUP($B225,Seqs!$A:$B,2,0),U225,1),"")</f>
        <v>G</v>
      </c>
      <c r="U225" s="11">
        <v>170</v>
      </c>
      <c r="V225" s="9" t="str">
        <f>IFERROR(MID(VLOOKUP($B225,Seqs!$A:$B,2,0),W225,1),"")</f>
        <v>V</v>
      </c>
      <c r="W225" s="40">
        <v>203</v>
      </c>
      <c r="X225" s="9" t="str">
        <f>IFERROR(MID(VLOOKUP($B225,Seqs!$A:$B,2,0),Y225,1),"")</f>
        <v/>
      </c>
      <c r="Y225" s="40" t="s">
        <v>23</v>
      </c>
      <c r="Z225" s="9" t="str">
        <f>IFERROR(MID(VLOOKUP($B225,Seqs!$A:$B,2,0),AA225,1),"")</f>
        <v/>
      </c>
      <c r="AA225" s="40" t="s">
        <v>23</v>
      </c>
      <c r="AB225" s="9" t="str">
        <f>IFERROR(MID(VLOOKUP($B225,Seqs!$A:$B,2,0),AC225,1),"")</f>
        <v>K</v>
      </c>
      <c r="AC225" s="40">
        <v>216</v>
      </c>
      <c r="AD225" s="9" t="str">
        <f>IFERROR(MID(VLOOKUP($B225,Seqs!$A:$B,2,0),AE225,1),"")</f>
        <v>F</v>
      </c>
      <c r="AE225" s="40">
        <v>240</v>
      </c>
      <c r="AF225" s="9" t="str">
        <f>IFERROR(MID(VLOOKUP($B225,Seqs!$A:$B,2,0),AG225,1),"")</f>
        <v>C</v>
      </c>
      <c r="AG225" s="40">
        <v>255</v>
      </c>
      <c r="AH225" s="9" t="str">
        <f>IFERROR(MID(VLOOKUP($B225,Seqs!$A:$B,2,0),AI225,1),"")</f>
        <v>L</v>
      </c>
      <c r="AI225" s="40">
        <v>257</v>
      </c>
      <c r="AJ225" s="9" t="str">
        <f>IFERROR(MID(VLOOKUP($B225,Seqs!$A:$B,2,0),AK225,1),"")</f>
        <v>T</v>
      </c>
      <c r="AK225" s="40">
        <v>263</v>
      </c>
      <c r="AL225" s="9" t="str">
        <f>IFERROR(MID(VLOOKUP($B225,Seqs!$A:$B,2,0),AM225,1),"")</f>
        <v>K</v>
      </c>
      <c r="AM225" s="40">
        <v>303</v>
      </c>
      <c r="AN225" s="9" t="str">
        <f>IFERROR(MID(VLOOKUP($B225,Seqs!$A:$B,2,0),AO225,1),"")</f>
        <v>N</v>
      </c>
      <c r="AO225" s="40">
        <v>312</v>
      </c>
      <c r="AP225" s="9" t="str">
        <f>IFERROR(MID(VLOOKUP($B225,Seqs!$A:$B,2,0),AQ225,1),"")</f>
        <v>L</v>
      </c>
      <c r="AQ225" s="40">
        <v>349</v>
      </c>
      <c r="AR225" s="9" t="str">
        <f>IFERROR(MID(VLOOKUP($B225,Seqs!$A:$B,2,0),AS225,1),"")</f>
        <v>N</v>
      </c>
      <c r="AS225" s="40">
        <v>356</v>
      </c>
      <c r="AT225" s="9" t="str">
        <f>IFERROR(MID(VLOOKUP($B225,Seqs!$A:$B,2,0),AU225,1),"")</f>
        <v>V</v>
      </c>
      <c r="AU225" s="40">
        <v>389</v>
      </c>
      <c r="AV225" s="9" t="str">
        <f>IFERROR(MID(VLOOKUP($B225,Seqs!$A:$B,2,0),AW225,1),"")</f>
        <v>S</v>
      </c>
      <c r="AW225" s="40">
        <v>390</v>
      </c>
      <c r="AX225" s="9" t="str">
        <f>IFERROR(MID(VLOOKUP($B225,Seqs!$A:$B,2,0),AY225,1),"")</f>
        <v>C</v>
      </c>
      <c r="AY225" s="40">
        <v>403</v>
      </c>
      <c r="AZ225" s="110" t="str">
        <f>VLOOKUP(B225,Classification!A:D,2,0)</f>
        <v>A</v>
      </c>
      <c r="BA225" s="98" t="str">
        <f>VLOOKUP(B225,Classification!A:D,4,0)</f>
        <v>Endothelin</v>
      </c>
      <c r="BB225" s="36" t="b">
        <f t="shared" si="1732"/>
        <v>1</v>
      </c>
      <c r="BC225" s="109">
        <f t="shared" si="1733"/>
        <v>265</v>
      </c>
      <c r="BD225" s="40" t="s">
        <v>23</v>
      </c>
      <c r="BE225" s="9" t="s">
        <v>1374</v>
      </c>
      <c r="BF225" s="119">
        <v>2.7</v>
      </c>
      <c r="BG225" s="51" t="s">
        <v>1</v>
      </c>
      <c r="BH225" s="51" t="s">
        <v>1</v>
      </c>
      <c r="BI225" s="40"/>
      <c r="BJ225" s="111" t="s">
        <v>1287</v>
      </c>
      <c r="BK225" s="112" t="s">
        <v>1287</v>
      </c>
      <c r="BL225" s="112" t="s">
        <v>1287</v>
      </c>
      <c r="BM225" s="112" t="s">
        <v>1287</v>
      </c>
      <c r="BN225" s="112" t="s">
        <v>1287</v>
      </c>
      <c r="BO225" s="112" t="s">
        <v>1287</v>
      </c>
      <c r="BP225" s="112" t="s">
        <v>1287</v>
      </c>
      <c r="BQ225" s="112" t="s">
        <v>1287</v>
      </c>
      <c r="BR225" s="112" t="s">
        <v>1287</v>
      </c>
      <c r="BS225" s="112" t="s">
        <v>1287</v>
      </c>
      <c r="BT225" s="112" t="s">
        <v>1287</v>
      </c>
      <c r="BU225" s="112" t="s">
        <v>1287</v>
      </c>
      <c r="BV225" s="111">
        <f t="shared" si="1734"/>
        <v>91</v>
      </c>
      <c r="BW225" s="113" t="str">
        <f t="shared" si="1735"/>
        <v>-</v>
      </c>
      <c r="BX225" s="114">
        <f t="shared" si="1736"/>
        <v>134</v>
      </c>
      <c r="BY225" s="113">
        <f t="shared" si="1737"/>
        <v>166</v>
      </c>
      <c r="BZ225" s="114">
        <f t="shared" si="1738"/>
        <v>170</v>
      </c>
      <c r="CA225" s="113" t="str">
        <f t="shared" si="1739"/>
        <v>-</v>
      </c>
      <c r="CB225" s="114">
        <f t="shared" si="1740"/>
        <v>216</v>
      </c>
      <c r="CC225" s="113">
        <f t="shared" si="1741"/>
        <v>255</v>
      </c>
      <c r="CD225" s="114">
        <f t="shared" si="1742"/>
        <v>263</v>
      </c>
      <c r="CE225" s="113">
        <f t="shared" si="1743"/>
        <v>312</v>
      </c>
      <c r="CF225" s="114">
        <f t="shared" si="1744"/>
        <v>356</v>
      </c>
      <c r="CG225" s="113">
        <f t="shared" si="1745"/>
        <v>390</v>
      </c>
      <c r="CH225" s="111">
        <f t="shared" si="1746"/>
        <v>129</v>
      </c>
      <c r="CI225" s="113" t="str">
        <f t="shared" si="1747"/>
        <v>-</v>
      </c>
      <c r="CJ225" s="114">
        <f t="shared" si="1748"/>
        <v>164</v>
      </c>
      <c r="CK225" s="114">
        <f t="shared" si="1749"/>
        <v>169</v>
      </c>
      <c r="CL225" s="114">
        <f t="shared" si="1750"/>
        <v>203</v>
      </c>
      <c r="CM225" s="114" t="str">
        <f t="shared" si="1751"/>
        <v>-</v>
      </c>
      <c r="CN225" s="114">
        <f t="shared" si="1752"/>
        <v>240</v>
      </c>
      <c r="CO225" s="114">
        <f t="shared" si="1753"/>
        <v>257</v>
      </c>
      <c r="CP225" s="114">
        <f t="shared" si="1754"/>
        <v>303</v>
      </c>
      <c r="CQ225" s="114">
        <f t="shared" si="1755"/>
        <v>349</v>
      </c>
      <c r="CR225" s="114">
        <f t="shared" si="1756"/>
        <v>389</v>
      </c>
      <c r="CS225" s="114">
        <f t="shared" si="1757"/>
        <v>403</v>
      </c>
      <c r="CT225" s="109" t="e">
        <f t="shared" si="1758"/>
        <v>#VALUE!</v>
      </c>
    </row>
    <row r="226" spans="1:1029" s="12" customFormat="1" x14ac:dyDescent="0.2">
      <c r="A226" s="9" t="str">
        <f t="shared" si="1731"/>
        <v>ednrb_human_6LRY</v>
      </c>
      <c r="B226" s="40" t="s">
        <v>196</v>
      </c>
      <c r="C226" s="40" t="s">
        <v>1648</v>
      </c>
      <c r="D226" s="9" t="str">
        <f>IFERROR(MID(VLOOKUP($B226,Seqs!$A:$B,2,0),E226,1),"")</f>
        <v>K</v>
      </c>
      <c r="E226" s="40">
        <v>97</v>
      </c>
      <c r="F226" s="9" t="str">
        <f>IFERROR(MID(VLOOKUP($B226,Seqs!$A:$B,2,0),G226,1),"")</f>
        <v>N</v>
      </c>
      <c r="G226" s="40">
        <v>129</v>
      </c>
      <c r="H226" s="9" t="str">
        <f>IFERROR(MID(VLOOKUP($B226,Seqs!$A:$B,2,0),I226,1),"")</f>
        <v/>
      </c>
      <c r="I226" s="129" t="s">
        <v>23</v>
      </c>
      <c r="J226" s="9" t="str">
        <f>IFERROR(MID(VLOOKUP($B226,Seqs!$A:$B,2,0),K226,1),"")</f>
        <v/>
      </c>
      <c r="K226" s="129" t="s">
        <v>23</v>
      </c>
      <c r="L226" s="9" t="str">
        <f>IFERROR(MID(VLOOKUP($B226,Seqs!$A:$B,2,0),M226,1),"")</f>
        <v>G</v>
      </c>
      <c r="M226" s="40">
        <v>135</v>
      </c>
      <c r="N226" s="9" t="str">
        <f>IFERROR(MID(VLOOKUP($B226,Seqs!$A:$B,2,0),O226,1),"")</f>
        <v>A</v>
      </c>
      <c r="O226" s="40">
        <v>164</v>
      </c>
      <c r="P226" s="9" t="str">
        <f>IFERROR(MID(VLOOKUP($B226,Seqs!$A:$B,2,0),Q226,1),"")</f>
        <v>D</v>
      </c>
      <c r="Q226" s="40">
        <v>166</v>
      </c>
      <c r="R226" s="9" t="str">
        <f>IFERROR(MID(VLOOKUP($B226,Seqs!$A:$B,2,0),S226,1),"")</f>
        <v>F</v>
      </c>
      <c r="S226" s="40">
        <v>169</v>
      </c>
      <c r="T226" s="9" t="str">
        <f>IFERROR(MID(VLOOKUP($B226,Seqs!$A:$B,2,0),U226,1),"")</f>
        <v>G</v>
      </c>
      <c r="U226" s="11">
        <v>170</v>
      </c>
      <c r="V226" s="9" t="str">
        <f>IFERROR(MID(VLOOKUP($B226,Seqs!$A:$B,2,0),W226,1),"")</f>
        <v>A</v>
      </c>
      <c r="W226" s="40">
        <v>204</v>
      </c>
      <c r="X226" s="9" t="str">
        <f>IFERROR(MID(VLOOKUP($B226,Seqs!$A:$B,2,0),Y226,1),"")</f>
        <v/>
      </c>
      <c r="Y226" s="40" t="s">
        <v>23</v>
      </c>
      <c r="Z226" s="9" t="str">
        <f>IFERROR(MID(VLOOKUP($B226,Seqs!$A:$B,2,0),AA226,1),"")</f>
        <v/>
      </c>
      <c r="AA226" s="40" t="s">
        <v>23</v>
      </c>
      <c r="AB226" s="9" t="str">
        <f>IFERROR(MID(VLOOKUP($B226,Seqs!$A:$B,2,0),AC226,1),"")</f>
        <v>K</v>
      </c>
      <c r="AC226" s="40">
        <v>216</v>
      </c>
      <c r="AD226" s="9" t="str">
        <f>IFERROR(MID(VLOOKUP($B226,Seqs!$A:$B,2,0),AE226,1),"")</f>
        <v>F</v>
      </c>
      <c r="AE226" s="40">
        <v>240</v>
      </c>
      <c r="AF226" s="9" t="str">
        <f>IFERROR(MID(VLOOKUP($B226,Seqs!$A:$B,2,0),AG226,1),"")</f>
        <v>C</v>
      </c>
      <c r="AG226" s="40">
        <v>255</v>
      </c>
      <c r="AH226" s="9" t="str">
        <f>IFERROR(MID(VLOOKUP($B226,Seqs!$A:$B,2,0),AI226,1),"")</f>
        <v>L</v>
      </c>
      <c r="AI226" s="40">
        <v>257</v>
      </c>
      <c r="AJ226" s="9" t="str">
        <f>IFERROR(MID(VLOOKUP($B226,Seqs!$A:$B,2,0),AK226,1),"")</f>
        <v>T</v>
      </c>
      <c r="AK226" s="40">
        <v>263</v>
      </c>
      <c r="AL226" s="9" t="str">
        <f>IFERROR(MID(VLOOKUP($B226,Seqs!$A:$B,2,0),AM226,1),"")</f>
        <v>K</v>
      </c>
      <c r="AM226" s="40">
        <v>303</v>
      </c>
      <c r="AN226" s="9" t="str">
        <f>IFERROR(MID(VLOOKUP($B226,Seqs!$A:$B,2,0),AO226,1),"")</f>
        <v>N</v>
      </c>
      <c r="AO226" s="40">
        <v>312</v>
      </c>
      <c r="AP226" s="9" t="str">
        <f>IFERROR(MID(VLOOKUP($B226,Seqs!$A:$B,2,0),AQ226,1),"")</f>
        <v>Y</v>
      </c>
      <c r="AQ226" s="40">
        <v>350</v>
      </c>
      <c r="AR226" s="9" t="str">
        <f>IFERROR(MID(VLOOKUP($B226,Seqs!$A:$B,2,0),AS226,1),"")</f>
        <v>R</v>
      </c>
      <c r="AS226" s="40">
        <v>357</v>
      </c>
      <c r="AT226" s="9" t="str">
        <f>IFERROR(MID(VLOOKUP($B226,Seqs!$A:$B,2,0),AU226,1),"")</f>
        <v>V</v>
      </c>
      <c r="AU226" s="40">
        <v>389</v>
      </c>
      <c r="AV226" s="9" t="str">
        <f>IFERROR(MID(VLOOKUP($B226,Seqs!$A:$B,2,0),AW226,1),"")</f>
        <v>S</v>
      </c>
      <c r="AW226" s="40">
        <v>390</v>
      </c>
      <c r="AX226" s="9" t="str">
        <f>IFERROR(MID(VLOOKUP($B226,Seqs!$A:$B,2,0),AY226,1),"")</f>
        <v>C</v>
      </c>
      <c r="AY226" s="40">
        <v>400</v>
      </c>
      <c r="AZ226" s="110" t="str">
        <f>VLOOKUP(B226,Classification!A:D,2,0)</f>
        <v>A</v>
      </c>
      <c r="BA226" s="98" t="str">
        <f>VLOOKUP(B226,Classification!A:D,4,0)</f>
        <v>Endothelin</v>
      </c>
      <c r="BB226" s="36" t="b">
        <f t="shared" si="1732"/>
        <v>1</v>
      </c>
      <c r="BC226" s="109">
        <f t="shared" si="1733"/>
        <v>256</v>
      </c>
      <c r="BD226" s="40" t="s">
        <v>1429</v>
      </c>
      <c r="BE226" s="9" t="s">
        <v>1471</v>
      </c>
      <c r="BF226" s="119">
        <v>3</v>
      </c>
      <c r="BG226" s="51" t="s">
        <v>1</v>
      </c>
      <c r="BH226" s="51" t="s">
        <v>1</v>
      </c>
      <c r="BI226" s="40"/>
      <c r="BJ226" s="111" t="s">
        <v>1287</v>
      </c>
      <c r="BK226" s="112" t="s">
        <v>1287</v>
      </c>
      <c r="BL226" s="112" t="s">
        <v>1287</v>
      </c>
      <c r="BM226" s="112" t="s">
        <v>1287</v>
      </c>
      <c r="BN226" s="112" t="s">
        <v>1287</v>
      </c>
      <c r="BO226" s="112" t="s">
        <v>1287</v>
      </c>
      <c r="BP226" s="112" t="s">
        <v>1287</v>
      </c>
      <c r="BQ226" s="112" t="s">
        <v>1287</v>
      </c>
      <c r="BR226" s="112" t="s">
        <v>1287</v>
      </c>
      <c r="BS226" s="112" t="s">
        <v>1287</v>
      </c>
      <c r="BT226" s="112" t="s">
        <v>1287</v>
      </c>
      <c r="BU226" s="112" t="s">
        <v>1287</v>
      </c>
      <c r="BV226" s="111">
        <f t="shared" si="1734"/>
        <v>97</v>
      </c>
      <c r="BW226" s="113" t="str">
        <f t="shared" si="1735"/>
        <v>-</v>
      </c>
      <c r="BX226" s="114">
        <f t="shared" si="1736"/>
        <v>135</v>
      </c>
      <c r="BY226" s="113">
        <f t="shared" si="1737"/>
        <v>166</v>
      </c>
      <c r="BZ226" s="114">
        <f t="shared" si="1738"/>
        <v>170</v>
      </c>
      <c r="CA226" s="113" t="str">
        <f t="shared" si="1739"/>
        <v>-</v>
      </c>
      <c r="CB226" s="114">
        <f t="shared" si="1740"/>
        <v>216</v>
      </c>
      <c r="CC226" s="113">
        <f t="shared" si="1741"/>
        <v>255</v>
      </c>
      <c r="CD226" s="114">
        <f t="shared" si="1742"/>
        <v>263</v>
      </c>
      <c r="CE226" s="113">
        <f t="shared" si="1743"/>
        <v>312</v>
      </c>
      <c r="CF226" s="114">
        <f t="shared" si="1744"/>
        <v>357</v>
      </c>
      <c r="CG226" s="113">
        <f t="shared" si="1745"/>
        <v>390</v>
      </c>
      <c r="CH226" s="111">
        <f t="shared" si="1746"/>
        <v>129</v>
      </c>
      <c r="CI226" s="113" t="str">
        <f t="shared" si="1747"/>
        <v>-</v>
      </c>
      <c r="CJ226" s="114">
        <f t="shared" si="1748"/>
        <v>164</v>
      </c>
      <c r="CK226" s="114">
        <f t="shared" si="1749"/>
        <v>169</v>
      </c>
      <c r="CL226" s="114">
        <f t="shared" si="1750"/>
        <v>204</v>
      </c>
      <c r="CM226" s="114" t="str">
        <f t="shared" si="1751"/>
        <v>-</v>
      </c>
      <c r="CN226" s="114">
        <f t="shared" si="1752"/>
        <v>240</v>
      </c>
      <c r="CO226" s="114">
        <f t="shared" si="1753"/>
        <v>257</v>
      </c>
      <c r="CP226" s="114">
        <f t="shared" si="1754"/>
        <v>303</v>
      </c>
      <c r="CQ226" s="114">
        <f t="shared" si="1755"/>
        <v>350</v>
      </c>
      <c r="CR226" s="114">
        <f t="shared" si="1756"/>
        <v>389</v>
      </c>
      <c r="CS226" s="114">
        <f t="shared" si="1757"/>
        <v>400</v>
      </c>
      <c r="CT226" s="109" t="e">
        <f t="shared" si="1758"/>
        <v>#VALUE!</v>
      </c>
    </row>
    <row r="227" spans="1:1029" x14ac:dyDescent="0.2">
      <c r="A227" s="3" t="str">
        <f t="shared" si="1007"/>
        <v>ffar1_human__wt</v>
      </c>
      <c r="B227" s="3" t="s">
        <v>1172</v>
      </c>
      <c r="C227" s="3" t="s">
        <v>100</v>
      </c>
      <c r="D227" s="3" t="str">
        <f>IFERROR(MID(VLOOKUP($B227,Seqs!$A:$B,2,0),E227,1),"")</f>
        <v>P</v>
      </c>
      <c r="E227" s="3">
        <v>4</v>
      </c>
      <c r="F227" s="3" t="str">
        <f>IFERROR(MID(VLOOKUP($B227,Seqs!$A:$B,2,0),G227,1),"")</f>
        <v>R</v>
      </c>
      <c r="G227" s="3">
        <v>37</v>
      </c>
      <c r="H227" s="3" t="str">
        <f>IFERROR(MID(VLOOKUP($B227,Seqs!$A:$B,2,0),I227,1),"")</f>
        <v/>
      </c>
      <c r="I227" s="23" t="s">
        <v>23</v>
      </c>
      <c r="J227" s="3" t="str">
        <f>IFERROR(MID(VLOOKUP($B227,Seqs!$A:$B,2,0),K227,1),"")</f>
        <v/>
      </c>
      <c r="K227" s="23" t="s">
        <v>23</v>
      </c>
      <c r="L227" s="3" t="str">
        <f>IFERROR(MID(VLOOKUP($B227,Seqs!$A:$B,2,0),M227,1),"")</f>
        <v>T</v>
      </c>
      <c r="M227" s="3">
        <v>39</v>
      </c>
      <c r="N227" s="3" t="str">
        <f>IFERROR(MID(VLOOKUP($B227,Seqs!$A:$B,2,0),O227,1),"")</f>
        <v>S</v>
      </c>
      <c r="O227" s="3">
        <v>69</v>
      </c>
      <c r="P227" s="3" t="str">
        <f>IFERROR(MID(VLOOKUP($B227,Seqs!$A:$B,2,0),Q227,1),"")</f>
        <v>A</v>
      </c>
      <c r="Q227" s="3">
        <v>71</v>
      </c>
      <c r="R227" s="3" t="str">
        <f>IFERROR(MID(VLOOKUP($B227,Seqs!$A:$B,2,0),S227,1),"")</f>
        <v>L</v>
      </c>
      <c r="S227" s="3">
        <v>74</v>
      </c>
      <c r="T227" s="3" t="str">
        <f>IFERROR(MID(VLOOKUP($B227,Seqs!$A:$B,2,0),U227,1),"")</f>
        <v>P</v>
      </c>
      <c r="U227" s="3">
        <v>75</v>
      </c>
      <c r="V227" s="3" t="str">
        <f>IFERROR(MID(VLOOKUP($B227,Seqs!$A:$B,2,0),W227,1),"")</f>
        <v>F</v>
      </c>
      <c r="W227" s="3">
        <v>110</v>
      </c>
      <c r="X227" s="3" t="str">
        <f>IFERROR(MID(VLOOKUP($B227,Seqs!$A:$B,2,0),Y227,1),"")</f>
        <v>P</v>
      </c>
      <c r="Y227" s="3">
        <v>111</v>
      </c>
      <c r="Z227" s="3" t="str">
        <f>IFERROR(MID(VLOOKUP($B227,Seqs!$A:$B,2,0),AA227,1),"")</f>
        <v>R</v>
      </c>
      <c r="AA227" s="3">
        <v>118</v>
      </c>
      <c r="AB227" s="3" t="str">
        <f>IFERROR(MID(VLOOKUP($B227,Seqs!$A:$B,2,0),AC227,1),"")</f>
        <v>R</v>
      </c>
      <c r="AC227" s="9">
        <v>119</v>
      </c>
      <c r="AD227" s="3" t="str">
        <f>IFERROR(MID(VLOOKUP($B227,Seqs!$A:$B,2,0),AE227,1),"")</f>
        <v>A</v>
      </c>
      <c r="AE227" s="3">
        <v>146</v>
      </c>
      <c r="AF227" s="3" t="str">
        <f>IFERROR(MID(VLOOKUP($B227,Seqs!$A:$B,2,0),AG227,1),"")</f>
        <v>C</v>
      </c>
      <c r="AG227" s="3">
        <v>170</v>
      </c>
      <c r="AH227" s="3" t="str">
        <f>IFERROR(MID(VLOOKUP($B227,Seqs!$A:$B,2,0),AI227,1),"")</f>
        <v>E</v>
      </c>
      <c r="AI227" s="3">
        <v>172</v>
      </c>
      <c r="AJ227" s="3" t="str">
        <f>IFERROR(MID(VLOOKUP($B227,Seqs!$A:$B,2,0),AK227,1),"")</f>
        <v>D</v>
      </c>
      <c r="AK227" s="3">
        <v>175</v>
      </c>
      <c r="AL227" s="3" t="str">
        <f>IFERROR(MID(VLOOKUP($B227,Seqs!$A:$B,2,0),AM227,1),"")</f>
        <v>R</v>
      </c>
      <c r="AM227" s="3">
        <v>211</v>
      </c>
      <c r="AN227" s="3" t="str">
        <f>IFERROR(MID(VLOOKUP($B227,Seqs!$A:$B,2,0),AO227,1),"")</f>
        <v>R</v>
      </c>
      <c r="AO227" s="3">
        <v>217</v>
      </c>
      <c r="AP227" s="3" t="str">
        <f>IFERROR(MID(VLOOKUP($B227,Seqs!$A:$B,2,0),AQ227,1),"")</f>
        <v>Y</v>
      </c>
      <c r="AQ227" s="3">
        <v>250</v>
      </c>
      <c r="AR227" s="3" t="str">
        <f>IFERROR(MID(VLOOKUP($B227,Seqs!$A:$B,2,0),AS227,1),"")</f>
        <v>G</v>
      </c>
      <c r="AS227" s="3">
        <v>255</v>
      </c>
      <c r="AT227" s="3" t="str">
        <f>IFERROR(MID(VLOOKUP($B227,Seqs!$A:$B,2,0),AU227,1),"")</f>
        <v>L</v>
      </c>
      <c r="AU227" s="3">
        <v>279</v>
      </c>
      <c r="AV227" s="3" t="str">
        <f>IFERROR(MID(VLOOKUP($B227,Seqs!$A:$B,2,0),AW227,1),"")</f>
        <v>G</v>
      </c>
      <c r="AW227" s="3">
        <v>280</v>
      </c>
      <c r="AX227" s="3" t="str">
        <f>IFERROR(MID(VLOOKUP($B227,Seqs!$A:$B,2,0),AY227,1),"")</f>
        <v>Q</v>
      </c>
      <c r="AY227" s="3">
        <v>294</v>
      </c>
      <c r="AZ227" s="77" t="str">
        <f>VLOOKUP(B227,Classification!A:D,2,0)</f>
        <v>A</v>
      </c>
      <c r="BA227" s="94" t="str">
        <f>VLOOKUP(B227,Classification!A:D,4,0)</f>
        <v>Freefattyacid</v>
      </c>
      <c r="BB227" s="27" t="b">
        <f t="shared" si="1008"/>
        <v>1</v>
      </c>
      <c r="BC227" s="23">
        <f t="shared" si="1705"/>
        <v>256</v>
      </c>
      <c r="BD227" s="34" t="s">
        <v>23</v>
      </c>
      <c r="BE227" s="3" t="s">
        <v>23</v>
      </c>
      <c r="BF227" s="118" t="s">
        <v>23</v>
      </c>
      <c r="BG227" s="49" t="s">
        <v>1372</v>
      </c>
      <c r="BH227" s="49" t="s">
        <v>1377</v>
      </c>
      <c r="BI227" s="1"/>
      <c r="BJ227" s="70" t="s">
        <v>1287</v>
      </c>
      <c r="BK227" s="57" t="s">
        <v>1287</v>
      </c>
      <c r="BL227" s="57" t="s">
        <v>1287</v>
      </c>
      <c r="BM227" s="57" t="s">
        <v>1287</v>
      </c>
      <c r="BN227" s="57" t="s">
        <v>1287</v>
      </c>
      <c r="BO227" s="57" t="s">
        <v>1287</v>
      </c>
      <c r="BP227" s="57" t="s">
        <v>1287</v>
      </c>
      <c r="BQ227" s="57" t="s">
        <v>1287</v>
      </c>
      <c r="BR227" s="57" t="s">
        <v>1287</v>
      </c>
      <c r="BS227" s="57" t="s">
        <v>1287</v>
      </c>
      <c r="BT227" s="57" t="s">
        <v>1287</v>
      </c>
      <c r="BU227" s="57" t="s">
        <v>1287</v>
      </c>
      <c r="BV227" s="70">
        <f t="shared" si="1706"/>
        <v>4</v>
      </c>
      <c r="BW227" s="71" t="str">
        <f t="shared" si="1707"/>
        <v>-</v>
      </c>
      <c r="BX227" s="72">
        <f t="shared" si="1708"/>
        <v>39</v>
      </c>
      <c r="BY227" s="71">
        <f t="shared" si="1709"/>
        <v>71</v>
      </c>
      <c r="BZ227" s="72">
        <f t="shared" si="1710"/>
        <v>75</v>
      </c>
      <c r="CA227" s="71">
        <f t="shared" si="1711"/>
        <v>111</v>
      </c>
      <c r="CB227" s="72">
        <f t="shared" si="1712"/>
        <v>119</v>
      </c>
      <c r="CC227" s="71">
        <f t="shared" si="1713"/>
        <v>170</v>
      </c>
      <c r="CD227" s="72">
        <f t="shared" si="1714"/>
        <v>175</v>
      </c>
      <c r="CE227" s="71">
        <f t="shared" si="1715"/>
        <v>217</v>
      </c>
      <c r="CF227" s="72">
        <f t="shared" si="1716"/>
        <v>255</v>
      </c>
      <c r="CG227" s="71">
        <f t="shared" si="1717"/>
        <v>280</v>
      </c>
      <c r="CH227" s="70">
        <f t="shared" si="1718"/>
        <v>37</v>
      </c>
      <c r="CI227" s="71" t="str">
        <f t="shared" si="1719"/>
        <v>-</v>
      </c>
      <c r="CJ227" s="72">
        <f t="shared" si="1720"/>
        <v>69</v>
      </c>
      <c r="CK227" s="72">
        <f t="shared" si="1721"/>
        <v>74</v>
      </c>
      <c r="CL227" s="72">
        <f t="shared" si="1722"/>
        <v>110</v>
      </c>
      <c r="CM227" s="72">
        <f t="shared" si="1723"/>
        <v>118</v>
      </c>
      <c r="CN227" s="72">
        <f t="shared" si="1724"/>
        <v>146</v>
      </c>
      <c r="CO227" s="72">
        <f t="shared" si="1725"/>
        <v>172</v>
      </c>
      <c r="CP227" s="72">
        <f t="shared" si="1726"/>
        <v>211</v>
      </c>
      <c r="CQ227" s="72">
        <f t="shared" si="1727"/>
        <v>250</v>
      </c>
      <c r="CR227" s="72">
        <f t="shared" si="1728"/>
        <v>279</v>
      </c>
      <c r="CS227" s="72">
        <f t="shared" si="1729"/>
        <v>294</v>
      </c>
      <c r="CT227" s="23" t="e">
        <f t="shared" si="1730"/>
        <v>#VALUE!</v>
      </c>
    </row>
    <row r="228" spans="1:1029" x14ac:dyDescent="0.2">
      <c r="A228" s="3" t="str">
        <f t="shared" si="1007"/>
        <v>ffar1_human_4PHU</v>
      </c>
      <c r="B228" s="3" t="s">
        <v>1172</v>
      </c>
      <c r="C228" s="3" t="s">
        <v>52</v>
      </c>
      <c r="D228" s="3" t="str">
        <f>IFERROR(MID(VLOOKUP($B228,Seqs!$A:$B,2,0),E228,1),"")</f>
        <v>P</v>
      </c>
      <c r="E228" s="3">
        <v>4</v>
      </c>
      <c r="F228" s="3" t="str">
        <f>IFERROR(MID(VLOOKUP($B228,Seqs!$A:$B,2,0),G228,1),"")</f>
        <v>R</v>
      </c>
      <c r="G228" s="3">
        <v>37</v>
      </c>
      <c r="H228" s="3" t="str">
        <f>IFERROR(MID(VLOOKUP($B228,Seqs!$A:$B,2,0),I228,1),"")</f>
        <v/>
      </c>
      <c r="I228" s="23" t="s">
        <v>23</v>
      </c>
      <c r="J228" s="3" t="str">
        <f>IFERROR(MID(VLOOKUP($B228,Seqs!$A:$B,2,0),K228,1),"")</f>
        <v/>
      </c>
      <c r="K228" s="23" t="s">
        <v>23</v>
      </c>
      <c r="L228" s="3" t="str">
        <f>IFERROR(MID(VLOOKUP($B228,Seqs!$A:$B,2,0),M228,1),"")</f>
        <v>T</v>
      </c>
      <c r="M228" s="3">
        <v>39</v>
      </c>
      <c r="N228" s="3" t="str">
        <f>IFERROR(MID(VLOOKUP($B228,Seqs!$A:$B,2,0),O228,1),"")</f>
        <v>S</v>
      </c>
      <c r="O228" s="3">
        <v>69</v>
      </c>
      <c r="P228" s="3" t="str">
        <f>IFERROR(MID(VLOOKUP($B228,Seqs!$A:$B,2,0),Q228,1),"")</f>
        <v>A</v>
      </c>
      <c r="Q228" s="3">
        <v>71</v>
      </c>
      <c r="R228" s="3" t="str">
        <f>IFERROR(MID(VLOOKUP($B228,Seqs!$A:$B,2,0),S228,1),"")</f>
        <v>L</v>
      </c>
      <c r="S228" s="3">
        <v>74</v>
      </c>
      <c r="T228" s="3" t="str">
        <f>IFERROR(MID(VLOOKUP($B228,Seqs!$A:$B,2,0),U228,1),"")</f>
        <v>P</v>
      </c>
      <c r="U228" s="3">
        <v>75</v>
      </c>
      <c r="V228" s="3" t="str">
        <f>IFERROR(MID(VLOOKUP($B228,Seqs!$A:$B,2,0),W228,1),"")</f>
        <v>F</v>
      </c>
      <c r="W228" s="3">
        <v>110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C</v>
      </c>
      <c r="AC228" s="9">
        <v>121</v>
      </c>
      <c r="AD228" s="3" t="str">
        <f>IFERROR(MID(VLOOKUP($B228,Seqs!$A:$B,2,0),AE228,1),"")</f>
        <v>A</v>
      </c>
      <c r="AE228" s="3">
        <v>146</v>
      </c>
      <c r="AF228" s="3" t="str">
        <f>IFERROR(MID(VLOOKUP($B228,Seqs!$A:$B,2,0),AG228,1),"")</f>
        <v>C</v>
      </c>
      <c r="AG228" s="3">
        <v>170</v>
      </c>
      <c r="AH228" s="3" t="str">
        <f>IFERROR(MID(VLOOKUP($B228,Seqs!$A:$B,2,0),AI228,1),"")</f>
        <v>E</v>
      </c>
      <c r="AI228" s="3">
        <v>172</v>
      </c>
      <c r="AJ228" s="3" t="str">
        <f>IFERROR(MID(VLOOKUP($B228,Seqs!$A:$B,2,0),AK228,1),"")</f>
        <v>D</v>
      </c>
      <c r="AK228" s="3">
        <v>175</v>
      </c>
      <c r="AL228" s="3" t="str">
        <f>IFERROR(MID(VLOOKUP($B228,Seqs!$A:$B,2,0),AM228,1),"")</f>
        <v>R</v>
      </c>
      <c r="AM228" s="3">
        <v>211</v>
      </c>
      <c r="AN228" s="3" t="str">
        <f>IFERROR(MID(VLOOKUP($B228,Seqs!$A:$B,2,0),AO228,1),"")</f>
        <v/>
      </c>
      <c r="AO228" s="3">
        <v>2214</v>
      </c>
      <c r="AP228" s="3" t="str">
        <f>IFERROR(MID(VLOOKUP($B228,Seqs!$A:$B,2,0),AQ228,1),"")</f>
        <v/>
      </c>
      <c r="AQ228" s="3">
        <v>2250</v>
      </c>
      <c r="AR228" s="3" t="str">
        <f>IFERROR(MID(VLOOKUP($B228,Seqs!$A:$B,2,0),AS228,1),"")</f>
        <v/>
      </c>
      <c r="AS228" s="3">
        <v>2255</v>
      </c>
      <c r="AT228" s="3" t="str">
        <f>IFERROR(MID(VLOOKUP($B228,Seqs!$A:$B,2,0),AU228,1),"")</f>
        <v/>
      </c>
      <c r="AU228" s="3">
        <v>2276</v>
      </c>
      <c r="AV228" s="3" t="str">
        <f>IFERROR(MID(VLOOKUP($B228,Seqs!$A:$B,2,0),AW228,1),"")</f>
        <v/>
      </c>
      <c r="AW228" s="3" t="s">
        <v>23</v>
      </c>
      <c r="AX228" s="3" t="str">
        <f>IFERROR(MID(VLOOKUP($B228,Seqs!$A:$B,2,0),AY228,1),"")</f>
        <v/>
      </c>
      <c r="AY228" s="3" t="s">
        <v>23</v>
      </c>
      <c r="AZ228" s="77" t="str">
        <f>VLOOKUP(B228,Classification!A:D,2,0)</f>
        <v>A</v>
      </c>
      <c r="BA228" s="94" t="str">
        <f>VLOOKUP(B228,Classification!A:D,4,0)</f>
        <v>Freefattyacid</v>
      </c>
      <c r="BB228" s="27" t="b">
        <f t="shared" si="1008"/>
        <v>1</v>
      </c>
      <c r="BC228" s="23">
        <f t="shared" si="1705"/>
        <v>233</v>
      </c>
      <c r="BD228" s="16" t="s">
        <v>23</v>
      </c>
      <c r="BE228" s="3" t="s">
        <v>1428</v>
      </c>
      <c r="BF228" s="118">
        <v>2.33</v>
      </c>
      <c r="BG228" s="49" t="s">
        <v>1377</v>
      </c>
      <c r="BH228" s="49" t="s">
        <v>1377</v>
      </c>
      <c r="BI228" s="1"/>
      <c r="BJ228" s="70" t="s">
        <v>1287</v>
      </c>
      <c r="BK228" s="57" t="s">
        <v>1287</v>
      </c>
      <c r="BL228" s="57" t="s">
        <v>1287</v>
      </c>
      <c r="BM228" s="57" t="s">
        <v>1287</v>
      </c>
      <c r="BN228" s="57" t="s">
        <v>1287</v>
      </c>
      <c r="BO228" s="57" t="s">
        <v>1287</v>
      </c>
      <c r="BP228" s="57" t="s">
        <v>1287</v>
      </c>
      <c r="BQ228" s="57" t="s">
        <v>1287</v>
      </c>
      <c r="BR228" s="57" t="s">
        <v>1287</v>
      </c>
      <c r="BS228" s="57" t="s">
        <v>1287</v>
      </c>
      <c r="BT228" s="57" t="s">
        <v>1287</v>
      </c>
      <c r="BU228" s="57" t="s">
        <v>1287</v>
      </c>
      <c r="BV228" s="70">
        <f t="shared" si="1706"/>
        <v>4</v>
      </c>
      <c r="BW228" s="71" t="str">
        <f t="shared" si="1707"/>
        <v>-</v>
      </c>
      <c r="BX228" s="72">
        <f t="shared" si="1708"/>
        <v>39</v>
      </c>
      <c r="BY228" s="71">
        <f t="shared" si="1709"/>
        <v>71</v>
      </c>
      <c r="BZ228" s="72">
        <f t="shared" si="1710"/>
        <v>75</v>
      </c>
      <c r="CA228" s="71" t="str">
        <f t="shared" si="1711"/>
        <v>-</v>
      </c>
      <c r="CB228" s="72">
        <f t="shared" si="1712"/>
        <v>121</v>
      </c>
      <c r="CC228" s="71">
        <f t="shared" si="1713"/>
        <v>170</v>
      </c>
      <c r="CD228" s="72">
        <f t="shared" si="1714"/>
        <v>175</v>
      </c>
      <c r="CE228" s="71">
        <f t="shared" si="1715"/>
        <v>2214</v>
      </c>
      <c r="CF228" s="72">
        <f t="shared" si="1716"/>
        <v>2255</v>
      </c>
      <c r="CG228" s="71" t="str">
        <f t="shared" si="1717"/>
        <v>-</v>
      </c>
      <c r="CH228" s="70">
        <f t="shared" si="1718"/>
        <v>37</v>
      </c>
      <c r="CI228" s="71" t="str">
        <f t="shared" si="1719"/>
        <v>-</v>
      </c>
      <c r="CJ228" s="72">
        <f t="shared" si="1720"/>
        <v>69</v>
      </c>
      <c r="CK228" s="72">
        <f t="shared" si="1721"/>
        <v>74</v>
      </c>
      <c r="CL228" s="72">
        <f t="shared" si="1722"/>
        <v>110</v>
      </c>
      <c r="CM228" s="72" t="str">
        <f t="shared" si="1723"/>
        <v>-</v>
      </c>
      <c r="CN228" s="72">
        <f t="shared" si="1724"/>
        <v>146</v>
      </c>
      <c r="CO228" s="72">
        <f t="shared" si="1725"/>
        <v>172</v>
      </c>
      <c r="CP228" s="72">
        <f t="shared" si="1726"/>
        <v>211</v>
      </c>
      <c r="CQ228" s="72">
        <f t="shared" si="1727"/>
        <v>2250</v>
      </c>
      <c r="CR228" s="72">
        <f t="shared" si="1728"/>
        <v>2276</v>
      </c>
      <c r="CS228" s="72" t="str">
        <f t="shared" si="1729"/>
        <v>-</v>
      </c>
      <c r="CT228" s="23" t="e">
        <f t="shared" si="1730"/>
        <v>#VALUE!</v>
      </c>
    </row>
    <row r="229" spans="1:1029" x14ac:dyDescent="0.2">
      <c r="A229" s="3" t="str">
        <f>CONCATENATE(B229,"_",C229)</f>
        <v>ffar1_human_5KW2</v>
      </c>
      <c r="B229" s="3" t="s">
        <v>1172</v>
      </c>
      <c r="C229" s="3" t="s">
        <v>1491</v>
      </c>
      <c r="D229" s="3" t="str">
        <f>IFERROR(MID(VLOOKUP($B229,Seqs!$A:$B,2,0),E229,1),"")</f>
        <v>P</v>
      </c>
      <c r="E229" s="3">
        <v>4</v>
      </c>
      <c r="F229" s="3" t="str">
        <f>IFERROR(MID(VLOOKUP($B229,Seqs!$A:$B,2,0),G229,1),"")</f>
        <v>A</v>
      </c>
      <c r="G229" s="3">
        <v>32</v>
      </c>
      <c r="H229" s="3" t="str">
        <f>IFERROR(MID(VLOOKUP($B229,Seqs!$A:$B,2,0),I229,1),"")</f>
        <v/>
      </c>
      <c r="I229" s="23" t="s">
        <v>23</v>
      </c>
      <c r="J229" s="3" t="str">
        <f>IFERROR(MID(VLOOKUP($B229,Seqs!$A:$B,2,0),K229,1),"")</f>
        <v/>
      </c>
      <c r="K229" s="23" t="s">
        <v>23</v>
      </c>
      <c r="L229" s="3" t="str">
        <f>IFERROR(MID(VLOOKUP($B229,Seqs!$A:$B,2,0),M229,1),"")</f>
        <v>T</v>
      </c>
      <c r="M229" s="3">
        <v>39</v>
      </c>
      <c r="N229" s="3" t="str">
        <f>IFERROR(MID(VLOOKUP($B229,Seqs!$A:$B,2,0),O229,1),"")</f>
        <v>S</v>
      </c>
      <c r="O229" s="3">
        <v>69</v>
      </c>
      <c r="P229" s="3" t="str">
        <f>IFERROR(MID(VLOOKUP($B229,Seqs!$A:$B,2,0),Q229,1),"")</f>
        <v>A</v>
      </c>
      <c r="Q229" s="3">
        <v>71</v>
      </c>
      <c r="R229" s="3" t="str">
        <f>IFERROR(MID(VLOOKUP($B229,Seqs!$A:$B,2,0),S229,1),"")</f>
        <v>L</v>
      </c>
      <c r="S229" s="3">
        <v>74</v>
      </c>
      <c r="T229" s="3" t="str">
        <f>IFERROR(MID(VLOOKUP($B229,Seqs!$A:$B,2,0),U229,1),"")</f>
        <v>P</v>
      </c>
      <c r="U229" s="3">
        <v>75</v>
      </c>
      <c r="V229" s="3" t="str">
        <f>IFERROR(MID(VLOOKUP($B229,Seqs!$A:$B,2,0),W229,1),"")</f>
        <v>F</v>
      </c>
      <c r="W229" s="3">
        <v>110</v>
      </c>
      <c r="X229" s="3" t="str">
        <f>IFERROR(MID(VLOOKUP($B229,Seqs!$A:$B,2,0),Y229,1),"")</f>
        <v>P</v>
      </c>
      <c r="Y229" s="3">
        <v>111</v>
      </c>
      <c r="Z229" s="3" t="str">
        <f>IFERROR(MID(VLOOKUP($B229,Seqs!$A:$B,2,0),AA229,1),"")</f>
        <v>R</v>
      </c>
      <c r="AA229" s="3">
        <v>118</v>
      </c>
      <c r="AB229" s="3" t="str">
        <f>IFERROR(MID(VLOOKUP($B229,Seqs!$A:$B,2,0),AC229,1),"")</f>
        <v>R</v>
      </c>
      <c r="AC229" s="3">
        <v>119</v>
      </c>
      <c r="AD229" s="3" t="str">
        <f>IFERROR(MID(VLOOKUP($B229,Seqs!$A:$B,2,0),AE229,1),"")</f>
        <v>E</v>
      </c>
      <c r="AE229" s="3">
        <v>145</v>
      </c>
      <c r="AF229" s="3" t="str">
        <f>IFERROR(MID(VLOOKUP($B229,Seqs!$A:$B,2,0),AG229,1),"")</f>
        <v>C</v>
      </c>
      <c r="AG229" s="3">
        <v>170</v>
      </c>
      <c r="AH229" s="3" t="str">
        <f>IFERROR(MID(VLOOKUP($B229,Seqs!$A:$B,2,0),AI229,1),"")</f>
        <v>E</v>
      </c>
      <c r="AI229" s="3">
        <v>172</v>
      </c>
      <c r="AJ229" s="3" t="str">
        <f>IFERROR(MID(VLOOKUP($B229,Seqs!$A:$B,2,0),AK229,1),"")</f>
        <v>G</v>
      </c>
      <c r="AK229" s="3">
        <v>180</v>
      </c>
      <c r="AL229" s="3" t="str">
        <f>IFERROR(MID(VLOOKUP($B229,Seqs!$A:$B,2,0),AM229,1),"")</f>
        <v>R</v>
      </c>
      <c r="AM229" s="3">
        <v>211</v>
      </c>
      <c r="AN229" s="3" t="str">
        <f>IFERROR(MID(VLOOKUP($B229,Seqs!$A:$B,2,0),AO229,1),"")</f>
        <v/>
      </c>
      <c r="AO229" s="3">
        <v>2215</v>
      </c>
      <c r="AP229" s="3" t="str">
        <f>IFERROR(MID(VLOOKUP($B229,Seqs!$A:$B,2,0),AQ229,1),"")</f>
        <v/>
      </c>
      <c r="AQ229" s="3">
        <v>2249</v>
      </c>
      <c r="AR229" s="3" t="str">
        <f>IFERROR(MID(VLOOKUP($B229,Seqs!$A:$B,2,0),AS229,1),"")</f>
        <v/>
      </c>
      <c r="AS229" s="3">
        <v>2254</v>
      </c>
      <c r="AT229" s="3" t="str">
        <f>IFERROR(MID(VLOOKUP($B229,Seqs!$A:$B,2,0),AU229,1),"")</f>
        <v/>
      </c>
      <c r="AU229" s="3">
        <v>2275</v>
      </c>
      <c r="AV229" s="3" t="str">
        <f>IFERROR(MID(VLOOKUP($B229,Seqs!$A:$B,2,0),AW229,1),"")</f>
        <v/>
      </c>
      <c r="AW229" s="3" t="s">
        <v>23</v>
      </c>
      <c r="AX229" s="3" t="str">
        <f>IFERROR(MID(VLOOKUP($B229,Seqs!$A:$B,2,0),AY229,1),"")</f>
        <v/>
      </c>
      <c r="AY229" s="3" t="s">
        <v>23</v>
      </c>
      <c r="AZ229" s="77" t="str">
        <f>VLOOKUP(B229,Classification!A:D,2,0)</f>
        <v>A</v>
      </c>
      <c r="BA229" s="94" t="str">
        <f>VLOOKUP(B229,Classification!A:D,4,0)</f>
        <v>Freefattyacid</v>
      </c>
      <c r="BB229" s="27" t="b">
        <f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>_xlfn.AGGREGATE(9,6,CH229:CS229)-_xlfn.AGGREGATE(9,6,BV229:CG229)+12</f>
        <v>229</v>
      </c>
      <c r="BD229" s="16" t="s">
        <v>23</v>
      </c>
      <c r="BE229" s="3" t="s">
        <v>1428</v>
      </c>
      <c r="BF229" s="118">
        <v>2.76</v>
      </c>
      <c r="BG229" s="49" t="s">
        <v>1</v>
      </c>
      <c r="BH229" s="49" t="s">
        <v>1</v>
      </c>
      <c r="BI229" s="1"/>
      <c r="BJ229" s="70" t="s">
        <v>1287</v>
      </c>
      <c r="BK229" s="57" t="s">
        <v>1287</v>
      </c>
      <c r="BL229" s="57" t="s">
        <v>1287</v>
      </c>
      <c r="BM229" s="57" t="s">
        <v>1287</v>
      </c>
      <c r="BN229" s="57" t="s">
        <v>1287</v>
      </c>
      <c r="BO229" s="57" t="s">
        <v>1287</v>
      </c>
      <c r="BP229" s="57" t="s">
        <v>1287</v>
      </c>
      <c r="BQ229" s="57" t="s">
        <v>1287</v>
      </c>
      <c r="BR229" s="57" t="s">
        <v>1287</v>
      </c>
      <c r="BS229" s="57" t="s">
        <v>1287</v>
      </c>
      <c r="BT229" s="57" t="s">
        <v>1287</v>
      </c>
      <c r="BU229" s="57" t="s">
        <v>1287</v>
      </c>
      <c r="BV229" s="70">
        <f>E229</f>
        <v>4</v>
      </c>
      <c r="BW229" s="71" t="str">
        <f>I229</f>
        <v>-</v>
      </c>
      <c r="BX229" s="72">
        <f>M229</f>
        <v>39</v>
      </c>
      <c r="BY229" s="71">
        <f>Q229</f>
        <v>71</v>
      </c>
      <c r="BZ229" s="72">
        <f>U229</f>
        <v>75</v>
      </c>
      <c r="CA229" s="71">
        <f>Y229</f>
        <v>111</v>
      </c>
      <c r="CB229" s="72">
        <f>AC229</f>
        <v>119</v>
      </c>
      <c r="CC229" s="71">
        <f>AG229</f>
        <v>170</v>
      </c>
      <c r="CD229" s="72">
        <f>AK229</f>
        <v>180</v>
      </c>
      <c r="CE229" s="71">
        <f>AO229</f>
        <v>2215</v>
      </c>
      <c r="CF229" s="72">
        <f>AS229</f>
        <v>2254</v>
      </c>
      <c r="CG229" s="71" t="str">
        <f>AW229</f>
        <v>-</v>
      </c>
      <c r="CH229" s="70">
        <f>G229</f>
        <v>32</v>
      </c>
      <c r="CI229" s="71" t="str">
        <f>K229</f>
        <v>-</v>
      </c>
      <c r="CJ229" s="72">
        <f>O229</f>
        <v>69</v>
      </c>
      <c r="CK229" s="72">
        <f>S229</f>
        <v>74</v>
      </c>
      <c r="CL229" s="72">
        <f>W229</f>
        <v>110</v>
      </c>
      <c r="CM229" s="72">
        <f>AA229</f>
        <v>118</v>
      </c>
      <c r="CN229" s="72">
        <f>AE229</f>
        <v>145</v>
      </c>
      <c r="CO229" s="72">
        <f>AI229</f>
        <v>172</v>
      </c>
      <c r="CP229" s="72">
        <f>AM229</f>
        <v>211</v>
      </c>
      <c r="CQ229" s="72">
        <f>AQ229</f>
        <v>2249</v>
      </c>
      <c r="CR229" s="72">
        <f>AU229</f>
        <v>2275</v>
      </c>
      <c r="CS229" s="72" t="str">
        <f>AY229</f>
        <v>-</v>
      </c>
      <c r="CT229" s="23" t="e">
        <f>M229-K229</f>
        <v>#VALUE!</v>
      </c>
    </row>
    <row r="230" spans="1:1029" x14ac:dyDescent="0.2">
      <c r="A230" s="3" t="str">
        <f>CONCATENATE(B230,"_",C230)</f>
        <v>ffar1_human_5TZR</v>
      </c>
      <c r="B230" s="3" t="s">
        <v>1172</v>
      </c>
      <c r="C230" s="3" t="s">
        <v>1416</v>
      </c>
      <c r="D230" s="3" t="str">
        <f>IFERROR(MID(VLOOKUP($B230,Seqs!$A:$B,2,0),E230,1),"")</f>
        <v>P</v>
      </c>
      <c r="E230" s="3">
        <v>4</v>
      </c>
      <c r="F230" s="3" t="str">
        <f>IFERROR(MID(VLOOKUP($B230,Seqs!$A:$B,2,0),G230,1),"")</f>
        <v>R</v>
      </c>
      <c r="G230" s="3">
        <v>37</v>
      </c>
      <c r="H230" s="3" t="str">
        <f>IFERROR(MID(VLOOKUP($B230,Seqs!$A:$B,2,0),I230,1),"")</f>
        <v/>
      </c>
      <c r="I230" s="23" t="s">
        <v>23</v>
      </c>
      <c r="J230" s="3" t="str">
        <f>IFERROR(MID(VLOOKUP($B230,Seqs!$A:$B,2,0),K230,1),"")</f>
        <v/>
      </c>
      <c r="K230" s="23" t="s">
        <v>23</v>
      </c>
      <c r="L230" s="3" t="str">
        <f>IFERROR(MID(VLOOKUP($B230,Seqs!$A:$B,2,0),M230,1),"")</f>
        <v>T</v>
      </c>
      <c r="M230" s="3">
        <v>39</v>
      </c>
      <c r="N230" s="3" t="str">
        <f>IFERROR(MID(VLOOKUP($B230,Seqs!$A:$B,2,0),O230,1),"")</f>
        <v>S</v>
      </c>
      <c r="O230" s="3">
        <v>69</v>
      </c>
      <c r="P230" s="3" t="str">
        <f>IFERROR(MID(VLOOKUP($B230,Seqs!$A:$B,2,0),Q230,1),"")</f>
        <v>A</v>
      </c>
      <c r="Q230" s="3">
        <v>71</v>
      </c>
      <c r="R230" s="3" t="str">
        <f>IFERROR(MID(VLOOKUP($B230,Seqs!$A:$B,2,0),S230,1),"")</f>
        <v>L</v>
      </c>
      <c r="S230" s="3">
        <v>74</v>
      </c>
      <c r="T230" s="3" t="str">
        <f>IFERROR(MID(VLOOKUP($B230,Seqs!$A:$B,2,0),U230,1),"")</f>
        <v>P</v>
      </c>
      <c r="U230" s="3">
        <v>75</v>
      </c>
      <c r="V230" s="3" t="str">
        <f>IFERROR(MID(VLOOKUP($B230,Seqs!$A:$B,2,0),W230,1),"")</f>
        <v>F</v>
      </c>
      <c r="W230" s="3">
        <v>110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C</v>
      </c>
      <c r="AC230" s="3">
        <v>121</v>
      </c>
      <c r="AD230" s="3" t="str">
        <f>IFERROR(MID(VLOOKUP($B230,Seqs!$A:$B,2,0),AE230,1),"")</f>
        <v>A</v>
      </c>
      <c r="AE230" s="3">
        <v>146</v>
      </c>
      <c r="AF230" s="3" t="str">
        <f>IFERROR(MID(VLOOKUP($B230,Seqs!$A:$B,2,0),AG230,1),"")</f>
        <v>C</v>
      </c>
      <c r="AG230" s="3">
        <v>170</v>
      </c>
      <c r="AH230" s="3" t="str">
        <f>IFERROR(MID(VLOOKUP($B230,Seqs!$A:$B,2,0),AI230,1),"")</f>
        <v>E</v>
      </c>
      <c r="AI230" s="3">
        <v>172</v>
      </c>
      <c r="AJ230" s="3" t="str">
        <f>IFERROR(MID(VLOOKUP($B230,Seqs!$A:$B,2,0),AK230,1),"")</f>
        <v>D</v>
      </c>
      <c r="AK230" s="3">
        <v>175</v>
      </c>
      <c r="AL230" s="3" t="str">
        <f>IFERROR(MID(VLOOKUP($B230,Seqs!$A:$B,2,0),AM230,1),"")</f>
        <v>R</v>
      </c>
      <c r="AM230" s="3">
        <v>211</v>
      </c>
      <c r="AN230" s="3" t="str">
        <f>IFERROR(MID(VLOOKUP($B230,Seqs!$A:$B,2,0),AO230,1),"")</f>
        <v/>
      </c>
      <c r="AO230" s="3">
        <v>2214</v>
      </c>
      <c r="AP230" s="3" t="str">
        <f>IFERROR(MID(VLOOKUP($B230,Seqs!$A:$B,2,0),AQ230,1),"")</f>
        <v/>
      </c>
      <c r="AQ230" s="3">
        <v>2250</v>
      </c>
      <c r="AR230" s="3" t="str">
        <f>IFERROR(MID(VLOOKUP($B230,Seqs!$A:$B,2,0),AS230,1),"")</f>
        <v/>
      </c>
      <c r="AS230" s="3">
        <v>2255</v>
      </c>
      <c r="AT230" s="3" t="str">
        <f>IFERROR(MID(VLOOKUP($B230,Seqs!$A:$B,2,0),AU230,1),"")</f>
        <v/>
      </c>
      <c r="AU230" s="3">
        <v>2276</v>
      </c>
      <c r="AV230" s="3" t="str">
        <f>IFERROR(MID(VLOOKUP($B230,Seqs!$A:$B,2,0),AW230,1),"")</f>
        <v/>
      </c>
      <c r="AW230" s="3" t="s">
        <v>23</v>
      </c>
      <c r="AX230" s="3" t="str">
        <f>IFERROR(MID(VLOOKUP($B230,Seqs!$A:$B,2,0),AY230,1),"")</f>
        <v/>
      </c>
      <c r="AY230" s="3" t="s">
        <v>23</v>
      </c>
      <c r="AZ230" s="77" t="str">
        <f>VLOOKUP(B230,Classification!A:D,2,0)</f>
        <v>A</v>
      </c>
      <c r="BA230" s="94" t="str">
        <f>VLOOKUP(B230,Classification!A:D,4,0)</f>
        <v>Freefattyacid</v>
      </c>
      <c r="BB230" s="27" t="b">
        <f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>_xlfn.AGGREGATE(9,6,CH230:CS230)-_xlfn.AGGREGATE(9,6,BV230:CG230)+12</f>
        <v>233</v>
      </c>
      <c r="BD230" s="16" t="s">
        <v>23</v>
      </c>
      <c r="BE230" s="3" t="s">
        <v>1428</v>
      </c>
      <c r="BF230" s="118">
        <v>2.2000000000000002</v>
      </c>
      <c r="BG230" s="49" t="s">
        <v>1</v>
      </c>
      <c r="BH230" s="49" t="s">
        <v>1</v>
      </c>
      <c r="BI230" s="1"/>
      <c r="BJ230" s="70" t="s">
        <v>1287</v>
      </c>
      <c r="BK230" s="57" t="s">
        <v>1287</v>
      </c>
      <c r="BL230" s="57" t="s">
        <v>1287</v>
      </c>
      <c r="BM230" s="57" t="s">
        <v>1287</v>
      </c>
      <c r="BN230" s="57" t="s">
        <v>1287</v>
      </c>
      <c r="BO230" s="57" t="s">
        <v>1287</v>
      </c>
      <c r="BP230" s="57" t="s">
        <v>1287</v>
      </c>
      <c r="BQ230" s="57" t="s">
        <v>1287</v>
      </c>
      <c r="BR230" s="57" t="s">
        <v>1287</v>
      </c>
      <c r="BS230" s="57" t="s">
        <v>1287</v>
      </c>
      <c r="BT230" s="57" t="s">
        <v>1287</v>
      </c>
      <c r="BU230" s="57" t="s">
        <v>1287</v>
      </c>
      <c r="BV230" s="70">
        <f>E230</f>
        <v>4</v>
      </c>
      <c r="BW230" s="71" t="str">
        <f>I230</f>
        <v>-</v>
      </c>
      <c r="BX230" s="72">
        <f>M230</f>
        <v>39</v>
      </c>
      <c r="BY230" s="71">
        <f>Q230</f>
        <v>71</v>
      </c>
      <c r="BZ230" s="72">
        <f>U230</f>
        <v>75</v>
      </c>
      <c r="CA230" s="71" t="str">
        <f>Y230</f>
        <v>-</v>
      </c>
      <c r="CB230" s="72">
        <f>AC230</f>
        <v>121</v>
      </c>
      <c r="CC230" s="71">
        <f>AG230</f>
        <v>170</v>
      </c>
      <c r="CD230" s="72">
        <f>AK230</f>
        <v>175</v>
      </c>
      <c r="CE230" s="71">
        <f>AO230</f>
        <v>2214</v>
      </c>
      <c r="CF230" s="72">
        <f>AS230</f>
        <v>2255</v>
      </c>
      <c r="CG230" s="71" t="str">
        <f>AW230</f>
        <v>-</v>
      </c>
      <c r="CH230" s="70">
        <f>G230</f>
        <v>37</v>
      </c>
      <c r="CI230" s="71" t="str">
        <f>K230</f>
        <v>-</v>
      </c>
      <c r="CJ230" s="72">
        <f>O230</f>
        <v>69</v>
      </c>
      <c r="CK230" s="72">
        <f>S230</f>
        <v>74</v>
      </c>
      <c r="CL230" s="72">
        <f>W230</f>
        <v>110</v>
      </c>
      <c r="CM230" s="72" t="str">
        <f>AA230</f>
        <v>-</v>
      </c>
      <c r="CN230" s="72">
        <f>AE230</f>
        <v>146</v>
      </c>
      <c r="CO230" s="72">
        <f>AI230</f>
        <v>172</v>
      </c>
      <c r="CP230" s="72">
        <f>AM230</f>
        <v>211</v>
      </c>
      <c r="CQ230" s="72">
        <f>AQ230</f>
        <v>2250</v>
      </c>
      <c r="CR230" s="72">
        <f>AU230</f>
        <v>2276</v>
      </c>
      <c r="CS230" s="72" t="str">
        <f>AY230</f>
        <v>-</v>
      </c>
      <c r="CT230" s="23" t="e">
        <f>M230-K230</f>
        <v>#VALUE!</v>
      </c>
    </row>
    <row r="231" spans="1:1029" x14ac:dyDescent="0.2">
      <c r="A231" s="3" t="str">
        <f>CONCATENATE(B231,"_",C231)</f>
        <v>ffar1_human_5TZY</v>
      </c>
      <c r="B231" s="3" t="s">
        <v>1172</v>
      </c>
      <c r="C231" s="3" t="s">
        <v>1417</v>
      </c>
      <c r="D231" s="3" t="str">
        <f>IFERROR(MID(VLOOKUP($B231,Seqs!$A:$B,2,0),E231,1),"")</f>
        <v>P</v>
      </c>
      <c r="E231" s="3">
        <v>4</v>
      </c>
      <c r="F231" s="3" t="str">
        <f>IFERROR(MID(VLOOKUP($B231,Seqs!$A:$B,2,0),G231,1),"")</f>
        <v>R</v>
      </c>
      <c r="G231" s="3">
        <v>37</v>
      </c>
      <c r="H231" s="3" t="str">
        <f>IFERROR(MID(VLOOKUP($B231,Seqs!$A:$B,2,0),I231,1),"")</f>
        <v/>
      </c>
      <c r="I231" s="23" t="s">
        <v>23</v>
      </c>
      <c r="J231" s="3" t="str">
        <f>IFERROR(MID(VLOOKUP($B231,Seqs!$A:$B,2,0),K231,1),"")</f>
        <v/>
      </c>
      <c r="K231" s="23" t="s">
        <v>23</v>
      </c>
      <c r="L231" s="3" t="str">
        <f>IFERROR(MID(VLOOKUP($B231,Seqs!$A:$B,2,0),M231,1),"")</f>
        <v>T</v>
      </c>
      <c r="M231" s="3">
        <v>39</v>
      </c>
      <c r="N231" s="3" t="str">
        <f>IFERROR(MID(VLOOKUP($B231,Seqs!$A:$B,2,0),O231,1),"")</f>
        <v>A</v>
      </c>
      <c r="O231" s="3">
        <v>68</v>
      </c>
      <c r="P231" s="3" t="str">
        <f>IFERROR(MID(VLOOKUP($B231,Seqs!$A:$B,2,0),Q231,1),"")</f>
        <v>A</v>
      </c>
      <c r="Q231" s="3">
        <v>71</v>
      </c>
      <c r="R231" s="3" t="str">
        <f>IFERROR(MID(VLOOKUP($B231,Seqs!$A:$B,2,0),S231,1),"")</f>
        <v>L</v>
      </c>
      <c r="S231" s="3">
        <v>74</v>
      </c>
      <c r="T231" s="3" t="str">
        <f>IFERROR(MID(VLOOKUP($B231,Seqs!$A:$B,2,0),U231,1),"")</f>
        <v>P</v>
      </c>
      <c r="U231" s="3">
        <v>75</v>
      </c>
      <c r="V231" s="3" t="str">
        <f>IFERROR(MID(VLOOKUP($B231,Seqs!$A:$B,2,0),W231,1),"")</f>
        <v>F</v>
      </c>
      <c r="W231" s="3">
        <v>110</v>
      </c>
      <c r="X231" s="3" t="str">
        <f>IFERROR(MID(VLOOKUP($B231,Seqs!$A:$B,2,0),Y231,1),"")</f>
        <v>P</v>
      </c>
      <c r="Y231" s="3">
        <v>111</v>
      </c>
      <c r="Z231" s="3" t="str">
        <f>IFERROR(MID(VLOOKUP($B231,Seqs!$A:$B,2,0),AA231,1),"")</f>
        <v>R</v>
      </c>
      <c r="AA231" s="3">
        <v>118</v>
      </c>
      <c r="AB231" s="3" t="str">
        <f>IFERROR(MID(VLOOKUP($B231,Seqs!$A:$B,2,0),AC231,1),"")</f>
        <v>R</v>
      </c>
      <c r="AC231" s="3">
        <v>119</v>
      </c>
      <c r="AD231" s="3" t="str">
        <f>IFERROR(MID(VLOOKUP($B231,Seqs!$A:$B,2,0),AE231,1),"")</f>
        <v>A</v>
      </c>
      <c r="AE231" s="3">
        <v>146</v>
      </c>
      <c r="AF231" s="3" t="str">
        <f>IFERROR(MID(VLOOKUP($B231,Seqs!$A:$B,2,0),AG231,1),"")</f>
        <v>C</v>
      </c>
      <c r="AG231" s="3">
        <v>170</v>
      </c>
      <c r="AH231" s="3" t="str">
        <f>IFERROR(MID(VLOOKUP($B231,Seqs!$A:$B,2,0),AI231,1),"")</f>
        <v>E</v>
      </c>
      <c r="AI231" s="3">
        <v>172</v>
      </c>
      <c r="AJ231" s="3" t="str">
        <f>IFERROR(MID(VLOOKUP($B231,Seqs!$A:$B,2,0),AK231,1),"")</f>
        <v>D</v>
      </c>
      <c r="AK231" s="3">
        <v>175</v>
      </c>
      <c r="AL231" s="3" t="str">
        <f>IFERROR(MID(VLOOKUP($B231,Seqs!$A:$B,2,0),AM231,1),"")</f>
        <v>R</v>
      </c>
      <c r="AM231" s="3">
        <v>211</v>
      </c>
      <c r="AN231" s="3" t="str">
        <f>IFERROR(MID(VLOOKUP($B231,Seqs!$A:$B,2,0),AO231,1),"")</f>
        <v/>
      </c>
      <c r="AO231" s="3">
        <v>2215</v>
      </c>
      <c r="AP231" s="3" t="str">
        <f>IFERROR(MID(VLOOKUP($B231,Seqs!$A:$B,2,0),AQ231,1),"")</f>
        <v/>
      </c>
      <c r="AQ231" s="3">
        <v>2250</v>
      </c>
      <c r="AR231" s="3" t="str">
        <f>IFERROR(MID(VLOOKUP($B231,Seqs!$A:$B,2,0),AS231,1),"")</f>
        <v/>
      </c>
      <c r="AS231" s="3">
        <v>2254</v>
      </c>
      <c r="AT231" s="3" t="str">
        <f>IFERROR(MID(VLOOKUP($B231,Seqs!$A:$B,2,0),AU231,1),"")</f>
        <v/>
      </c>
      <c r="AU231" s="3">
        <v>2277</v>
      </c>
      <c r="AV231" s="3" t="str">
        <f>IFERROR(MID(VLOOKUP($B231,Seqs!$A:$B,2,0),AW231,1),"")</f>
        <v/>
      </c>
      <c r="AW231" s="3" t="s">
        <v>23</v>
      </c>
      <c r="AX231" s="3" t="str">
        <f>IFERROR(MID(VLOOKUP($B231,Seqs!$A:$B,2,0),AY231,1),"")</f>
        <v/>
      </c>
      <c r="AY231" s="3" t="s">
        <v>23</v>
      </c>
      <c r="AZ231" s="77" t="str">
        <f>VLOOKUP(B231,Classification!A:D,2,0)</f>
        <v>A</v>
      </c>
      <c r="BA231" s="94" t="str">
        <f>VLOOKUP(B231,Classification!A:D,4,0)</f>
        <v>Freefattyacid</v>
      </c>
      <c r="BB231" s="27" t="b">
        <f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>_xlfn.AGGREGATE(9,6,CH231:CS231)-_xlfn.AGGREGATE(9,6,BV231:CG231)+12</f>
        <v>242</v>
      </c>
      <c r="BD231" s="16" t="s">
        <v>1429</v>
      </c>
      <c r="BE231" s="3" t="s">
        <v>1428</v>
      </c>
      <c r="BF231" s="118">
        <v>3.22</v>
      </c>
      <c r="BG231" s="49" t="s">
        <v>1</v>
      </c>
      <c r="BH231" s="49" t="s">
        <v>1</v>
      </c>
      <c r="BI231" s="1"/>
      <c r="BJ231" s="70" t="s">
        <v>1287</v>
      </c>
      <c r="BK231" s="57" t="s">
        <v>1287</v>
      </c>
      <c r="BL231" s="57" t="s">
        <v>1287</v>
      </c>
      <c r="BM231" s="57" t="s">
        <v>1287</v>
      </c>
      <c r="BN231" s="57" t="s">
        <v>1287</v>
      </c>
      <c r="BO231" s="57" t="s">
        <v>1287</v>
      </c>
      <c r="BP231" s="57" t="s">
        <v>1287</v>
      </c>
      <c r="BQ231" s="57" t="s">
        <v>1287</v>
      </c>
      <c r="BR231" s="57" t="s">
        <v>1287</v>
      </c>
      <c r="BS231" s="57" t="s">
        <v>1287</v>
      </c>
      <c r="BT231" s="57" t="s">
        <v>1287</v>
      </c>
      <c r="BU231" s="57" t="s">
        <v>1287</v>
      </c>
      <c r="BV231" s="70">
        <f>E231</f>
        <v>4</v>
      </c>
      <c r="BW231" s="71" t="str">
        <f>I231</f>
        <v>-</v>
      </c>
      <c r="BX231" s="72">
        <f>M231</f>
        <v>39</v>
      </c>
      <c r="BY231" s="71">
        <f>Q231</f>
        <v>71</v>
      </c>
      <c r="BZ231" s="72">
        <f>U231</f>
        <v>75</v>
      </c>
      <c r="CA231" s="71">
        <f>Y231</f>
        <v>111</v>
      </c>
      <c r="CB231" s="72">
        <f>AC231</f>
        <v>119</v>
      </c>
      <c r="CC231" s="71">
        <f>AG231</f>
        <v>170</v>
      </c>
      <c r="CD231" s="72">
        <f>AK231</f>
        <v>175</v>
      </c>
      <c r="CE231" s="71">
        <f>AO231</f>
        <v>2215</v>
      </c>
      <c r="CF231" s="72">
        <f>AS231</f>
        <v>2254</v>
      </c>
      <c r="CG231" s="71" t="str">
        <f>AW231</f>
        <v>-</v>
      </c>
      <c r="CH231" s="70">
        <f>G231</f>
        <v>37</v>
      </c>
      <c r="CI231" s="71" t="str">
        <f>K231</f>
        <v>-</v>
      </c>
      <c r="CJ231" s="72">
        <f>O231</f>
        <v>68</v>
      </c>
      <c r="CK231" s="72">
        <f>S231</f>
        <v>74</v>
      </c>
      <c r="CL231" s="72">
        <f>W231</f>
        <v>110</v>
      </c>
      <c r="CM231" s="72">
        <f>AA231</f>
        <v>118</v>
      </c>
      <c r="CN231" s="72">
        <f>AE231</f>
        <v>146</v>
      </c>
      <c r="CO231" s="72">
        <f>AI231</f>
        <v>172</v>
      </c>
      <c r="CP231" s="72">
        <f>AM231</f>
        <v>211</v>
      </c>
      <c r="CQ231" s="72">
        <f>AQ231</f>
        <v>2250</v>
      </c>
      <c r="CR231" s="72">
        <f>AU231</f>
        <v>2277</v>
      </c>
      <c r="CS231" s="72" t="str">
        <f>AY231</f>
        <v>-</v>
      </c>
      <c r="CT231" s="23" t="e">
        <f>M231-K231</f>
        <v>#VALUE!</v>
      </c>
    </row>
    <row r="232" spans="1:1029" s="12" customFormat="1" x14ac:dyDescent="0.2">
      <c r="A232" s="9" t="str">
        <f t="shared" ref="A232:A233" si="1759">CONCATENATE(B232,"_",C232)</f>
        <v>fpr2_human__wt</v>
      </c>
      <c r="B232" s="9" t="s">
        <v>202</v>
      </c>
      <c r="C232" s="9" t="s">
        <v>100</v>
      </c>
      <c r="D232" s="9" t="str">
        <f>IFERROR(MID(VLOOKUP($B232,Seqs!$A:$B,2,0),E232,1),"")</f>
        <v>S</v>
      </c>
      <c r="E232" s="9">
        <v>19</v>
      </c>
      <c r="F232" s="9" t="str">
        <f>IFERROR(MID(VLOOKUP($B232,Seqs!$A:$B,2,0),G232,1),"")</f>
        <v>M</v>
      </c>
      <c r="G232" s="9">
        <v>55</v>
      </c>
      <c r="H232" s="9" t="str">
        <f>IFERROR(MID(VLOOKUP($B232,Seqs!$A:$B,2,0),I232,1),"")</f>
        <v/>
      </c>
      <c r="I232" s="109" t="s">
        <v>23</v>
      </c>
      <c r="J232" s="9" t="str">
        <f>IFERROR(MID(VLOOKUP($B232,Seqs!$A:$B,2,0),K232,1),"")</f>
        <v/>
      </c>
      <c r="K232" s="109" t="s">
        <v>23</v>
      </c>
      <c r="L232" s="9" t="str">
        <f>IFERROR(MID(VLOOKUP($B232,Seqs!$A:$B,2,0),M232,1),"")</f>
        <v>T</v>
      </c>
      <c r="M232" s="9">
        <v>58</v>
      </c>
      <c r="N232" s="9" t="str">
        <f>IFERROR(MID(VLOOKUP($B232,Seqs!$A:$B,2,0),O232,1),"")</f>
        <v>G</v>
      </c>
      <c r="O232" s="9">
        <v>88</v>
      </c>
      <c r="P232" s="9" t="str">
        <f>IFERROR(MID(VLOOKUP($B232,Seqs!$A:$B,2,0),Q232,1),"")</f>
        <v>K</v>
      </c>
      <c r="Q232" s="9">
        <v>90</v>
      </c>
      <c r="R232" s="9" t="str">
        <f>IFERROR(MID(VLOOKUP($B232,Seqs!$A:$B,2,0),S232,1),"")</f>
        <v>F</v>
      </c>
      <c r="S232" s="9">
        <v>93</v>
      </c>
      <c r="T232" s="9" t="str">
        <f>IFERROR(MID(VLOOKUP($B232,Seqs!$A:$B,2,0),U232,1),"")</f>
        <v>G</v>
      </c>
      <c r="U232" s="9">
        <v>94</v>
      </c>
      <c r="V232" s="9" t="str">
        <f>IFERROR(MID(VLOOKUP($B232,Seqs!$A:$B,2,0),W232,1),"")</f>
        <v>H</v>
      </c>
      <c r="W232" s="9">
        <v>129</v>
      </c>
      <c r="X232" s="9" t="str">
        <f>IFERROR(MID(VLOOKUP($B232,Seqs!$A:$B,2,0),Y232,1),"")</f>
        <v>P</v>
      </c>
      <c r="Y232" s="9">
        <v>130</v>
      </c>
      <c r="Z232" s="9" t="str">
        <f>IFERROR(MID(VLOOKUP($B232,Seqs!$A:$B,2,0),AA232,1),"")</f>
        <v>R</v>
      </c>
      <c r="AA232" s="9">
        <v>137</v>
      </c>
      <c r="AB232" s="9" t="str">
        <f>IFERROR(MID(VLOOKUP($B232,Seqs!$A:$B,2,0),AC232,1),"")</f>
        <v>T</v>
      </c>
      <c r="AC232" s="9">
        <v>138</v>
      </c>
      <c r="AD232" s="9" t="str">
        <f>IFERROR(MID(VLOOKUP($B232,Seqs!$A:$B,2,0),AE232,1),"")</f>
        <v>L</v>
      </c>
      <c r="AE232" s="9">
        <v>164</v>
      </c>
      <c r="AF232" s="9" t="str">
        <f>IFERROR(MID(VLOOKUP($B232,Seqs!$A:$B,2,0),AG232,1),"")</f>
        <v>C</v>
      </c>
      <c r="AG232" s="9">
        <v>176</v>
      </c>
      <c r="AH232" s="9" t="str">
        <f>IFERROR(MID(VLOOKUP($B232,Seqs!$A:$B,2,0),AI232,1),"")</f>
        <v>F</v>
      </c>
      <c r="AI232" s="9">
        <v>178</v>
      </c>
      <c r="AJ232" s="9" t="str">
        <f>IFERROR(MID(VLOOKUP($B232,Seqs!$A:$B,2,0),AK232,1),"")</f>
        <v>T</v>
      </c>
      <c r="AK232" s="9">
        <v>186</v>
      </c>
      <c r="AL232" s="9" t="str">
        <f>IFERROR(MID(VLOOKUP($B232,Seqs!$A:$B,2,0),AM232,1),"")</f>
        <v>G</v>
      </c>
      <c r="AM232" s="9">
        <v>232</v>
      </c>
      <c r="AN232" s="9" t="str">
        <f>IFERROR(MID(VLOOKUP($B232,Seqs!$A:$B,2,0),AO232,1),"")</f>
        <v>S</v>
      </c>
      <c r="AO232" s="9">
        <v>237</v>
      </c>
      <c r="AP232" s="9" t="str">
        <f>IFERROR(MID(VLOOKUP($B232,Seqs!$A:$B,2,0),AQ232,1),"")</f>
        <v>W</v>
      </c>
      <c r="AQ232" s="9">
        <v>267</v>
      </c>
      <c r="AR232" s="9" t="str">
        <f>IFERROR(MID(VLOOKUP($B232,Seqs!$A:$B,2,0),AS232,1),"")</f>
        <v>Y</v>
      </c>
      <c r="AS232" s="9">
        <v>277</v>
      </c>
      <c r="AT232" s="9" t="str">
        <f>IFERROR(MID(VLOOKUP($B232,Seqs!$A:$B,2,0),AU232,1),"")</f>
        <v>V</v>
      </c>
      <c r="AU232" s="9">
        <v>305</v>
      </c>
      <c r="AV232" s="9" t="str">
        <f>IFERROR(MID(VLOOKUP($B232,Seqs!$A:$B,2,0),AW232,1),"")</f>
        <v>G</v>
      </c>
      <c r="AW232" s="9">
        <v>306</v>
      </c>
      <c r="AX232" s="9" t="str">
        <f>IFERROR(MID(VLOOKUP($B232,Seqs!$A:$B,2,0),AY232,1),"")</f>
        <v>L</v>
      </c>
      <c r="AY232" s="9">
        <v>317</v>
      </c>
      <c r="AZ232" s="110" t="str">
        <f>VLOOKUP(B232,Classification!A:D,2,0)</f>
        <v>A</v>
      </c>
      <c r="BA232" s="98" t="str">
        <f>VLOOKUP(B232,Classification!A:D,4,0)</f>
        <v>Formylpeptide</v>
      </c>
      <c r="BB232" s="36" t="b">
        <f t="shared" ref="BB232:BB233" si="1760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109">
        <f t="shared" ref="BC232:BC233" si="1761">_xlfn.AGGREGATE(9,6,CH232:CS232)-_xlfn.AGGREGATE(9,6,BV232:CG232)+12</f>
        <v>266</v>
      </c>
      <c r="BD232" s="126" t="s">
        <v>23</v>
      </c>
      <c r="BE232" s="9" t="s">
        <v>23</v>
      </c>
      <c r="BF232" s="119" t="s">
        <v>23</v>
      </c>
      <c r="BG232" s="51" t="s">
        <v>23</v>
      </c>
      <c r="BH232" s="51" t="s">
        <v>23</v>
      </c>
      <c r="BJ232" s="111" t="s">
        <v>1287</v>
      </c>
      <c r="BK232" s="112" t="s">
        <v>1287</v>
      </c>
      <c r="BL232" s="112" t="s">
        <v>1287</v>
      </c>
      <c r="BM232" s="112" t="s">
        <v>1287</v>
      </c>
      <c r="BN232" s="112" t="s">
        <v>1287</v>
      </c>
      <c r="BO232" s="112" t="s">
        <v>1287</v>
      </c>
      <c r="BP232" s="112" t="s">
        <v>1287</v>
      </c>
      <c r="BQ232" s="112" t="s">
        <v>1287</v>
      </c>
      <c r="BR232" s="112" t="s">
        <v>1287</v>
      </c>
      <c r="BS232" s="112" t="s">
        <v>1287</v>
      </c>
      <c r="BT232" s="112" t="s">
        <v>1287</v>
      </c>
      <c r="BU232" s="112" t="s">
        <v>1287</v>
      </c>
      <c r="BV232" s="111">
        <f t="shared" ref="BV232:BV233" si="1762">E232</f>
        <v>19</v>
      </c>
      <c r="BW232" s="113" t="str">
        <f t="shared" ref="BW232:BW233" si="1763">I232</f>
        <v>-</v>
      </c>
      <c r="BX232" s="114">
        <f t="shared" ref="BX232:BX233" si="1764">M232</f>
        <v>58</v>
      </c>
      <c r="BY232" s="113">
        <f t="shared" ref="BY232:BY233" si="1765">Q232</f>
        <v>90</v>
      </c>
      <c r="BZ232" s="114">
        <f t="shared" ref="BZ232:BZ233" si="1766">U232</f>
        <v>94</v>
      </c>
      <c r="CA232" s="113">
        <f t="shared" ref="CA232:CA233" si="1767">Y232</f>
        <v>130</v>
      </c>
      <c r="CB232" s="114">
        <f t="shared" ref="CB232:CB233" si="1768">AC232</f>
        <v>138</v>
      </c>
      <c r="CC232" s="113">
        <f t="shared" ref="CC232:CC233" si="1769">AG232</f>
        <v>176</v>
      </c>
      <c r="CD232" s="114">
        <f t="shared" ref="CD232:CD233" si="1770">AK232</f>
        <v>186</v>
      </c>
      <c r="CE232" s="113">
        <f t="shared" ref="CE232:CE233" si="1771">AO232</f>
        <v>237</v>
      </c>
      <c r="CF232" s="114">
        <f t="shared" ref="CF232:CF233" si="1772">AS232</f>
        <v>277</v>
      </c>
      <c r="CG232" s="113">
        <f t="shared" ref="CG232:CG233" si="1773">AW232</f>
        <v>306</v>
      </c>
      <c r="CH232" s="111">
        <f t="shared" ref="CH232:CH233" si="1774">G232</f>
        <v>55</v>
      </c>
      <c r="CI232" s="113" t="str">
        <f t="shared" ref="CI232:CI233" si="1775">K232</f>
        <v>-</v>
      </c>
      <c r="CJ232" s="114">
        <f t="shared" ref="CJ232:CJ233" si="1776">O232</f>
        <v>88</v>
      </c>
      <c r="CK232" s="114">
        <f t="shared" ref="CK232:CK233" si="1777">S232</f>
        <v>93</v>
      </c>
      <c r="CL232" s="114">
        <f t="shared" ref="CL232:CL233" si="1778">W232</f>
        <v>129</v>
      </c>
      <c r="CM232" s="114">
        <f t="shared" ref="CM232:CM233" si="1779">AA232</f>
        <v>137</v>
      </c>
      <c r="CN232" s="114">
        <f t="shared" ref="CN232:CN233" si="1780">AE232</f>
        <v>164</v>
      </c>
      <c r="CO232" s="114">
        <f t="shared" ref="CO232:CO233" si="1781">AI232</f>
        <v>178</v>
      </c>
      <c r="CP232" s="114">
        <f t="shared" ref="CP232:CP233" si="1782">AM232</f>
        <v>232</v>
      </c>
      <c r="CQ232" s="114">
        <f t="shared" ref="CQ232:CQ233" si="1783">AQ232</f>
        <v>267</v>
      </c>
      <c r="CR232" s="114">
        <f t="shared" ref="CR232:CR233" si="1784">AU232</f>
        <v>305</v>
      </c>
      <c r="CS232" s="114">
        <f t="shared" ref="CS232:CS233" si="1785">AY232</f>
        <v>317</v>
      </c>
      <c r="CT232" s="109" t="e">
        <f t="shared" ref="CT232:CT233" si="1786">M232-K232</f>
        <v>#VALUE!</v>
      </c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  <c r="ZW232" s="9"/>
      <c r="ZX232" s="9"/>
      <c r="ZY232" s="9"/>
      <c r="ZZ232" s="9"/>
      <c r="AAA232" s="9"/>
      <c r="AAB232" s="9"/>
      <c r="AAC232" s="9"/>
      <c r="AAD232" s="9"/>
      <c r="AAE232" s="9"/>
      <c r="AAF232" s="9"/>
      <c r="AAG232" s="9"/>
      <c r="AAH232" s="9"/>
      <c r="AAI232" s="9"/>
      <c r="AAJ232" s="9"/>
      <c r="AAK232" s="9"/>
      <c r="AAL232" s="9"/>
      <c r="AAM232" s="9"/>
      <c r="AAN232" s="9"/>
      <c r="AAO232" s="9"/>
      <c r="AAP232" s="9"/>
      <c r="AAQ232" s="9"/>
      <c r="AAR232" s="9"/>
      <c r="AAS232" s="9"/>
      <c r="AAT232" s="9"/>
      <c r="AAU232" s="9"/>
      <c r="AAV232" s="9"/>
      <c r="AAW232" s="9"/>
      <c r="AAX232" s="9"/>
      <c r="AAY232" s="9"/>
      <c r="AAZ232" s="9"/>
      <c r="ABA232" s="9"/>
      <c r="ABB232" s="9"/>
      <c r="ABC232" s="9"/>
      <c r="ABD232" s="9"/>
      <c r="ABE232" s="9"/>
      <c r="ABF232" s="9"/>
      <c r="ABG232" s="9"/>
      <c r="ABH232" s="9"/>
      <c r="ABI232" s="9"/>
      <c r="ABJ232" s="9"/>
      <c r="ABK232" s="9"/>
      <c r="ABL232" s="9"/>
      <c r="ABM232" s="9"/>
      <c r="ABN232" s="9"/>
      <c r="ABO232" s="9"/>
      <c r="ABP232" s="9"/>
      <c r="ABQ232" s="9"/>
      <c r="ABR232" s="9"/>
      <c r="ABS232" s="9"/>
      <c r="ABT232" s="9"/>
      <c r="ABU232" s="9"/>
      <c r="ABV232" s="9"/>
      <c r="ABW232" s="9"/>
      <c r="ABX232" s="9"/>
      <c r="ABY232" s="9"/>
      <c r="ABZ232" s="9"/>
      <c r="ACA232" s="9"/>
      <c r="ACB232" s="9"/>
      <c r="ACC232" s="9"/>
      <c r="ACD232" s="9"/>
      <c r="ACE232" s="9"/>
      <c r="ACF232" s="9"/>
      <c r="ACG232" s="9"/>
      <c r="ACH232" s="9"/>
      <c r="ACI232" s="9"/>
      <c r="ACJ232" s="9"/>
      <c r="ACK232" s="9"/>
      <c r="ACL232" s="9"/>
      <c r="ACM232" s="9"/>
      <c r="ACN232" s="9"/>
      <c r="ACO232" s="9"/>
      <c r="ACP232" s="9"/>
      <c r="ACQ232" s="9"/>
      <c r="ACR232" s="9"/>
      <c r="ACS232" s="9"/>
      <c r="ACT232" s="9"/>
      <c r="ACU232" s="9"/>
      <c r="ACV232" s="9"/>
      <c r="ACW232" s="9"/>
      <c r="ACX232" s="9"/>
      <c r="ACY232" s="9"/>
      <c r="ACZ232" s="9"/>
      <c r="ADA232" s="9"/>
      <c r="ADB232" s="9"/>
      <c r="ADC232" s="9"/>
      <c r="ADD232" s="9"/>
      <c r="ADE232" s="9"/>
      <c r="ADF232" s="9"/>
      <c r="ADG232" s="9"/>
      <c r="ADH232" s="9"/>
      <c r="ADI232" s="9"/>
      <c r="ADJ232" s="9"/>
      <c r="ADK232" s="9"/>
      <c r="ADL232" s="9"/>
      <c r="ADM232" s="9"/>
      <c r="ADN232" s="9"/>
      <c r="ADO232" s="9"/>
      <c r="ADP232" s="9"/>
      <c r="ADQ232" s="9"/>
      <c r="ADR232" s="9"/>
      <c r="ADS232" s="9"/>
      <c r="ADT232" s="9"/>
      <c r="ADU232" s="9"/>
      <c r="ADV232" s="9"/>
      <c r="ADW232" s="9"/>
      <c r="ADX232" s="9"/>
      <c r="ADY232" s="9"/>
      <c r="ADZ232" s="9"/>
      <c r="AEA232" s="9"/>
      <c r="AEB232" s="9"/>
      <c r="AEC232" s="9"/>
      <c r="AED232" s="9"/>
      <c r="AEE232" s="9"/>
      <c r="AEF232" s="9"/>
      <c r="AEG232" s="9"/>
      <c r="AEH232" s="9"/>
      <c r="AEI232" s="9"/>
      <c r="AEJ232" s="9"/>
      <c r="AEK232" s="9"/>
      <c r="AEL232" s="9"/>
      <c r="AEM232" s="9"/>
      <c r="AEN232" s="9"/>
      <c r="AEO232" s="9"/>
      <c r="AEP232" s="9"/>
      <c r="AEQ232" s="9"/>
      <c r="AER232" s="9"/>
      <c r="AES232" s="9"/>
      <c r="AET232" s="9"/>
      <c r="AEU232" s="9"/>
      <c r="AEV232" s="9"/>
      <c r="AEW232" s="9"/>
      <c r="AEX232" s="9"/>
      <c r="AEY232" s="9"/>
      <c r="AEZ232" s="9"/>
      <c r="AFA232" s="9"/>
      <c r="AFB232" s="9"/>
      <c r="AFC232" s="9"/>
      <c r="AFD232" s="9"/>
      <c r="AFE232" s="9"/>
      <c r="AFF232" s="9"/>
      <c r="AFG232" s="9"/>
      <c r="AFH232" s="9"/>
      <c r="AFI232" s="9"/>
      <c r="AFJ232" s="9"/>
      <c r="AFK232" s="9"/>
      <c r="AFL232" s="9"/>
      <c r="AFM232" s="9"/>
      <c r="AFN232" s="9"/>
      <c r="AFO232" s="9"/>
      <c r="AFP232" s="9"/>
      <c r="AFQ232" s="9"/>
      <c r="AFR232" s="9"/>
      <c r="AFS232" s="9"/>
      <c r="AFT232" s="9"/>
      <c r="AFU232" s="9"/>
      <c r="AFV232" s="9"/>
      <c r="AFW232" s="9"/>
      <c r="AFX232" s="9"/>
      <c r="AFY232" s="9"/>
      <c r="AFZ232" s="9"/>
      <c r="AGA232" s="9"/>
      <c r="AGB232" s="9"/>
      <c r="AGC232" s="9"/>
      <c r="AGD232" s="9"/>
      <c r="AGE232" s="9"/>
      <c r="AGF232" s="9"/>
      <c r="AGG232" s="9"/>
      <c r="AGH232" s="9"/>
      <c r="AGI232" s="9"/>
      <c r="AGJ232" s="9"/>
      <c r="AGK232" s="9"/>
      <c r="AGL232" s="9"/>
      <c r="AGM232" s="9"/>
      <c r="AGN232" s="9"/>
      <c r="AGO232" s="9"/>
      <c r="AGP232" s="9"/>
      <c r="AGQ232" s="9"/>
      <c r="AGR232" s="9"/>
      <c r="AGS232" s="9"/>
      <c r="AGT232" s="9"/>
      <c r="AGU232" s="9"/>
      <c r="AGV232" s="9"/>
      <c r="AGW232" s="9"/>
      <c r="AGX232" s="9"/>
      <c r="AGY232" s="9"/>
      <c r="AGZ232" s="9"/>
      <c r="AHA232" s="9"/>
      <c r="AHB232" s="9"/>
      <c r="AHC232" s="9"/>
      <c r="AHD232" s="9"/>
      <c r="AHE232" s="9"/>
      <c r="AHF232" s="9"/>
      <c r="AHG232" s="9"/>
      <c r="AHH232" s="9"/>
      <c r="AHI232" s="9"/>
      <c r="AHJ232" s="9"/>
      <c r="AHK232" s="9"/>
      <c r="AHL232" s="9"/>
      <c r="AHM232" s="9"/>
      <c r="AHN232" s="9"/>
      <c r="AHO232" s="9"/>
      <c r="AHP232" s="9"/>
      <c r="AHQ232" s="9"/>
      <c r="AHR232" s="9"/>
      <c r="AHS232" s="9"/>
      <c r="AHT232" s="9"/>
      <c r="AHU232" s="9"/>
      <c r="AHV232" s="9"/>
      <c r="AHW232" s="9"/>
      <c r="AHX232" s="9"/>
      <c r="AHY232" s="9"/>
      <c r="AHZ232" s="9"/>
      <c r="AIA232" s="9"/>
      <c r="AIB232" s="9"/>
      <c r="AIC232" s="9"/>
      <c r="AID232" s="9"/>
      <c r="AIE232" s="9"/>
      <c r="AIF232" s="9"/>
      <c r="AIG232" s="9"/>
      <c r="AIH232" s="9"/>
      <c r="AII232" s="9"/>
      <c r="AIJ232" s="9"/>
      <c r="AIK232" s="9"/>
      <c r="AIL232" s="9"/>
      <c r="AIM232" s="9"/>
      <c r="AIN232" s="9"/>
      <c r="AIO232" s="9"/>
      <c r="AIP232" s="9"/>
      <c r="AIQ232" s="9"/>
      <c r="AIR232" s="9"/>
      <c r="AIS232" s="9"/>
      <c r="AIT232" s="9"/>
      <c r="AIU232" s="9"/>
      <c r="AIV232" s="9"/>
      <c r="AIW232" s="9"/>
      <c r="AIX232" s="9"/>
      <c r="AIY232" s="9"/>
      <c r="AIZ232" s="9"/>
      <c r="AJA232" s="9"/>
      <c r="AJB232" s="9"/>
      <c r="AJC232" s="9"/>
      <c r="AJD232" s="9"/>
      <c r="AJE232" s="9"/>
      <c r="AJF232" s="9"/>
      <c r="AJG232" s="9"/>
      <c r="AJH232" s="9"/>
      <c r="AJI232" s="9"/>
      <c r="AJJ232" s="9"/>
      <c r="AJK232" s="9"/>
      <c r="AJL232" s="9"/>
      <c r="AJM232" s="9"/>
      <c r="AJN232" s="9"/>
      <c r="AJO232" s="9"/>
      <c r="AJP232" s="9"/>
      <c r="AJQ232" s="9"/>
      <c r="AJR232" s="9"/>
      <c r="AJS232" s="9"/>
      <c r="AJT232" s="9"/>
      <c r="AJU232" s="9"/>
      <c r="AJV232" s="9"/>
      <c r="AJW232" s="9"/>
      <c r="AJX232" s="9"/>
      <c r="AJY232" s="9"/>
      <c r="AJZ232" s="9"/>
      <c r="AKA232" s="9"/>
      <c r="AKB232" s="9"/>
      <c r="AKC232" s="9"/>
      <c r="AKD232" s="9"/>
      <c r="AKE232" s="9"/>
      <c r="AKF232" s="9"/>
      <c r="AKG232" s="9"/>
      <c r="AKH232" s="9"/>
      <c r="AKI232" s="9"/>
      <c r="AKJ232" s="9"/>
      <c r="AKK232" s="9"/>
      <c r="AKL232" s="9"/>
      <c r="AKM232" s="9"/>
      <c r="AKN232" s="9"/>
      <c r="AKO232" s="9"/>
      <c r="AKP232" s="9"/>
      <c r="AKQ232" s="9"/>
      <c r="AKR232" s="9"/>
      <c r="AKS232" s="9"/>
      <c r="AKT232" s="9"/>
      <c r="AKU232" s="9"/>
      <c r="AKV232" s="9"/>
      <c r="AKW232" s="9"/>
      <c r="AKX232" s="9"/>
      <c r="AKY232" s="9"/>
      <c r="AKZ232" s="9"/>
      <c r="ALA232" s="9"/>
      <c r="ALB232" s="9"/>
      <c r="ALC232" s="9"/>
      <c r="ALD232" s="9"/>
      <c r="ALE232" s="9"/>
      <c r="ALF232" s="9"/>
      <c r="ALG232" s="9"/>
      <c r="ALH232" s="9"/>
      <c r="ALI232" s="9"/>
      <c r="ALJ232" s="9"/>
      <c r="ALK232" s="9"/>
      <c r="ALL232" s="9"/>
      <c r="ALM232" s="9"/>
      <c r="ALN232" s="9"/>
      <c r="ALO232" s="9"/>
      <c r="ALP232" s="9"/>
      <c r="ALQ232" s="9"/>
      <c r="ALR232" s="9"/>
      <c r="ALS232" s="9"/>
      <c r="ALT232" s="9"/>
      <c r="ALU232" s="9"/>
      <c r="ALV232" s="9"/>
      <c r="ALW232" s="9"/>
      <c r="ALX232" s="9"/>
      <c r="ALY232" s="9"/>
      <c r="ALZ232" s="9"/>
      <c r="AMA232" s="9"/>
      <c r="AMB232" s="9"/>
      <c r="AMC232" s="9"/>
      <c r="AMD232" s="9"/>
      <c r="AME232" s="9"/>
      <c r="AMF232" s="9"/>
      <c r="AMG232" s="9"/>
      <c r="AMH232" s="9"/>
      <c r="AMI232" s="9"/>
      <c r="AMJ232" s="9"/>
      <c r="AMK232" s="9"/>
      <c r="AML232" s="9"/>
      <c r="AMM232" s="9"/>
      <c r="AMN232" s="9"/>
      <c r="AMO232" s="9"/>
    </row>
    <row r="233" spans="1:1029" s="12" customFormat="1" x14ac:dyDescent="0.2">
      <c r="A233" s="9" t="str">
        <f t="shared" si="1759"/>
        <v>fpr2_human_6LW5</v>
      </c>
      <c r="B233" s="9" t="s">
        <v>202</v>
      </c>
      <c r="C233" s="9" t="s">
        <v>1662</v>
      </c>
      <c r="D233" s="9" t="str">
        <f>IFERROR(MID(VLOOKUP($B233,Seqs!$A:$B,2,0),E233,1),"")</f>
        <v>S</v>
      </c>
      <c r="E233" s="9">
        <v>19</v>
      </c>
      <c r="F233" s="9" t="str">
        <f>IFERROR(MID(VLOOKUP($B233,Seqs!$A:$B,2,0),G233,1),"")</f>
        <v>M</v>
      </c>
      <c r="G233" s="9">
        <v>55</v>
      </c>
      <c r="H233" s="9" t="str">
        <f>IFERROR(MID(VLOOKUP($B233,Seqs!$A:$B,2,0),I233,1),"")</f>
        <v/>
      </c>
      <c r="I233" s="109" t="s">
        <v>23</v>
      </c>
      <c r="J233" s="9" t="str">
        <f>IFERROR(MID(VLOOKUP($B233,Seqs!$A:$B,2,0),K233,1),"")</f>
        <v/>
      </c>
      <c r="K233" s="109" t="s">
        <v>23</v>
      </c>
      <c r="L233" s="9" t="str">
        <f>IFERROR(MID(VLOOKUP($B233,Seqs!$A:$B,2,0),M233,1),"")</f>
        <v>T</v>
      </c>
      <c r="M233" s="9">
        <v>58</v>
      </c>
      <c r="N233" s="9" t="str">
        <f>IFERROR(MID(VLOOKUP($B233,Seqs!$A:$B,2,0),O233,1),"")</f>
        <v>G</v>
      </c>
      <c r="O233" s="9">
        <v>88</v>
      </c>
      <c r="P233" s="9" t="str">
        <f>IFERROR(MID(VLOOKUP($B233,Seqs!$A:$B,2,0),Q233,1),"")</f>
        <v>K</v>
      </c>
      <c r="Q233" s="9">
        <v>90</v>
      </c>
      <c r="R233" s="9" t="str">
        <f>IFERROR(MID(VLOOKUP($B233,Seqs!$A:$B,2,0),S233,1),"")</f>
        <v>F</v>
      </c>
      <c r="S233" s="9">
        <v>93</v>
      </c>
      <c r="T233" s="9" t="str">
        <f>IFERROR(MID(VLOOKUP($B233,Seqs!$A:$B,2,0),U233,1),"")</f>
        <v>G</v>
      </c>
      <c r="U233" s="9">
        <v>94</v>
      </c>
      <c r="V233" s="9" t="str">
        <f>IFERROR(MID(VLOOKUP($B233,Seqs!$A:$B,2,0),W233,1),"")</f>
        <v>H</v>
      </c>
      <c r="W233" s="9">
        <v>129</v>
      </c>
      <c r="X233" s="9" t="str">
        <f>IFERROR(MID(VLOOKUP($B233,Seqs!$A:$B,2,0),Y233,1),"")</f>
        <v>P</v>
      </c>
      <c r="Y233" s="9">
        <v>130</v>
      </c>
      <c r="Z233" s="9" t="str">
        <f>IFERROR(MID(VLOOKUP($B233,Seqs!$A:$B,2,0),AA233,1),"")</f>
        <v>R</v>
      </c>
      <c r="AA233" s="9">
        <v>137</v>
      </c>
      <c r="AB233" s="9" t="str">
        <f>IFERROR(MID(VLOOKUP($B233,Seqs!$A:$B,2,0),AC233,1),"")</f>
        <v>T</v>
      </c>
      <c r="AC233" s="9">
        <v>138</v>
      </c>
      <c r="AD233" s="9" t="str">
        <f>IFERROR(MID(VLOOKUP($B233,Seqs!$A:$B,2,0),AE233,1),"")</f>
        <v>L</v>
      </c>
      <c r="AE233" s="9">
        <v>164</v>
      </c>
      <c r="AF233" s="9" t="str">
        <f>IFERROR(MID(VLOOKUP($B233,Seqs!$A:$B,2,0),AG233,1),"")</f>
        <v>C</v>
      </c>
      <c r="AG233" s="9">
        <v>176</v>
      </c>
      <c r="AH233" s="9" t="str">
        <f>IFERROR(MID(VLOOKUP($B233,Seqs!$A:$B,2,0),AI233,1),"")</f>
        <v>F</v>
      </c>
      <c r="AI233" s="9">
        <v>178</v>
      </c>
      <c r="AJ233" s="9" t="str">
        <f>IFERROR(MID(VLOOKUP($B233,Seqs!$A:$B,2,0),AK233,1),"")</f>
        <v>T</v>
      </c>
      <c r="AK233" s="9">
        <v>186</v>
      </c>
      <c r="AL233" s="9" t="str">
        <f>IFERROR(MID(VLOOKUP($B233,Seqs!$A:$B,2,0),AM233,1),"")</f>
        <v>K</v>
      </c>
      <c r="AM233" s="9">
        <v>231</v>
      </c>
      <c r="AN233" s="9" t="str">
        <f>IFERROR(MID(VLOOKUP($B233,Seqs!$A:$B,2,0),AO233,1),"")</f>
        <v>A</v>
      </c>
      <c r="AO233" s="9">
        <v>245</v>
      </c>
      <c r="AP233" s="9" t="str">
        <f>IFERROR(MID(VLOOKUP($B233,Seqs!$A:$B,2,0),AQ233,1),"")</f>
        <v>W</v>
      </c>
      <c r="AQ233" s="9">
        <v>267</v>
      </c>
      <c r="AR233" s="9" t="str">
        <f>IFERROR(MID(VLOOKUP($B233,Seqs!$A:$B,2,0),AS233,1),"")</f>
        <v>Y</v>
      </c>
      <c r="AS233" s="9">
        <v>277</v>
      </c>
      <c r="AT233" s="9" t="str">
        <f>IFERROR(MID(VLOOKUP($B233,Seqs!$A:$B,2,0),AU233,1),"")</f>
        <v>V</v>
      </c>
      <c r="AU233" s="9">
        <v>303</v>
      </c>
      <c r="AV233" s="9" t="str">
        <f>IFERROR(MID(VLOOKUP($B233,Seqs!$A:$B,2,0),AW233,1),"")</f>
        <v>Q</v>
      </c>
      <c r="AW233" s="9">
        <v>307</v>
      </c>
      <c r="AX233" s="9" t="str">
        <f>IFERROR(MID(VLOOKUP($B233,Seqs!$A:$B,2,0),AY233,1),"")</f>
        <v>L</v>
      </c>
      <c r="AY233" s="9">
        <v>317</v>
      </c>
      <c r="AZ233" s="110" t="str">
        <f>VLOOKUP(B233,Classification!A:D,2,0)</f>
        <v>A</v>
      </c>
      <c r="BA233" s="98" t="str">
        <f>VLOOKUP(B233,Classification!A:D,4,0)</f>
        <v>Formylpeptide</v>
      </c>
      <c r="BB233" s="36" t="b">
        <f t="shared" si="1760"/>
        <v>1</v>
      </c>
      <c r="BC233" s="109">
        <f t="shared" si="1761"/>
        <v>254</v>
      </c>
      <c r="BD233" s="126" t="s">
        <v>23</v>
      </c>
      <c r="BE233" s="9" t="s">
        <v>1291</v>
      </c>
      <c r="BF233" s="119">
        <v>2.8</v>
      </c>
      <c r="BG233" s="51" t="s">
        <v>1</v>
      </c>
      <c r="BH233" s="51" t="s">
        <v>1</v>
      </c>
      <c r="BJ233" s="111" t="s">
        <v>1287</v>
      </c>
      <c r="BK233" s="112" t="s">
        <v>1287</v>
      </c>
      <c r="BL233" s="112" t="s">
        <v>1287</v>
      </c>
      <c r="BM233" s="112" t="s">
        <v>1287</v>
      </c>
      <c r="BN233" s="112" t="s">
        <v>1287</v>
      </c>
      <c r="BO233" s="112" t="s">
        <v>1287</v>
      </c>
      <c r="BP233" s="112" t="s">
        <v>1287</v>
      </c>
      <c r="BQ233" s="112" t="s">
        <v>1287</v>
      </c>
      <c r="BR233" s="112" t="s">
        <v>1287</v>
      </c>
      <c r="BS233" s="112" t="s">
        <v>1287</v>
      </c>
      <c r="BT233" s="112" t="s">
        <v>1287</v>
      </c>
      <c r="BU233" s="112" t="s">
        <v>1287</v>
      </c>
      <c r="BV233" s="111">
        <f t="shared" si="1762"/>
        <v>19</v>
      </c>
      <c r="BW233" s="113" t="str">
        <f t="shared" si="1763"/>
        <v>-</v>
      </c>
      <c r="BX233" s="114">
        <f t="shared" si="1764"/>
        <v>58</v>
      </c>
      <c r="BY233" s="113">
        <f t="shared" si="1765"/>
        <v>90</v>
      </c>
      <c r="BZ233" s="114">
        <f t="shared" si="1766"/>
        <v>94</v>
      </c>
      <c r="CA233" s="113">
        <f t="shared" si="1767"/>
        <v>130</v>
      </c>
      <c r="CB233" s="114">
        <f t="shared" si="1768"/>
        <v>138</v>
      </c>
      <c r="CC233" s="113">
        <f t="shared" si="1769"/>
        <v>176</v>
      </c>
      <c r="CD233" s="114">
        <f t="shared" si="1770"/>
        <v>186</v>
      </c>
      <c r="CE233" s="113">
        <f t="shared" si="1771"/>
        <v>245</v>
      </c>
      <c r="CF233" s="114">
        <f t="shared" si="1772"/>
        <v>277</v>
      </c>
      <c r="CG233" s="113">
        <f t="shared" si="1773"/>
        <v>307</v>
      </c>
      <c r="CH233" s="111">
        <f t="shared" si="1774"/>
        <v>55</v>
      </c>
      <c r="CI233" s="113" t="str">
        <f t="shared" si="1775"/>
        <v>-</v>
      </c>
      <c r="CJ233" s="114">
        <f t="shared" si="1776"/>
        <v>88</v>
      </c>
      <c r="CK233" s="114">
        <f t="shared" si="1777"/>
        <v>93</v>
      </c>
      <c r="CL233" s="114">
        <f t="shared" si="1778"/>
        <v>129</v>
      </c>
      <c r="CM233" s="114">
        <f t="shared" si="1779"/>
        <v>137</v>
      </c>
      <c r="CN233" s="114">
        <f t="shared" si="1780"/>
        <v>164</v>
      </c>
      <c r="CO233" s="114">
        <f t="shared" si="1781"/>
        <v>178</v>
      </c>
      <c r="CP233" s="114">
        <f t="shared" si="1782"/>
        <v>231</v>
      </c>
      <c r="CQ233" s="114">
        <f t="shared" si="1783"/>
        <v>267</v>
      </c>
      <c r="CR233" s="114">
        <f t="shared" si="1784"/>
        <v>303</v>
      </c>
      <c r="CS233" s="114">
        <f t="shared" si="1785"/>
        <v>317</v>
      </c>
      <c r="CT233" s="109" t="e">
        <f t="shared" si="1786"/>
        <v>#VALUE!</v>
      </c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  <c r="ZW233" s="9"/>
      <c r="ZX233" s="9"/>
      <c r="ZY233" s="9"/>
      <c r="ZZ233" s="9"/>
      <c r="AAA233" s="9"/>
      <c r="AAB233" s="9"/>
      <c r="AAC233" s="9"/>
      <c r="AAD233" s="9"/>
      <c r="AAE233" s="9"/>
      <c r="AAF233" s="9"/>
      <c r="AAG233" s="9"/>
      <c r="AAH233" s="9"/>
      <c r="AAI233" s="9"/>
      <c r="AAJ233" s="9"/>
      <c r="AAK233" s="9"/>
      <c r="AAL233" s="9"/>
      <c r="AAM233" s="9"/>
      <c r="AAN233" s="9"/>
      <c r="AAO233" s="9"/>
      <c r="AAP233" s="9"/>
      <c r="AAQ233" s="9"/>
      <c r="AAR233" s="9"/>
      <c r="AAS233" s="9"/>
      <c r="AAT233" s="9"/>
      <c r="AAU233" s="9"/>
      <c r="AAV233" s="9"/>
      <c r="AAW233" s="9"/>
      <c r="AAX233" s="9"/>
      <c r="AAY233" s="9"/>
      <c r="AAZ233" s="9"/>
      <c r="ABA233" s="9"/>
      <c r="ABB233" s="9"/>
      <c r="ABC233" s="9"/>
      <c r="ABD233" s="9"/>
      <c r="ABE233" s="9"/>
      <c r="ABF233" s="9"/>
      <c r="ABG233" s="9"/>
      <c r="ABH233" s="9"/>
      <c r="ABI233" s="9"/>
      <c r="ABJ233" s="9"/>
      <c r="ABK233" s="9"/>
      <c r="ABL233" s="9"/>
      <c r="ABM233" s="9"/>
      <c r="ABN233" s="9"/>
      <c r="ABO233" s="9"/>
      <c r="ABP233" s="9"/>
      <c r="ABQ233" s="9"/>
      <c r="ABR233" s="9"/>
      <c r="ABS233" s="9"/>
      <c r="ABT233" s="9"/>
      <c r="ABU233" s="9"/>
      <c r="ABV233" s="9"/>
      <c r="ABW233" s="9"/>
      <c r="ABX233" s="9"/>
      <c r="ABY233" s="9"/>
      <c r="ABZ233" s="9"/>
      <c r="ACA233" s="9"/>
      <c r="ACB233" s="9"/>
      <c r="ACC233" s="9"/>
      <c r="ACD233" s="9"/>
      <c r="ACE233" s="9"/>
      <c r="ACF233" s="9"/>
      <c r="ACG233" s="9"/>
      <c r="ACH233" s="9"/>
      <c r="ACI233" s="9"/>
      <c r="ACJ233" s="9"/>
      <c r="ACK233" s="9"/>
      <c r="ACL233" s="9"/>
      <c r="ACM233" s="9"/>
      <c r="ACN233" s="9"/>
      <c r="ACO233" s="9"/>
      <c r="ACP233" s="9"/>
      <c r="ACQ233" s="9"/>
      <c r="ACR233" s="9"/>
      <c r="ACS233" s="9"/>
      <c r="ACT233" s="9"/>
      <c r="ACU233" s="9"/>
      <c r="ACV233" s="9"/>
      <c r="ACW233" s="9"/>
      <c r="ACX233" s="9"/>
      <c r="ACY233" s="9"/>
      <c r="ACZ233" s="9"/>
      <c r="ADA233" s="9"/>
      <c r="ADB233" s="9"/>
      <c r="ADC233" s="9"/>
      <c r="ADD233" s="9"/>
      <c r="ADE233" s="9"/>
      <c r="ADF233" s="9"/>
      <c r="ADG233" s="9"/>
      <c r="ADH233" s="9"/>
      <c r="ADI233" s="9"/>
      <c r="ADJ233" s="9"/>
      <c r="ADK233" s="9"/>
      <c r="ADL233" s="9"/>
      <c r="ADM233" s="9"/>
      <c r="ADN233" s="9"/>
      <c r="ADO233" s="9"/>
      <c r="ADP233" s="9"/>
      <c r="ADQ233" s="9"/>
      <c r="ADR233" s="9"/>
      <c r="ADS233" s="9"/>
      <c r="ADT233" s="9"/>
      <c r="ADU233" s="9"/>
      <c r="ADV233" s="9"/>
      <c r="ADW233" s="9"/>
      <c r="ADX233" s="9"/>
      <c r="ADY233" s="9"/>
      <c r="ADZ233" s="9"/>
      <c r="AEA233" s="9"/>
      <c r="AEB233" s="9"/>
      <c r="AEC233" s="9"/>
      <c r="AED233" s="9"/>
      <c r="AEE233" s="9"/>
      <c r="AEF233" s="9"/>
      <c r="AEG233" s="9"/>
      <c r="AEH233" s="9"/>
      <c r="AEI233" s="9"/>
      <c r="AEJ233" s="9"/>
      <c r="AEK233" s="9"/>
      <c r="AEL233" s="9"/>
      <c r="AEM233" s="9"/>
      <c r="AEN233" s="9"/>
      <c r="AEO233" s="9"/>
      <c r="AEP233" s="9"/>
      <c r="AEQ233" s="9"/>
      <c r="AER233" s="9"/>
      <c r="AES233" s="9"/>
      <c r="AET233" s="9"/>
      <c r="AEU233" s="9"/>
      <c r="AEV233" s="9"/>
      <c r="AEW233" s="9"/>
      <c r="AEX233" s="9"/>
      <c r="AEY233" s="9"/>
      <c r="AEZ233" s="9"/>
      <c r="AFA233" s="9"/>
      <c r="AFB233" s="9"/>
      <c r="AFC233" s="9"/>
      <c r="AFD233" s="9"/>
      <c r="AFE233" s="9"/>
      <c r="AFF233" s="9"/>
      <c r="AFG233" s="9"/>
      <c r="AFH233" s="9"/>
      <c r="AFI233" s="9"/>
      <c r="AFJ233" s="9"/>
      <c r="AFK233" s="9"/>
      <c r="AFL233" s="9"/>
      <c r="AFM233" s="9"/>
      <c r="AFN233" s="9"/>
      <c r="AFO233" s="9"/>
      <c r="AFP233" s="9"/>
      <c r="AFQ233" s="9"/>
      <c r="AFR233" s="9"/>
      <c r="AFS233" s="9"/>
      <c r="AFT233" s="9"/>
      <c r="AFU233" s="9"/>
      <c r="AFV233" s="9"/>
      <c r="AFW233" s="9"/>
      <c r="AFX233" s="9"/>
      <c r="AFY233" s="9"/>
      <c r="AFZ233" s="9"/>
      <c r="AGA233" s="9"/>
      <c r="AGB233" s="9"/>
      <c r="AGC233" s="9"/>
      <c r="AGD233" s="9"/>
      <c r="AGE233" s="9"/>
      <c r="AGF233" s="9"/>
      <c r="AGG233" s="9"/>
      <c r="AGH233" s="9"/>
      <c r="AGI233" s="9"/>
      <c r="AGJ233" s="9"/>
      <c r="AGK233" s="9"/>
      <c r="AGL233" s="9"/>
      <c r="AGM233" s="9"/>
      <c r="AGN233" s="9"/>
      <c r="AGO233" s="9"/>
      <c r="AGP233" s="9"/>
      <c r="AGQ233" s="9"/>
      <c r="AGR233" s="9"/>
      <c r="AGS233" s="9"/>
      <c r="AGT233" s="9"/>
      <c r="AGU233" s="9"/>
      <c r="AGV233" s="9"/>
      <c r="AGW233" s="9"/>
      <c r="AGX233" s="9"/>
      <c r="AGY233" s="9"/>
      <c r="AGZ233" s="9"/>
      <c r="AHA233" s="9"/>
      <c r="AHB233" s="9"/>
      <c r="AHC233" s="9"/>
      <c r="AHD233" s="9"/>
      <c r="AHE233" s="9"/>
      <c r="AHF233" s="9"/>
      <c r="AHG233" s="9"/>
      <c r="AHH233" s="9"/>
      <c r="AHI233" s="9"/>
      <c r="AHJ233" s="9"/>
      <c r="AHK233" s="9"/>
      <c r="AHL233" s="9"/>
      <c r="AHM233" s="9"/>
      <c r="AHN233" s="9"/>
      <c r="AHO233" s="9"/>
      <c r="AHP233" s="9"/>
      <c r="AHQ233" s="9"/>
      <c r="AHR233" s="9"/>
      <c r="AHS233" s="9"/>
      <c r="AHT233" s="9"/>
      <c r="AHU233" s="9"/>
      <c r="AHV233" s="9"/>
      <c r="AHW233" s="9"/>
      <c r="AHX233" s="9"/>
      <c r="AHY233" s="9"/>
      <c r="AHZ233" s="9"/>
      <c r="AIA233" s="9"/>
      <c r="AIB233" s="9"/>
      <c r="AIC233" s="9"/>
      <c r="AID233" s="9"/>
      <c r="AIE233" s="9"/>
      <c r="AIF233" s="9"/>
      <c r="AIG233" s="9"/>
      <c r="AIH233" s="9"/>
      <c r="AII233" s="9"/>
      <c r="AIJ233" s="9"/>
      <c r="AIK233" s="9"/>
      <c r="AIL233" s="9"/>
      <c r="AIM233" s="9"/>
      <c r="AIN233" s="9"/>
      <c r="AIO233" s="9"/>
      <c r="AIP233" s="9"/>
      <c r="AIQ233" s="9"/>
      <c r="AIR233" s="9"/>
      <c r="AIS233" s="9"/>
      <c r="AIT233" s="9"/>
      <c r="AIU233" s="9"/>
      <c r="AIV233" s="9"/>
      <c r="AIW233" s="9"/>
      <c r="AIX233" s="9"/>
      <c r="AIY233" s="9"/>
      <c r="AIZ233" s="9"/>
      <c r="AJA233" s="9"/>
      <c r="AJB233" s="9"/>
      <c r="AJC233" s="9"/>
      <c r="AJD233" s="9"/>
      <c r="AJE233" s="9"/>
      <c r="AJF233" s="9"/>
      <c r="AJG233" s="9"/>
      <c r="AJH233" s="9"/>
      <c r="AJI233" s="9"/>
      <c r="AJJ233" s="9"/>
      <c r="AJK233" s="9"/>
      <c r="AJL233" s="9"/>
      <c r="AJM233" s="9"/>
      <c r="AJN233" s="9"/>
      <c r="AJO233" s="9"/>
      <c r="AJP233" s="9"/>
      <c r="AJQ233" s="9"/>
      <c r="AJR233" s="9"/>
      <c r="AJS233" s="9"/>
      <c r="AJT233" s="9"/>
      <c r="AJU233" s="9"/>
      <c r="AJV233" s="9"/>
      <c r="AJW233" s="9"/>
      <c r="AJX233" s="9"/>
      <c r="AJY233" s="9"/>
      <c r="AJZ233" s="9"/>
      <c r="AKA233" s="9"/>
      <c r="AKB233" s="9"/>
      <c r="AKC233" s="9"/>
      <c r="AKD233" s="9"/>
      <c r="AKE233" s="9"/>
      <c r="AKF233" s="9"/>
      <c r="AKG233" s="9"/>
      <c r="AKH233" s="9"/>
      <c r="AKI233" s="9"/>
      <c r="AKJ233" s="9"/>
      <c r="AKK233" s="9"/>
      <c r="AKL233" s="9"/>
      <c r="AKM233" s="9"/>
      <c r="AKN233" s="9"/>
      <c r="AKO233" s="9"/>
      <c r="AKP233" s="9"/>
      <c r="AKQ233" s="9"/>
      <c r="AKR233" s="9"/>
      <c r="AKS233" s="9"/>
      <c r="AKT233" s="9"/>
      <c r="AKU233" s="9"/>
      <c r="AKV233" s="9"/>
      <c r="AKW233" s="9"/>
      <c r="AKX233" s="9"/>
      <c r="AKY233" s="9"/>
      <c r="AKZ233" s="9"/>
      <c r="ALA233" s="9"/>
      <c r="ALB233" s="9"/>
      <c r="ALC233" s="9"/>
      <c r="ALD233" s="9"/>
      <c r="ALE233" s="9"/>
      <c r="ALF233" s="9"/>
      <c r="ALG233" s="9"/>
      <c r="ALH233" s="9"/>
      <c r="ALI233" s="9"/>
      <c r="ALJ233" s="9"/>
      <c r="ALK233" s="9"/>
      <c r="ALL233" s="9"/>
      <c r="ALM233" s="9"/>
      <c r="ALN233" s="9"/>
      <c r="ALO233" s="9"/>
      <c r="ALP233" s="9"/>
      <c r="ALQ233" s="9"/>
      <c r="ALR233" s="9"/>
      <c r="ALS233" s="9"/>
      <c r="ALT233" s="9"/>
      <c r="ALU233" s="9"/>
      <c r="ALV233" s="9"/>
      <c r="ALW233" s="9"/>
      <c r="ALX233" s="9"/>
      <c r="ALY233" s="9"/>
      <c r="ALZ233" s="9"/>
      <c r="AMA233" s="9"/>
      <c r="AMB233" s="9"/>
      <c r="AMC233" s="9"/>
      <c r="AMD233" s="9"/>
      <c r="AME233" s="9"/>
      <c r="AMF233" s="9"/>
      <c r="AMG233" s="9"/>
      <c r="AMH233" s="9"/>
      <c r="AMI233" s="9"/>
      <c r="AMJ233" s="9"/>
      <c r="AMK233" s="9"/>
      <c r="AML233" s="9"/>
      <c r="AMM233" s="9"/>
      <c r="AMN233" s="9"/>
      <c r="AMO233" s="9"/>
    </row>
    <row r="234" spans="1:1029" s="12" customFormat="1" x14ac:dyDescent="0.2">
      <c r="A234" s="9" t="str">
        <f t="shared" ref="A234" si="1787">CONCATENATE(B234,"_",C234)</f>
        <v>fpr2_human_6OMM</v>
      </c>
      <c r="B234" s="9" t="s">
        <v>202</v>
      </c>
      <c r="C234" s="9" t="s">
        <v>1663</v>
      </c>
      <c r="D234" s="9" t="str">
        <f>IFERROR(MID(VLOOKUP($B234,Seqs!$A:$B,2,0),E234,1),"")</f>
        <v>G</v>
      </c>
      <c r="E234" s="9">
        <v>21</v>
      </c>
      <c r="F234" s="9" t="str">
        <f>IFERROR(MID(VLOOKUP($B234,Seqs!$A:$B,2,0),G234,1),"")</f>
        <v>M</v>
      </c>
      <c r="G234" s="9">
        <v>55</v>
      </c>
      <c r="H234" s="9" t="str">
        <f>IFERROR(MID(VLOOKUP($B234,Seqs!$A:$B,2,0),I234,1),"")</f>
        <v/>
      </c>
      <c r="I234" s="109" t="s">
        <v>23</v>
      </c>
      <c r="J234" s="9" t="str">
        <f>IFERROR(MID(VLOOKUP($B234,Seqs!$A:$B,2,0),K234,1),"")</f>
        <v/>
      </c>
      <c r="K234" s="109" t="s">
        <v>23</v>
      </c>
      <c r="L234" s="9" t="str">
        <f>IFERROR(MID(VLOOKUP($B234,Seqs!$A:$B,2,0),M234,1),"")</f>
        <v>T</v>
      </c>
      <c r="M234" s="9">
        <v>58</v>
      </c>
      <c r="N234" s="9" t="str">
        <f>IFERROR(MID(VLOOKUP($B234,Seqs!$A:$B,2,0),O234,1),"")</f>
        <v>G</v>
      </c>
      <c r="O234" s="9">
        <v>88</v>
      </c>
      <c r="P234" s="9" t="str">
        <f>IFERROR(MID(VLOOKUP($B234,Seqs!$A:$B,2,0),Q234,1),"")</f>
        <v>K</v>
      </c>
      <c r="Q234" s="9">
        <v>90</v>
      </c>
      <c r="R234" s="9" t="str">
        <f>IFERROR(MID(VLOOKUP($B234,Seqs!$A:$B,2,0),S234,1),"")</f>
        <v>F</v>
      </c>
      <c r="S234" s="9">
        <v>93</v>
      </c>
      <c r="T234" s="9" t="str">
        <f>IFERROR(MID(VLOOKUP($B234,Seqs!$A:$B,2,0),U234,1),"")</f>
        <v>G</v>
      </c>
      <c r="U234" s="9">
        <v>94</v>
      </c>
      <c r="V234" s="9" t="str">
        <f>IFERROR(MID(VLOOKUP($B234,Seqs!$A:$B,2,0),W234,1),"")</f>
        <v>H</v>
      </c>
      <c r="W234" s="9">
        <v>129</v>
      </c>
      <c r="X234" s="9" t="str">
        <f>IFERROR(MID(VLOOKUP($B234,Seqs!$A:$B,2,0),Y234,1),"")</f>
        <v>P</v>
      </c>
      <c r="Y234" s="9">
        <v>130</v>
      </c>
      <c r="Z234" s="9" t="str">
        <f>IFERROR(MID(VLOOKUP($B234,Seqs!$A:$B,2,0),AA234,1),"")</f>
        <v>R</v>
      </c>
      <c r="AA234" s="9">
        <v>137</v>
      </c>
      <c r="AB234" s="9" t="str">
        <f>IFERROR(MID(VLOOKUP($B234,Seqs!$A:$B,2,0),AC234,1),"")</f>
        <v>T</v>
      </c>
      <c r="AC234" s="9">
        <v>138</v>
      </c>
      <c r="AD234" s="9" t="str">
        <f>IFERROR(MID(VLOOKUP($B234,Seqs!$A:$B,2,0),AE234,1),"")</f>
        <v>L</v>
      </c>
      <c r="AE234" s="9">
        <v>164</v>
      </c>
      <c r="AF234" s="9" t="str">
        <f>IFERROR(MID(VLOOKUP($B234,Seqs!$A:$B,2,0),AG234,1),"")</f>
        <v>C</v>
      </c>
      <c r="AG234" s="9">
        <v>176</v>
      </c>
      <c r="AH234" s="9" t="str">
        <f>IFERROR(MID(VLOOKUP($B234,Seqs!$A:$B,2,0),AI234,1),"")</f>
        <v>F</v>
      </c>
      <c r="AI234" s="9">
        <v>178</v>
      </c>
      <c r="AJ234" s="9" t="str">
        <f>IFERROR(MID(VLOOKUP($B234,Seqs!$A:$B,2,0),AK234,1),"")</f>
        <v>T</v>
      </c>
      <c r="AK234" s="9">
        <v>186</v>
      </c>
      <c r="AL234" s="9" t="str">
        <f>IFERROR(MID(VLOOKUP($B234,Seqs!$A:$B,2,0),AM234,1),"")</f>
        <v>G</v>
      </c>
      <c r="AM234" s="9">
        <v>232</v>
      </c>
      <c r="AN234" s="9" t="str">
        <f>IFERROR(MID(VLOOKUP($B234,Seqs!$A:$B,2,0),AO234,1),"")</f>
        <v>S</v>
      </c>
      <c r="AO234" s="9">
        <v>237</v>
      </c>
      <c r="AP234" s="9" t="str">
        <f>IFERROR(MID(VLOOKUP($B234,Seqs!$A:$B,2,0),AQ234,1),"")</f>
        <v>W</v>
      </c>
      <c r="AQ234" s="9">
        <v>267</v>
      </c>
      <c r="AR234" s="9" t="str">
        <f>IFERROR(MID(VLOOKUP($B234,Seqs!$A:$B,2,0),AS234,1),"")</f>
        <v>K</v>
      </c>
      <c r="AS234" s="9">
        <v>278</v>
      </c>
      <c r="AT234" s="9" t="str">
        <f>IFERROR(MID(VLOOKUP($B234,Seqs!$A:$B,2,0),AU234,1),"")</f>
        <v>V</v>
      </c>
      <c r="AU234" s="9">
        <v>305</v>
      </c>
      <c r="AV234" s="9" t="str">
        <f>IFERROR(MID(VLOOKUP($B234,Seqs!$A:$B,2,0),AW234,1),"")</f>
        <v>G</v>
      </c>
      <c r="AW234" s="9">
        <v>306</v>
      </c>
      <c r="AX234" s="9" t="str">
        <f>IFERROR(MID(VLOOKUP($B234,Seqs!$A:$B,2,0),AY234,1),"")</f>
        <v>L</v>
      </c>
      <c r="AY234" s="9">
        <v>317</v>
      </c>
      <c r="AZ234" s="110" t="str">
        <f>VLOOKUP(B234,Classification!A:D,2,0)</f>
        <v>A</v>
      </c>
      <c r="BA234" s="98" t="str">
        <f>VLOOKUP(B234,Classification!A:D,4,0)</f>
        <v>Formylpeptide</v>
      </c>
      <c r="BB234" s="36" t="b">
        <f t="shared" ref="BB234" si="1788"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109">
        <f t="shared" ref="BC234" si="1789">_xlfn.AGGREGATE(9,6,CH234:CS234)-_xlfn.AGGREGATE(9,6,BV234:CG234)+12</f>
        <v>263</v>
      </c>
      <c r="BD234" s="126" t="s">
        <v>1375</v>
      </c>
      <c r="BE234" s="9" t="s">
        <v>1291</v>
      </c>
      <c r="BF234" s="119">
        <v>3.17</v>
      </c>
      <c r="BG234" s="51" t="s">
        <v>1</v>
      </c>
      <c r="BH234" s="51" t="s">
        <v>1</v>
      </c>
      <c r="BJ234" s="111" t="s">
        <v>1287</v>
      </c>
      <c r="BK234" s="112" t="s">
        <v>1287</v>
      </c>
      <c r="BL234" s="112" t="s">
        <v>1287</v>
      </c>
      <c r="BM234" s="112" t="s">
        <v>1287</v>
      </c>
      <c r="BN234" s="112" t="s">
        <v>1287</v>
      </c>
      <c r="BO234" s="112" t="s">
        <v>1287</v>
      </c>
      <c r="BP234" s="112" t="s">
        <v>1287</v>
      </c>
      <c r="BQ234" s="112" t="s">
        <v>1287</v>
      </c>
      <c r="BR234" s="112" t="s">
        <v>1287</v>
      </c>
      <c r="BS234" s="112" t="s">
        <v>1287</v>
      </c>
      <c r="BT234" s="112" t="s">
        <v>1287</v>
      </c>
      <c r="BU234" s="112" t="s">
        <v>1287</v>
      </c>
      <c r="BV234" s="111">
        <f t="shared" ref="BV234" si="1790">E234</f>
        <v>21</v>
      </c>
      <c r="BW234" s="113" t="str">
        <f t="shared" ref="BW234" si="1791">I234</f>
        <v>-</v>
      </c>
      <c r="BX234" s="114">
        <f t="shared" ref="BX234" si="1792">M234</f>
        <v>58</v>
      </c>
      <c r="BY234" s="113">
        <f t="shared" ref="BY234" si="1793">Q234</f>
        <v>90</v>
      </c>
      <c r="BZ234" s="114">
        <f t="shared" ref="BZ234" si="1794">U234</f>
        <v>94</v>
      </c>
      <c r="CA234" s="113">
        <f t="shared" ref="CA234" si="1795">Y234</f>
        <v>130</v>
      </c>
      <c r="CB234" s="114">
        <f t="shared" ref="CB234" si="1796">AC234</f>
        <v>138</v>
      </c>
      <c r="CC234" s="113">
        <f t="shared" ref="CC234" si="1797">AG234</f>
        <v>176</v>
      </c>
      <c r="CD234" s="114">
        <f t="shared" ref="CD234" si="1798">AK234</f>
        <v>186</v>
      </c>
      <c r="CE234" s="113">
        <f t="shared" ref="CE234" si="1799">AO234</f>
        <v>237</v>
      </c>
      <c r="CF234" s="114">
        <f t="shared" ref="CF234" si="1800">AS234</f>
        <v>278</v>
      </c>
      <c r="CG234" s="113">
        <f t="shared" ref="CG234" si="1801">AW234</f>
        <v>306</v>
      </c>
      <c r="CH234" s="111">
        <f t="shared" ref="CH234" si="1802">G234</f>
        <v>55</v>
      </c>
      <c r="CI234" s="113" t="str">
        <f t="shared" ref="CI234" si="1803">K234</f>
        <v>-</v>
      </c>
      <c r="CJ234" s="114">
        <f t="shared" ref="CJ234" si="1804">O234</f>
        <v>88</v>
      </c>
      <c r="CK234" s="114">
        <f t="shared" ref="CK234" si="1805">S234</f>
        <v>93</v>
      </c>
      <c r="CL234" s="114">
        <f t="shared" ref="CL234" si="1806">W234</f>
        <v>129</v>
      </c>
      <c r="CM234" s="114">
        <f t="shared" ref="CM234" si="1807">AA234</f>
        <v>137</v>
      </c>
      <c r="CN234" s="114">
        <f t="shared" ref="CN234" si="1808">AE234</f>
        <v>164</v>
      </c>
      <c r="CO234" s="114">
        <f t="shared" ref="CO234" si="1809">AI234</f>
        <v>178</v>
      </c>
      <c r="CP234" s="114">
        <f t="shared" ref="CP234" si="1810">AM234</f>
        <v>232</v>
      </c>
      <c r="CQ234" s="114">
        <f t="shared" ref="CQ234" si="1811">AQ234</f>
        <v>267</v>
      </c>
      <c r="CR234" s="114">
        <f t="shared" ref="CR234" si="1812">AU234</f>
        <v>305</v>
      </c>
      <c r="CS234" s="114">
        <f t="shared" ref="CS234" si="1813">AY234</f>
        <v>317</v>
      </c>
      <c r="CT234" s="109" t="e">
        <f t="shared" ref="CT234" si="1814">M234-K234</f>
        <v>#VALUE!</v>
      </c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  <c r="AMO234" s="9"/>
    </row>
    <row r="235" spans="1:1029" s="12" customFormat="1" x14ac:dyDescent="0.2">
      <c r="A235" s="9" t="str">
        <f t="shared" ref="A235" si="1815">CONCATENATE(B235,"_",C235)</f>
        <v>gpr52_human__wt</v>
      </c>
      <c r="B235" s="9" t="s">
        <v>260</v>
      </c>
      <c r="C235" s="9" t="s">
        <v>100</v>
      </c>
      <c r="D235" s="9" t="str">
        <f>IFERROR(MID(VLOOKUP($B235,Seqs!$A:$B,2,0),E235,1),"")</f>
        <v>C</v>
      </c>
      <c r="E235" s="9">
        <v>40</v>
      </c>
      <c r="F235" s="9" t="str">
        <f>IFERROR(MID(VLOOKUP($B235,Seqs!$A:$B,2,0),G235,1),"")</f>
        <v>A</v>
      </c>
      <c r="G235" s="9">
        <v>68</v>
      </c>
      <c r="H235" s="9" t="str">
        <f>IFERROR(MID(VLOOKUP($B235,Seqs!$A:$B,2,0),I235,1),"")</f>
        <v>P</v>
      </c>
      <c r="I235" s="109">
        <v>69</v>
      </c>
      <c r="J235" s="9" t="str">
        <f>IFERROR(MID(VLOOKUP($B235,Seqs!$A:$B,2,0),K235,1),"")</f>
        <v>H</v>
      </c>
      <c r="K235" s="109">
        <v>73</v>
      </c>
      <c r="L235" s="9" t="str">
        <f>IFERROR(MID(VLOOKUP($B235,Seqs!$A:$B,2,0),M235,1),"")</f>
        <v>Y</v>
      </c>
      <c r="M235" s="9">
        <v>74</v>
      </c>
      <c r="N235" s="9" t="str">
        <f>IFERROR(MID(VLOOKUP($B235,Seqs!$A:$B,2,0),O235,1),"")</f>
        <v>Y</v>
      </c>
      <c r="O235" s="9">
        <v>104</v>
      </c>
      <c r="P235" s="9" t="str">
        <f>IFERROR(MID(VLOOKUP($B235,Seqs!$A:$B,2,0),Q235,1),"")</f>
        <v/>
      </c>
      <c r="Q235" s="9" t="s">
        <v>23</v>
      </c>
      <c r="R235" s="9" t="str">
        <f>IFERROR(MID(VLOOKUP($B235,Seqs!$A:$B,2,0),S235,1),"")</f>
        <v/>
      </c>
      <c r="S235" s="9" t="s">
        <v>23</v>
      </c>
      <c r="T235" s="9" t="str">
        <f>IFERROR(MID(VLOOKUP($B235,Seqs!$A:$B,2,0),U235,1),"")</f>
        <v>E</v>
      </c>
      <c r="U235" s="9">
        <v>110</v>
      </c>
      <c r="V235" s="9" t="str">
        <f>IFERROR(MID(VLOOKUP($B235,Seqs!$A:$B,2,0),W235,1),"")</f>
        <v>K</v>
      </c>
      <c r="W235" s="9">
        <v>145</v>
      </c>
      <c r="X235" s="9" t="str">
        <f>IFERROR(MID(VLOOKUP($B235,Seqs!$A:$B,2,0),Y235,1),"")</f>
        <v>P</v>
      </c>
      <c r="Y235" s="9">
        <v>146</v>
      </c>
      <c r="Z235" s="9" t="str">
        <f>IFERROR(MID(VLOOKUP($B235,Seqs!$A:$B,2,0),AA235,1),"")</f>
        <v>V</v>
      </c>
      <c r="AA235" s="9">
        <v>153</v>
      </c>
      <c r="AB235" s="9" t="str">
        <f>IFERROR(MID(VLOOKUP($B235,Seqs!$A:$B,2,0),AC235,1),"")</f>
        <v>T</v>
      </c>
      <c r="AC235" s="9">
        <v>154</v>
      </c>
      <c r="AD235" s="9" t="str">
        <f>IFERROR(MID(VLOOKUP($B235,Seqs!$A:$B,2,0),AE235,1),"")</f>
        <v>F</v>
      </c>
      <c r="AE235" s="9">
        <v>178</v>
      </c>
      <c r="AF235" s="9" t="str">
        <f>IFERROR(MID(VLOOKUP($B235,Seqs!$A:$B,2,0),AG235,1),"")</f>
        <v>C</v>
      </c>
      <c r="AG235" s="9">
        <v>193</v>
      </c>
      <c r="AH235" s="9" t="str">
        <f>IFERROR(MID(VLOOKUP($B235,Seqs!$A:$B,2,0),AI235,1),"")</f>
        <v>T</v>
      </c>
      <c r="AI235" s="9">
        <v>195</v>
      </c>
      <c r="AJ235" s="9" t="str">
        <f>IFERROR(MID(VLOOKUP($B235,Seqs!$A:$B,2,0),AK235,1),"")</f>
        <v>S</v>
      </c>
      <c r="AK235" s="9">
        <v>200</v>
      </c>
      <c r="AL235" s="9" t="str">
        <f>IFERROR(MID(VLOOKUP($B235,Seqs!$A:$B,2,0),AM235,1),"")</f>
        <v>N</v>
      </c>
      <c r="AM235" s="9">
        <v>238</v>
      </c>
      <c r="AN235" s="9" t="str">
        <f>IFERROR(MID(VLOOKUP($B235,Seqs!$A:$B,2,0),AO235,1),"")</f>
        <v>S</v>
      </c>
      <c r="AO235" s="9">
        <v>251</v>
      </c>
      <c r="AP235" s="9" t="str">
        <f>IFERROR(MID(VLOOKUP($B235,Seqs!$A:$B,2,0),AQ235,1),"")</f>
        <v>R</v>
      </c>
      <c r="AQ235" s="9">
        <v>291</v>
      </c>
      <c r="AR235" s="9" t="str">
        <f>IFERROR(MID(VLOOKUP($B235,Seqs!$A:$B,2,0),AS235,1),"")</f>
        <v>N</v>
      </c>
      <c r="AS235" s="9">
        <v>295</v>
      </c>
      <c r="AT235" s="9" t="str">
        <f>IFERROR(MID(VLOOKUP($B235,Seqs!$A:$B,2,0),AU235,1),"")</f>
        <v>S</v>
      </c>
      <c r="AU235" s="9">
        <v>320</v>
      </c>
      <c r="AV235" s="9" t="str">
        <f>IFERROR(MID(VLOOKUP($B235,Seqs!$A:$B,2,0),AW235,1),"")</f>
        <v>N</v>
      </c>
      <c r="AW235" s="9">
        <v>321</v>
      </c>
      <c r="AX235" s="9" t="str">
        <f>IFERROR(MID(VLOOKUP($B235,Seqs!$A:$B,2,0),AY235,1),"")</f>
        <v>C</v>
      </c>
      <c r="AY235" s="9">
        <v>341</v>
      </c>
      <c r="AZ235" s="110" t="str">
        <f>VLOOKUP(B235,Classification!A:D,2,0)</f>
        <v>A</v>
      </c>
      <c r="BA235" s="98" t="str">
        <f>VLOOKUP(B235,Classification!A:D,4,0)</f>
        <v>ClassAorphans</v>
      </c>
      <c r="BB235" s="36" t="b">
        <f t="shared" ref="BB235" si="1816"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109">
        <f t="shared" ref="BC235" si="1817">_xlfn.AGGREGATE(9,6,CH235:CS235)-_xlfn.AGGREGATE(9,6,BV235:CG235)+12</f>
        <v>265</v>
      </c>
      <c r="BD235" s="126" t="s">
        <v>23</v>
      </c>
      <c r="BE235" s="9" t="s">
        <v>23</v>
      </c>
      <c r="BF235" s="119" t="s">
        <v>23</v>
      </c>
      <c r="BG235" s="51"/>
      <c r="BH235" s="51"/>
      <c r="BJ235" s="111" t="s">
        <v>1287</v>
      </c>
      <c r="BK235" s="112" t="s">
        <v>1287</v>
      </c>
      <c r="BL235" s="112" t="s">
        <v>1287</v>
      </c>
      <c r="BM235" s="112" t="s">
        <v>1287</v>
      </c>
      <c r="BN235" s="112" t="s">
        <v>1287</v>
      </c>
      <c r="BO235" s="112" t="s">
        <v>1287</v>
      </c>
      <c r="BP235" s="112" t="s">
        <v>1287</v>
      </c>
      <c r="BQ235" s="112" t="s">
        <v>1287</v>
      </c>
      <c r="BR235" s="112" t="s">
        <v>1287</v>
      </c>
      <c r="BS235" s="112" t="s">
        <v>1287</v>
      </c>
      <c r="BT235" s="112" t="s">
        <v>1287</v>
      </c>
      <c r="BU235" s="112" t="s">
        <v>1287</v>
      </c>
      <c r="BV235" s="111">
        <f t="shared" ref="BV235" si="1818">E235</f>
        <v>40</v>
      </c>
      <c r="BW235" s="113">
        <f t="shared" ref="BW235" si="1819">I235</f>
        <v>69</v>
      </c>
      <c r="BX235" s="114">
        <f t="shared" ref="BX235" si="1820">M235</f>
        <v>74</v>
      </c>
      <c r="BY235" s="113" t="str">
        <f t="shared" ref="BY235" si="1821">Q235</f>
        <v>-</v>
      </c>
      <c r="BZ235" s="114">
        <f t="shared" ref="BZ235" si="1822">U235</f>
        <v>110</v>
      </c>
      <c r="CA235" s="113">
        <f t="shared" ref="CA235" si="1823">Y235</f>
        <v>146</v>
      </c>
      <c r="CB235" s="114">
        <f t="shared" ref="CB235" si="1824">AC235</f>
        <v>154</v>
      </c>
      <c r="CC235" s="113">
        <f t="shared" ref="CC235" si="1825">AG235</f>
        <v>193</v>
      </c>
      <c r="CD235" s="114">
        <f t="shared" ref="CD235" si="1826">AK235</f>
        <v>200</v>
      </c>
      <c r="CE235" s="113">
        <f t="shared" ref="CE235" si="1827">AO235</f>
        <v>251</v>
      </c>
      <c r="CF235" s="114">
        <f t="shared" ref="CF235" si="1828">AS235</f>
        <v>295</v>
      </c>
      <c r="CG235" s="113">
        <f t="shared" ref="CG235" si="1829">AW235</f>
        <v>321</v>
      </c>
      <c r="CH235" s="111">
        <f t="shared" ref="CH235" si="1830">G235</f>
        <v>68</v>
      </c>
      <c r="CI235" s="113">
        <f t="shared" ref="CI235" si="1831">K235</f>
        <v>73</v>
      </c>
      <c r="CJ235" s="114">
        <f t="shared" ref="CJ235" si="1832">O235</f>
        <v>104</v>
      </c>
      <c r="CK235" s="114" t="str">
        <f t="shared" ref="CK235" si="1833">S235</f>
        <v>-</v>
      </c>
      <c r="CL235" s="114">
        <f t="shared" ref="CL235" si="1834">W235</f>
        <v>145</v>
      </c>
      <c r="CM235" s="114">
        <f t="shared" ref="CM235" si="1835">AA235</f>
        <v>153</v>
      </c>
      <c r="CN235" s="114">
        <f t="shared" ref="CN235" si="1836">AE235</f>
        <v>178</v>
      </c>
      <c r="CO235" s="114">
        <f t="shared" ref="CO235" si="1837">AI235</f>
        <v>195</v>
      </c>
      <c r="CP235" s="114">
        <f t="shared" ref="CP235" si="1838">AM235</f>
        <v>238</v>
      </c>
      <c r="CQ235" s="114">
        <f t="shared" ref="CQ235" si="1839">AQ235</f>
        <v>291</v>
      </c>
      <c r="CR235" s="114">
        <f t="shared" ref="CR235" si="1840">AU235</f>
        <v>320</v>
      </c>
      <c r="CS235" s="114">
        <f t="shared" ref="CS235" si="1841">AY235</f>
        <v>341</v>
      </c>
      <c r="CT235" s="109">
        <f t="shared" ref="CT235" si="1842">M235-K235</f>
        <v>1</v>
      </c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  <c r="AMO235" s="9"/>
    </row>
    <row r="236" spans="1:1029" s="12" customFormat="1" x14ac:dyDescent="0.2">
      <c r="A236" s="9" t="str">
        <f t="shared" ref="A236" si="1843">CONCATENATE(B236,"_",C236)</f>
        <v>gpr52_human_6LI0</v>
      </c>
      <c r="B236" s="9" t="s">
        <v>260</v>
      </c>
      <c r="C236" s="9" t="s">
        <v>1667</v>
      </c>
      <c r="D236" s="9" t="str">
        <f>IFERROR(MID(VLOOKUP($B236,Seqs!$A:$B,2,0),E236,1),"")</f>
        <v>C</v>
      </c>
      <c r="E236" s="9">
        <v>40</v>
      </c>
      <c r="F236" s="9" t="str">
        <f>IFERROR(MID(VLOOKUP($B236,Seqs!$A:$B,2,0),G236,1),"")</f>
        <v>C</v>
      </c>
      <c r="G236" s="9">
        <v>67</v>
      </c>
      <c r="H236" s="9" t="str">
        <f>IFERROR(MID(VLOOKUP($B236,Seqs!$A:$B,2,0),I236,1),"")</f>
        <v/>
      </c>
      <c r="I236" s="109" t="s">
        <v>23</v>
      </c>
      <c r="J236" s="9" t="str">
        <f>IFERROR(MID(VLOOKUP($B236,Seqs!$A:$B,2,0),K236,1),"")</f>
        <v/>
      </c>
      <c r="K236" s="109" t="s">
        <v>23</v>
      </c>
      <c r="L236" s="9" t="str">
        <f>IFERROR(MID(VLOOKUP($B236,Seqs!$A:$B,2,0),M236,1),"")</f>
        <v>H</v>
      </c>
      <c r="M236" s="9">
        <v>73</v>
      </c>
      <c r="N236" s="9" t="str">
        <f>IFERROR(MID(VLOOKUP($B236,Seqs!$A:$B,2,0),O236,1),"")</f>
        <v>Y</v>
      </c>
      <c r="O236" s="9">
        <v>104</v>
      </c>
      <c r="P236" s="9" t="str">
        <f>IFERROR(MID(VLOOKUP($B236,Seqs!$A:$B,2,0),Q236,1),"")</f>
        <v/>
      </c>
      <c r="Q236" s="9" t="s">
        <v>23</v>
      </c>
      <c r="R236" s="9" t="str">
        <f>IFERROR(MID(VLOOKUP($B236,Seqs!$A:$B,2,0),S236,1),"")</f>
        <v/>
      </c>
      <c r="S236" s="9" t="s">
        <v>23</v>
      </c>
      <c r="T236" s="9" t="str">
        <f>IFERROR(MID(VLOOKUP($B236,Seqs!$A:$B,2,0),U236,1),"")</f>
        <v>E</v>
      </c>
      <c r="U236" s="9">
        <v>110</v>
      </c>
      <c r="V236" s="9" t="str">
        <f>IFERROR(MID(VLOOKUP($B236,Seqs!$A:$B,2,0),W236,1),"")</f>
        <v>K</v>
      </c>
      <c r="W236" s="9">
        <v>145</v>
      </c>
      <c r="X236" s="9" t="str">
        <f>IFERROR(MID(VLOOKUP($B236,Seqs!$A:$B,2,0),Y236,1),"")</f>
        <v>P</v>
      </c>
      <c r="Y236" s="9">
        <v>146</v>
      </c>
      <c r="Z236" s="9" t="str">
        <f>IFERROR(MID(VLOOKUP($B236,Seqs!$A:$B,2,0),AA236,1),"")</f>
        <v>V</v>
      </c>
      <c r="AA236" s="9">
        <v>153</v>
      </c>
      <c r="AB236" s="9" t="str">
        <f>IFERROR(MID(VLOOKUP($B236,Seqs!$A:$B,2,0),AC236,1),"")</f>
        <v>T</v>
      </c>
      <c r="AC236" s="9">
        <v>154</v>
      </c>
      <c r="AD236" s="9" t="str">
        <f>IFERROR(MID(VLOOKUP($B236,Seqs!$A:$B,2,0),AE236,1),"")</f>
        <v>F</v>
      </c>
      <c r="AE236" s="9">
        <v>178</v>
      </c>
      <c r="AF236" s="9" t="str">
        <f>IFERROR(MID(VLOOKUP($B236,Seqs!$A:$B,2,0),AG236,1),"")</f>
        <v>C</v>
      </c>
      <c r="AG236" s="9">
        <v>193</v>
      </c>
      <c r="AH236" s="9" t="str">
        <f>IFERROR(MID(VLOOKUP($B236,Seqs!$A:$B,2,0),AI236,1),"")</f>
        <v>T</v>
      </c>
      <c r="AI236" s="9">
        <v>195</v>
      </c>
      <c r="AJ236" s="9" t="str">
        <f>IFERROR(MID(VLOOKUP($B236,Seqs!$A:$B,2,0),AK236,1),"")</f>
        <v>S</v>
      </c>
      <c r="AK236" s="9">
        <v>200</v>
      </c>
      <c r="AL236" s="9" t="str">
        <f>IFERROR(MID(VLOOKUP($B236,Seqs!$A:$B,2,0),AM236,1),"")</f>
        <v>I</v>
      </c>
      <c r="AM236" s="9">
        <v>229</v>
      </c>
      <c r="AN236" s="9" t="str">
        <f>IFERROR(MID(VLOOKUP($B236,Seqs!$A:$B,2,0),AO236,1),"")</f>
        <v>R</v>
      </c>
      <c r="AO236" s="9">
        <v>261</v>
      </c>
      <c r="AP236" s="9" t="str">
        <f>IFERROR(MID(VLOOKUP($B236,Seqs!$A:$B,2,0),AQ236,1),"")</f>
        <v>R</v>
      </c>
      <c r="AQ236" s="9">
        <v>291</v>
      </c>
      <c r="AR236" s="9" t="str">
        <f>IFERROR(MID(VLOOKUP($B236,Seqs!$A:$B,2,0),AS236,1),"")</f>
        <v>N</v>
      </c>
      <c r="AS236" s="9">
        <v>295</v>
      </c>
      <c r="AT236" s="9" t="str">
        <f>IFERROR(MID(VLOOKUP($B236,Seqs!$A:$B,2,0),AU236,1),"")</f>
        <v>S</v>
      </c>
      <c r="AU236" s="9">
        <v>320</v>
      </c>
      <c r="AV236" s="9" t="str">
        <f>IFERROR(MID(VLOOKUP($B236,Seqs!$A:$B,2,0),AW236,1),"")</f>
        <v>N</v>
      </c>
      <c r="AW236" s="9">
        <v>321</v>
      </c>
      <c r="AX236" s="9" t="str">
        <f>IFERROR(MID(VLOOKUP($B236,Seqs!$A:$B,2,0),AY236,1),"")</f>
        <v>M</v>
      </c>
      <c r="AY236" s="9">
        <v>335</v>
      </c>
      <c r="AZ236" s="110" t="str">
        <f>VLOOKUP(B236,Classification!A:D,2,0)</f>
        <v>A</v>
      </c>
      <c r="BA236" s="98" t="str">
        <f>VLOOKUP(B236,Classification!A:D,4,0)</f>
        <v>ClassAorphans</v>
      </c>
      <c r="BB236" s="36" t="b">
        <f t="shared" ref="BB236" si="1844"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109">
        <f t="shared" ref="BC236" si="1845">_xlfn.AGGREGATE(9,6,CH236:CS236)-_xlfn.AGGREGATE(9,6,BV236:CG236)+12</f>
        <v>236</v>
      </c>
      <c r="BD236" s="126" t="s">
        <v>23</v>
      </c>
      <c r="BE236" s="9" t="s">
        <v>1374</v>
      </c>
      <c r="BF236" s="119">
        <v>2.2000000000000002</v>
      </c>
      <c r="BG236" s="51" t="s">
        <v>1</v>
      </c>
      <c r="BH236" s="51" t="s">
        <v>1</v>
      </c>
      <c r="BJ236" s="111" t="s">
        <v>1287</v>
      </c>
      <c r="BK236" s="112" t="s">
        <v>1287</v>
      </c>
      <c r="BL236" s="112" t="s">
        <v>1287</v>
      </c>
      <c r="BM236" s="112" t="s">
        <v>1287</v>
      </c>
      <c r="BN236" s="112" t="s">
        <v>1287</v>
      </c>
      <c r="BO236" s="112" t="s">
        <v>1287</v>
      </c>
      <c r="BP236" s="112" t="s">
        <v>1287</v>
      </c>
      <c r="BQ236" s="112" t="s">
        <v>1287</v>
      </c>
      <c r="BR236" s="112" t="s">
        <v>1287</v>
      </c>
      <c r="BS236" s="112" t="s">
        <v>1287</v>
      </c>
      <c r="BT236" s="112" t="s">
        <v>1287</v>
      </c>
      <c r="BU236" s="112" t="s">
        <v>1287</v>
      </c>
      <c r="BV236" s="111">
        <f t="shared" ref="BV236" si="1846">E236</f>
        <v>40</v>
      </c>
      <c r="BW236" s="113" t="str">
        <f t="shared" ref="BW236" si="1847">I236</f>
        <v>-</v>
      </c>
      <c r="BX236" s="114">
        <f t="shared" ref="BX236" si="1848">M236</f>
        <v>73</v>
      </c>
      <c r="BY236" s="113" t="str">
        <f t="shared" ref="BY236" si="1849">Q236</f>
        <v>-</v>
      </c>
      <c r="BZ236" s="114">
        <f t="shared" ref="BZ236" si="1850">U236</f>
        <v>110</v>
      </c>
      <c r="CA236" s="113">
        <f t="shared" ref="CA236" si="1851">Y236</f>
        <v>146</v>
      </c>
      <c r="CB236" s="114">
        <f t="shared" ref="CB236" si="1852">AC236</f>
        <v>154</v>
      </c>
      <c r="CC236" s="113">
        <f t="shared" ref="CC236" si="1853">AG236</f>
        <v>193</v>
      </c>
      <c r="CD236" s="114">
        <f t="shared" ref="CD236" si="1854">AK236</f>
        <v>200</v>
      </c>
      <c r="CE236" s="113">
        <f t="shared" ref="CE236" si="1855">AO236</f>
        <v>261</v>
      </c>
      <c r="CF236" s="114">
        <f t="shared" ref="CF236" si="1856">AS236</f>
        <v>295</v>
      </c>
      <c r="CG236" s="113">
        <f t="shared" ref="CG236" si="1857">AW236</f>
        <v>321</v>
      </c>
      <c r="CH236" s="111">
        <f t="shared" ref="CH236" si="1858">G236</f>
        <v>67</v>
      </c>
      <c r="CI236" s="113" t="str">
        <f t="shared" ref="CI236" si="1859">K236</f>
        <v>-</v>
      </c>
      <c r="CJ236" s="114">
        <f t="shared" ref="CJ236" si="1860">O236</f>
        <v>104</v>
      </c>
      <c r="CK236" s="114" t="str">
        <f t="shared" ref="CK236" si="1861">S236</f>
        <v>-</v>
      </c>
      <c r="CL236" s="114">
        <f t="shared" ref="CL236" si="1862">W236</f>
        <v>145</v>
      </c>
      <c r="CM236" s="114">
        <f t="shared" ref="CM236" si="1863">AA236</f>
        <v>153</v>
      </c>
      <c r="CN236" s="114">
        <f t="shared" ref="CN236" si="1864">AE236</f>
        <v>178</v>
      </c>
      <c r="CO236" s="114">
        <f t="shared" ref="CO236" si="1865">AI236</f>
        <v>195</v>
      </c>
      <c r="CP236" s="114">
        <f t="shared" ref="CP236" si="1866">AM236</f>
        <v>229</v>
      </c>
      <c r="CQ236" s="114">
        <f t="shared" ref="CQ236" si="1867">AQ236</f>
        <v>291</v>
      </c>
      <c r="CR236" s="114">
        <f t="shared" ref="CR236" si="1868">AU236</f>
        <v>320</v>
      </c>
      <c r="CS236" s="114">
        <f t="shared" ref="CS236" si="1869">AY236</f>
        <v>335</v>
      </c>
      <c r="CT236" s="109" t="e">
        <f t="shared" ref="CT236" si="1870">M236-K236</f>
        <v>#VALUE!</v>
      </c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  <c r="TB236" s="9"/>
      <c r="TC236" s="9"/>
      <c r="TD236" s="9"/>
      <c r="TE236" s="9"/>
      <c r="TF236" s="9"/>
      <c r="TG236" s="9"/>
      <c r="TH236" s="9"/>
      <c r="TI236" s="9"/>
      <c r="TJ236" s="9"/>
      <c r="TK236" s="9"/>
      <c r="TL236" s="9"/>
      <c r="TM236" s="9"/>
      <c r="TN236" s="9"/>
      <c r="TO236" s="9"/>
      <c r="TP236" s="9"/>
      <c r="TQ236" s="9"/>
      <c r="TR236" s="9"/>
      <c r="TS236" s="9"/>
      <c r="TT236" s="9"/>
      <c r="TU236" s="9"/>
      <c r="TV236" s="9"/>
      <c r="TW236" s="9"/>
      <c r="TX236" s="9"/>
      <c r="TY236" s="9"/>
      <c r="TZ236" s="9"/>
      <c r="UA236" s="9"/>
      <c r="UB236" s="9"/>
      <c r="UC236" s="9"/>
      <c r="UD236" s="9"/>
      <c r="UE236" s="9"/>
      <c r="UF236" s="9"/>
      <c r="UG236" s="9"/>
      <c r="UH236" s="9"/>
      <c r="UI236" s="9"/>
      <c r="UJ236" s="9"/>
      <c r="UK236" s="9"/>
      <c r="UL236" s="9"/>
      <c r="UM236" s="9"/>
      <c r="UN236" s="9"/>
      <c r="UO236" s="9"/>
      <c r="UP236" s="9"/>
      <c r="UQ236" s="9"/>
      <c r="UR236" s="9"/>
      <c r="US236" s="9"/>
      <c r="UT236" s="9"/>
      <c r="UU236" s="9"/>
      <c r="UV236" s="9"/>
      <c r="UW236" s="9"/>
      <c r="UX236" s="9"/>
      <c r="UY236" s="9"/>
      <c r="UZ236" s="9"/>
      <c r="VA236" s="9"/>
      <c r="VB236" s="9"/>
      <c r="VC236" s="9"/>
      <c r="VD236" s="9"/>
      <c r="VE236" s="9"/>
      <c r="VF236" s="9"/>
      <c r="VG236" s="9"/>
      <c r="VH236" s="9"/>
      <c r="VI236" s="9"/>
      <c r="VJ236" s="9"/>
      <c r="VK236" s="9"/>
      <c r="VL236" s="9"/>
      <c r="VM236" s="9"/>
      <c r="VN236" s="9"/>
      <c r="VO236" s="9"/>
      <c r="VP236" s="9"/>
      <c r="VQ236" s="9"/>
      <c r="VR236" s="9"/>
      <c r="VS236" s="9"/>
      <c r="VT236" s="9"/>
      <c r="VU236" s="9"/>
      <c r="VV236" s="9"/>
      <c r="VW236" s="9"/>
      <c r="VX236" s="9"/>
      <c r="VY236" s="9"/>
      <c r="VZ236" s="9"/>
      <c r="WA236" s="9"/>
      <c r="WB236" s="9"/>
      <c r="WC236" s="9"/>
      <c r="WD236" s="9"/>
      <c r="WE236" s="9"/>
      <c r="WF236" s="9"/>
      <c r="WG236" s="9"/>
      <c r="WH236" s="9"/>
      <c r="WI236" s="9"/>
      <c r="WJ236" s="9"/>
      <c r="WK236" s="9"/>
      <c r="WL236" s="9"/>
      <c r="WM236" s="9"/>
      <c r="WN236" s="9"/>
      <c r="WO236" s="9"/>
      <c r="WP236" s="9"/>
      <c r="WQ236" s="9"/>
      <c r="WR236" s="9"/>
      <c r="WS236" s="9"/>
      <c r="WT236" s="9"/>
      <c r="WU236" s="9"/>
      <c r="WV236" s="9"/>
      <c r="WW236" s="9"/>
      <c r="WX236" s="9"/>
      <c r="WY236" s="9"/>
      <c r="WZ236" s="9"/>
      <c r="XA236" s="9"/>
      <c r="XB236" s="9"/>
      <c r="XC236" s="9"/>
      <c r="XD236" s="9"/>
      <c r="XE236" s="9"/>
      <c r="XF236" s="9"/>
      <c r="XG236" s="9"/>
      <c r="XH236" s="9"/>
      <c r="XI236" s="9"/>
      <c r="XJ236" s="9"/>
      <c r="XK236" s="9"/>
      <c r="XL236" s="9"/>
      <c r="XM236" s="9"/>
      <c r="XN236" s="9"/>
      <c r="XO236" s="9"/>
      <c r="XP236" s="9"/>
      <c r="XQ236" s="9"/>
      <c r="XR236" s="9"/>
      <c r="XS236" s="9"/>
      <c r="XT236" s="9"/>
      <c r="XU236" s="9"/>
      <c r="XV236" s="9"/>
      <c r="XW236" s="9"/>
      <c r="XX236" s="9"/>
      <c r="XY236" s="9"/>
      <c r="XZ236" s="9"/>
      <c r="YA236" s="9"/>
      <c r="YB236" s="9"/>
      <c r="YC236" s="9"/>
      <c r="YD236" s="9"/>
      <c r="YE236" s="9"/>
      <c r="YF236" s="9"/>
      <c r="YG236" s="9"/>
      <c r="YH236" s="9"/>
      <c r="YI236" s="9"/>
      <c r="YJ236" s="9"/>
      <c r="YK236" s="9"/>
      <c r="YL236" s="9"/>
      <c r="YM236" s="9"/>
      <c r="YN236" s="9"/>
      <c r="YO236" s="9"/>
      <c r="YP236" s="9"/>
      <c r="YQ236" s="9"/>
      <c r="YR236" s="9"/>
      <c r="YS236" s="9"/>
      <c r="YT236" s="9"/>
      <c r="YU236" s="9"/>
      <c r="YV236" s="9"/>
      <c r="YW236" s="9"/>
      <c r="YX236" s="9"/>
      <c r="YY236" s="9"/>
      <c r="YZ236" s="9"/>
      <c r="ZA236" s="9"/>
      <c r="ZB236" s="9"/>
      <c r="ZC236" s="9"/>
      <c r="ZD236" s="9"/>
      <c r="ZE236" s="9"/>
      <c r="ZF236" s="9"/>
      <c r="ZG236" s="9"/>
      <c r="ZH236" s="9"/>
      <c r="ZI236" s="9"/>
      <c r="ZJ236" s="9"/>
      <c r="ZK236" s="9"/>
      <c r="ZL236" s="9"/>
      <c r="ZM236" s="9"/>
      <c r="ZN236" s="9"/>
      <c r="ZO236" s="9"/>
      <c r="ZP236" s="9"/>
      <c r="ZQ236" s="9"/>
      <c r="ZR236" s="9"/>
      <c r="ZS236" s="9"/>
      <c r="ZT236" s="9"/>
      <c r="ZU236" s="9"/>
      <c r="ZV236" s="9"/>
      <c r="ZW236" s="9"/>
      <c r="ZX236" s="9"/>
      <c r="ZY236" s="9"/>
      <c r="ZZ236" s="9"/>
      <c r="AAA236" s="9"/>
      <c r="AAB236" s="9"/>
      <c r="AAC236" s="9"/>
      <c r="AAD236" s="9"/>
      <c r="AAE236" s="9"/>
      <c r="AAF236" s="9"/>
      <c r="AAG236" s="9"/>
      <c r="AAH236" s="9"/>
      <c r="AAI236" s="9"/>
      <c r="AAJ236" s="9"/>
      <c r="AAK236" s="9"/>
      <c r="AAL236" s="9"/>
      <c r="AAM236" s="9"/>
      <c r="AAN236" s="9"/>
      <c r="AAO236" s="9"/>
      <c r="AAP236" s="9"/>
      <c r="AAQ236" s="9"/>
      <c r="AAR236" s="9"/>
      <c r="AAS236" s="9"/>
      <c r="AAT236" s="9"/>
      <c r="AAU236" s="9"/>
      <c r="AAV236" s="9"/>
      <c r="AAW236" s="9"/>
      <c r="AAX236" s="9"/>
      <c r="AAY236" s="9"/>
      <c r="AAZ236" s="9"/>
      <c r="ABA236" s="9"/>
      <c r="ABB236" s="9"/>
      <c r="ABC236" s="9"/>
      <c r="ABD236" s="9"/>
      <c r="ABE236" s="9"/>
      <c r="ABF236" s="9"/>
      <c r="ABG236" s="9"/>
      <c r="ABH236" s="9"/>
      <c r="ABI236" s="9"/>
      <c r="ABJ236" s="9"/>
      <c r="ABK236" s="9"/>
      <c r="ABL236" s="9"/>
      <c r="ABM236" s="9"/>
      <c r="ABN236" s="9"/>
      <c r="ABO236" s="9"/>
      <c r="ABP236" s="9"/>
      <c r="ABQ236" s="9"/>
      <c r="ABR236" s="9"/>
      <c r="ABS236" s="9"/>
      <c r="ABT236" s="9"/>
      <c r="ABU236" s="9"/>
      <c r="ABV236" s="9"/>
      <c r="ABW236" s="9"/>
      <c r="ABX236" s="9"/>
      <c r="ABY236" s="9"/>
      <c r="ABZ236" s="9"/>
      <c r="ACA236" s="9"/>
      <c r="ACB236" s="9"/>
      <c r="ACC236" s="9"/>
      <c r="ACD236" s="9"/>
      <c r="ACE236" s="9"/>
      <c r="ACF236" s="9"/>
      <c r="ACG236" s="9"/>
      <c r="ACH236" s="9"/>
      <c r="ACI236" s="9"/>
      <c r="ACJ236" s="9"/>
      <c r="ACK236" s="9"/>
      <c r="ACL236" s="9"/>
      <c r="ACM236" s="9"/>
      <c r="ACN236" s="9"/>
      <c r="ACO236" s="9"/>
      <c r="ACP236" s="9"/>
      <c r="ACQ236" s="9"/>
      <c r="ACR236" s="9"/>
      <c r="ACS236" s="9"/>
      <c r="ACT236" s="9"/>
      <c r="ACU236" s="9"/>
      <c r="ACV236" s="9"/>
      <c r="ACW236" s="9"/>
      <c r="ACX236" s="9"/>
      <c r="ACY236" s="9"/>
      <c r="ACZ236" s="9"/>
      <c r="ADA236" s="9"/>
      <c r="ADB236" s="9"/>
      <c r="ADC236" s="9"/>
      <c r="ADD236" s="9"/>
      <c r="ADE236" s="9"/>
      <c r="ADF236" s="9"/>
      <c r="ADG236" s="9"/>
      <c r="ADH236" s="9"/>
      <c r="ADI236" s="9"/>
      <c r="ADJ236" s="9"/>
      <c r="ADK236" s="9"/>
      <c r="ADL236" s="9"/>
      <c r="ADM236" s="9"/>
      <c r="ADN236" s="9"/>
      <c r="ADO236" s="9"/>
      <c r="ADP236" s="9"/>
      <c r="ADQ236" s="9"/>
      <c r="ADR236" s="9"/>
      <c r="ADS236" s="9"/>
      <c r="ADT236" s="9"/>
      <c r="ADU236" s="9"/>
      <c r="ADV236" s="9"/>
      <c r="ADW236" s="9"/>
      <c r="ADX236" s="9"/>
      <c r="ADY236" s="9"/>
      <c r="ADZ236" s="9"/>
      <c r="AEA236" s="9"/>
      <c r="AEB236" s="9"/>
      <c r="AEC236" s="9"/>
      <c r="AED236" s="9"/>
      <c r="AEE236" s="9"/>
      <c r="AEF236" s="9"/>
      <c r="AEG236" s="9"/>
      <c r="AEH236" s="9"/>
      <c r="AEI236" s="9"/>
      <c r="AEJ236" s="9"/>
      <c r="AEK236" s="9"/>
      <c r="AEL236" s="9"/>
      <c r="AEM236" s="9"/>
      <c r="AEN236" s="9"/>
      <c r="AEO236" s="9"/>
      <c r="AEP236" s="9"/>
      <c r="AEQ236" s="9"/>
      <c r="AER236" s="9"/>
      <c r="AES236" s="9"/>
      <c r="AET236" s="9"/>
      <c r="AEU236" s="9"/>
      <c r="AEV236" s="9"/>
      <c r="AEW236" s="9"/>
      <c r="AEX236" s="9"/>
      <c r="AEY236" s="9"/>
      <c r="AEZ236" s="9"/>
      <c r="AFA236" s="9"/>
      <c r="AFB236" s="9"/>
      <c r="AFC236" s="9"/>
      <c r="AFD236" s="9"/>
      <c r="AFE236" s="9"/>
      <c r="AFF236" s="9"/>
      <c r="AFG236" s="9"/>
      <c r="AFH236" s="9"/>
      <c r="AFI236" s="9"/>
      <c r="AFJ236" s="9"/>
      <c r="AFK236" s="9"/>
      <c r="AFL236" s="9"/>
      <c r="AFM236" s="9"/>
      <c r="AFN236" s="9"/>
      <c r="AFO236" s="9"/>
      <c r="AFP236" s="9"/>
      <c r="AFQ236" s="9"/>
      <c r="AFR236" s="9"/>
      <c r="AFS236" s="9"/>
      <c r="AFT236" s="9"/>
      <c r="AFU236" s="9"/>
      <c r="AFV236" s="9"/>
      <c r="AFW236" s="9"/>
      <c r="AFX236" s="9"/>
      <c r="AFY236" s="9"/>
      <c r="AFZ236" s="9"/>
      <c r="AGA236" s="9"/>
      <c r="AGB236" s="9"/>
      <c r="AGC236" s="9"/>
      <c r="AGD236" s="9"/>
      <c r="AGE236" s="9"/>
      <c r="AGF236" s="9"/>
      <c r="AGG236" s="9"/>
      <c r="AGH236" s="9"/>
      <c r="AGI236" s="9"/>
      <c r="AGJ236" s="9"/>
      <c r="AGK236" s="9"/>
      <c r="AGL236" s="9"/>
      <c r="AGM236" s="9"/>
      <c r="AGN236" s="9"/>
      <c r="AGO236" s="9"/>
      <c r="AGP236" s="9"/>
      <c r="AGQ236" s="9"/>
      <c r="AGR236" s="9"/>
      <c r="AGS236" s="9"/>
      <c r="AGT236" s="9"/>
      <c r="AGU236" s="9"/>
      <c r="AGV236" s="9"/>
      <c r="AGW236" s="9"/>
      <c r="AGX236" s="9"/>
      <c r="AGY236" s="9"/>
      <c r="AGZ236" s="9"/>
      <c r="AHA236" s="9"/>
      <c r="AHB236" s="9"/>
      <c r="AHC236" s="9"/>
      <c r="AHD236" s="9"/>
      <c r="AHE236" s="9"/>
      <c r="AHF236" s="9"/>
      <c r="AHG236" s="9"/>
      <c r="AHH236" s="9"/>
      <c r="AHI236" s="9"/>
      <c r="AHJ236" s="9"/>
      <c r="AHK236" s="9"/>
      <c r="AHL236" s="9"/>
      <c r="AHM236" s="9"/>
      <c r="AHN236" s="9"/>
      <c r="AHO236" s="9"/>
      <c r="AHP236" s="9"/>
      <c r="AHQ236" s="9"/>
      <c r="AHR236" s="9"/>
      <c r="AHS236" s="9"/>
      <c r="AHT236" s="9"/>
      <c r="AHU236" s="9"/>
      <c r="AHV236" s="9"/>
      <c r="AHW236" s="9"/>
      <c r="AHX236" s="9"/>
      <c r="AHY236" s="9"/>
      <c r="AHZ236" s="9"/>
      <c r="AIA236" s="9"/>
      <c r="AIB236" s="9"/>
      <c r="AIC236" s="9"/>
      <c r="AID236" s="9"/>
      <c r="AIE236" s="9"/>
      <c r="AIF236" s="9"/>
      <c r="AIG236" s="9"/>
      <c r="AIH236" s="9"/>
      <c r="AII236" s="9"/>
      <c r="AIJ236" s="9"/>
      <c r="AIK236" s="9"/>
      <c r="AIL236" s="9"/>
      <c r="AIM236" s="9"/>
      <c r="AIN236" s="9"/>
      <c r="AIO236" s="9"/>
      <c r="AIP236" s="9"/>
      <c r="AIQ236" s="9"/>
      <c r="AIR236" s="9"/>
      <c r="AIS236" s="9"/>
      <c r="AIT236" s="9"/>
      <c r="AIU236" s="9"/>
      <c r="AIV236" s="9"/>
      <c r="AIW236" s="9"/>
      <c r="AIX236" s="9"/>
      <c r="AIY236" s="9"/>
      <c r="AIZ236" s="9"/>
      <c r="AJA236" s="9"/>
      <c r="AJB236" s="9"/>
      <c r="AJC236" s="9"/>
      <c r="AJD236" s="9"/>
      <c r="AJE236" s="9"/>
      <c r="AJF236" s="9"/>
      <c r="AJG236" s="9"/>
      <c r="AJH236" s="9"/>
      <c r="AJI236" s="9"/>
      <c r="AJJ236" s="9"/>
      <c r="AJK236" s="9"/>
      <c r="AJL236" s="9"/>
      <c r="AJM236" s="9"/>
      <c r="AJN236" s="9"/>
      <c r="AJO236" s="9"/>
      <c r="AJP236" s="9"/>
      <c r="AJQ236" s="9"/>
      <c r="AJR236" s="9"/>
      <c r="AJS236" s="9"/>
      <c r="AJT236" s="9"/>
      <c r="AJU236" s="9"/>
      <c r="AJV236" s="9"/>
      <c r="AJW236" s="9"/>
      <c r="AJX236" s="9"/>
      <c r="AJY236" s="9"/>
      <c r="AJZ236" s="9"/>
      <c r="AKA236" s="9"/>
      <c r="AKB236" s="9"/>
      <c r="AKC236" s="9"/>
      <c r="AKD236" s="9"/>
      <c r="AKE236" s="9"/>
      <c r="AKF236" s="9"/>
      <c r="AKG236" s="9"/>
      <c r="AKH236" s="9"/>
      <c r="AKI236" s="9"/>
      <c r="AKJ236" s="9"/>
      <c r="AKK236" s="9"/>
      <c r="AKL236" s="9"/>
      <c r="AKM236" s="9"/>
      <c r="AKN236" s="9"/>
      <c r="AKO236" s="9"/>
      <c r="AKP236" s="9"/>
      <c r="AKQ236" s="9"/>
      <c r="AKR236" s="9"/>
      <c r="AKS236" s="9"/>
      <c r="AKT236" s="9"/>
      <c r="AKU236" s="9"/>
      <c r="AKV236" s="9"/>
      <c r="AKW236" s="9"/>
      <c r="AKX236" s="9"/>
      <c r="AKY236" s="9"/>
      <c r="AKZ236" s="9"/>
      <c r="ALA236" s="9"/>
      <c r="ALB236" s="9"/>
      <c r="ALC236" s="9"/>
      <c r="ALD236" s="9"/>
      <c r="ALE236" s="9"/>
      <c r="ALF236" s="9"/>
      <c r="ALG236" s="9"/>
      <c r="ALH236" s="9"/>
      <c r="ALI236" s="9"/>
      <c r="ALJ236" s="9"/>
      <c r="ALK236" s="9"/>
      <c r="ALL236" s="9"/>
      <c r="ALM236" s="9"/>
      <c r="ALN236" s="9"/>
      <c r="ALO236" s="9"/>
      <c r="ALP236" s="9"/>
      <c r="ALQ236" s="9"/>
      <c r="ALR236" s="9"/>
      <c r="ALS236" s="9"/>
      <c r="ALT236" s="9"/>
      <c r="ALU236" s="9"/>
      <c r="ALV236" s="9"/>
      <c r="ALW236" s="9"/>
      <c r="ALX236" s="9"/>
      <c r="ALY236" s="9"/>
      <c r="ALZ236" s="9"/>
      <c r="AMA236" s="9"/>
      <c r="AMB236" s="9"/>
      <c r="AMC236" s="9"/>
      <c r="AMD236" s="9"/>
      <c r="AME236" s="9"/>
      <c r="AMF236" s="9"/>
      <c r="AMG236" s="9"/>
      <c r="AMH236" s="9"/>
      <c r="AMI236" s="9"/>
      <c r="AMJ236" s="9"/>
      <c r="AMK236" s="9"/>
      <c r="AML236" s="9"/>
      <c r="AMM236" s="9"/>
      <c r="AMN236" s="9"/>
      <c r="AMO236" s="9"/>
    </row>
    <row r="237" spans="1:1029" s="12" customFormat="1" x14ac:dyDescent="0.2">
      <c r="A237" s="9" t="str">
        <f t="shared" ref="A237" si="1871">CONCATENATE(B237,"_",C237)</f>
        <v>gpr52_human_6LI1</v>
      </c>
      <c r="B237" s="9" t="s">
        <v>260</v>
      </c>
      <c r="C237" s="9" t="s">
        <v>1669</v>
      </c>
      <c r="D237" s="9" t="str">
        <f>IFERROR(MID(VLOOKUP($B237,Seqs!$A:$B,2,0),E237,1),"")</f>
        <v>C</v>
      </c>
      <c r="E237" s="9">
        <v>40</v>
      </c>
      <c r="F237" s="9" t="str">
        <f>IFERROR(MID(VLOOKUP($B237,Seqs!$A:$B,2,0),G237,1),"")</f>
        <v>A</v>
      </c>
      <c r="G237" s="9">
        <v>68</v>
      </c>
      <c r="H237" s="9" t="str">
        <f>IFERROR(MID(VLOOKUP($B237,Seqs!$A:$B,2,0),I237,1),"")</f>
        <v/>
      </c>
      <c r="I237" s="109" t="s">
        <v>23</v>
      </c>
      <c r="J237" s="9" t="str">
        <f>IFERROR(MID(VLOOKUP($B237,Seqs!$A:$B,2,0),K237,1),"")</f>
        <v/>
      </c>
      <c r="K237" s="109" t="s">
        <v>23</v>
      </c>
      <c r="L237" s="9" t="str">
        <f>IFERROR(MID(VLOOKUP($B237,Seqs!$A:$B,2,0),M237,1),"")</f>
        <v>H</v>
      </c>
      <c r="M237" s="9">
        <v>73</v>
      </c>
      <c r="N237" s="9" t="str">
        <f>IFERROR(MID(VLOOKUP($B237,Seqs!$A:$B,2,0),O237,1),"")</f>
        <v>H</v>
      </c>
      <c r="O237" s="9">
        <v>103</v>
      </c>
      <c r="P237" s="9" t="str">
        <f>IFERROR(MID(VLOOKUP($B237,Seqs!$A:$B,2,0),Q237,1),"")</f>
        <v/>
      </c>
      <c r="Q237" s="9" t="s">
        <v>23</v>
      </c>
      <c r="R237" s="9" t="str">
        <f>IFERROR(MID(VLOOKUP($B237,Seqs!$A:$B,2,0),S237,1),"")</f>
        <v/>
      </c>
      <c r="S237" s="9" t="s">
        <v>23</v>
      </c>
      <c r="T237" s="9" t="str">
        <f>IFERROR(MID(VLOOKUP($B237,Seqs!$A:$B,2,0),U237,1),"")</f>
        <v>H</v>
      </c>
      <c r="U237" s="9">
        <v>109</v>
      </c>
      <c r="V237" s="9" t="str">
        <f>IFERROR(MID(VLOOKUP($B237,Seqs!$A:$B,2,0),W237,1),"")</f>
        <v>K</v>
      </c>
      <c r="W237" s="9">
        <v>145</v>
      </c>
      <c r="X237" s="9" t="str">
        <f>IFERROR(MID(VLOOKUP($B237,Seqs!$A:$B,2,0),Y237,1),"")</f>
        <v>P</v>
      </c>
      <c r="Y237" s="9">
        <v>146</v>
      </c>
      <c r="Z237" s="9" t="str">
        <f>IFERROR(MID(VLOOKUP($B237,Seqs!$A:$B,2,0),AA237,1),"")</f>
        <v>V</v>
      </c>
      <c r="AA237" s="9">
        <v>153</v>
      </c>
      <c r="AB237" s="9" t="str">
        <f>IFERROR(MID(VLOOKUP($B237,Seqs!$A:$B,2,0),AC237,1),"")</f>
        <v>T</v>
      </c>
      <c r="AC237" s="9">
        <v>154</v>
      </c>
      <c r="AD237" s="9" t="str">
        <f>IFERROR(MID(VLOOKUP($B237,Seqs!$A:$B,2,0),AE237,1),"")</f>
        <v>F</v>
      </c>
      <c r="AE237" s="9">
        <v>178</v>
      </c>
      <c r="AF237" s="9" t="str">
        <f>IFERROR(MID(VLOOKUP($B237,Seqs!$A:$B,2,0),AG237,1),"")</f>
        <v>C</v>
      </c>
      <c r="AG237" s="9">
        <v>193</v>
      </c>
      <c r="AH237" s="9" t="str">
        <f>IFERROR(MID(VLOOKUP($B237,Seqs!$A:$B,2,0),AI237,1),"")</f>
        <v>T</v>
      </c>
      <c r="AI237" s="9">
        <v>195</v>
      </c>
      <c r="AJ237" s="9" t="str">
        <f>IFERROR(MID(VLOOKUP($B237,Seqs!$A:$B,2,0),AK237,1),"")</f>
        <v>S</v>
      </c>
      <c r="AK237" s="9">
        <v>200</v>
      </c>
      <c r="AL237" s="9" t="str">
        <f>IFERROR(MID(VLOOKUP($B237,Seqs!$A:$B,2,0),AM237,1),"")</f>
        <v>Q</v>
      </c>
      <c r="AM237" s="9">
        <v>232</v>
      </c>
      <c r="AN237" s="9" t="str">
        <f>IFERROR(MID(VLOOKUP($B237,Seqs!$A:$B,2,0),AO237,1),"")</f>
        <v>R</v>
      </c>
      <c r="AO237" s="9">
        <v>261</v>
      </c>
      <c r="AP237" s="9" t="str">
        <f>IFERROR(MID(VLOOKUP($B237,Seqs!$A:$B,2,0),AQ237,1),"")</f>
        <v>S</v>
      </c>
      <c r="AQ237" s="9">
        <v>290</v>
      </c>
      <c r="AR237" s="9" t="str">
        <f>IFERROR(MID(VLOOKUP($B237,Seqs!$A:$B,2,0),AS237,1),"")</f>
        <v>N</v>
      </c>
      <c r="AS237" s="9">
        <v>295</v>
      </c>
      <c r="AT237" s="9" t="str">
        <f>IFERROR(MID(VLOOKUP($B237,Seqs!$A:$B,2,0),AU237,1),"")</f>
        <v>S</v>
      </c>
      <c r="AU237" s="9">
        <v>320</v>
      </c>
      <c r="AV237" s="9" t="str">
        <f>IFERROR(MID(VLOOKUP($B237,Seqs!$A:$B,2,0),AW237,1),"")</f>
        <v>N</v>
      </c>
      <c r="AW237" s="9">
        <v>321</v>
      </c>
      <c r="AX237" s="9" t="str">
        <f>IFERROR(MID(VLOOKUP($B237,Seqs!$A:$B,2,0),AY237,1),"")</f>
        <v>C</v>
      </c>
      <c r="AY237" s="9">
        <v>341</v>
      </c>
      <c r="AZ237" s="110" t="str">
        <f>VLOOKUP(B237,Classification!A:D,2,0)</f>
        <v>A</v>
      </c>
      <c r="BA237" s="98" t="str">
        <f>VLOOKUP(B237,Classification!A:D,4,0)</f>
        <v>ClassAorphans</v>
      </c>
      <c r="BB237" s="36" t="b">
        <f t="shared" ref="BB237" si="1872"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109">
        <f t="shared" ref="BC237" si="1873">_xlfn.AGGREGATE(9,6,CH237:CS237)-_xlfn.AGGREGATE(9,6,BV237:CG237)+12</f>
        <v>245</v>
      </c>
      <c r="BD237" s="126" t="s">
        <v>1376</v>
      </c>
      <c r="BE237" s="9" t="s">
        <v>1374</v>
      </c>
      <c r="BF237" s="119">
        <v>2.9</v>
      </c>
      <c r="BG237" s="51" t="s">
        <v>1</v>
      </c>
      <c r="BH237" s="51" t="s">
        <v>1</v>
      </c>
      <c r="BJ237" s="111" t="s">
        <v>1287</v>
      </c>
      <c r="BK237" s="112" t="s">
        <v>1287</v>
      </c>
      <c r="BL237" s="112" t="s">
        <v>1287</v>
      </c>
      <c r="BM237" s="112" t="s">
        <v>1287</v>
      </c>
      <c r="BN237" s="112" t="s">
        <v>1287</v>
      </c>
      <c r="BO237" s="112" t="s">
        <v>1287</v>
      </c>
      <c r="BP237" s="112" t="s">
        <v>1287</v>
      </c>
      <c r="BQ237" s="112" t="s">
        <v>1287</v>
      </c>
      <c r="BR237" s="112" t="s">
        <v>1287</v>
      </c>
      <c r="BS237" s="112" t="s">
        <v>1287</v>
      </c>
      <c r="BT237" s="112" t="s">
        <v>1287</v>
      </c>
      <c r="BU237" s="112" t="s">
        <v>1287</v>
      </c>
      <c r="BV237" s="111">
        <f t="shared" ref="BV237" si="1874">E237</f>
        <v>40</v>
      </c>
      <c r="BW237" s="113" t="str">
        <f t="shared" ref="BW237" si="1875">I237</f>
        <v>-</v>
      </c>
      <c r="BX237" s="114">
        <f t="shared" ref="BX237" si="1876">M237</f>
        <v>73</v>
      </c>
      <c r="BY237" s="113" t="str">
        <f t="shared" ref="BY237" si="1877">Q237</f>
        <v>-</v>
      </c>
      <c r="BZ237" s="114">
        <f t="shared" ref="BZ237" si="1878">U237</f>
        <v>109</v>
      </c>
      <c r="CA237" s="113">
        <f t="shared" ref="CA237" si="1879">Y237</f>
        <v>146</v>
      </c>
      <c r="CB237" s="114">
        <f t="shared" ref="CB237" si="1880">AC237</f>
        <v>154</v>
      </c>
      <c r="CC237" s="113">
        <f t="shared" ref="CC237" si="1881">AG237</f>
        <v>193</v>
      </c>
      <c r="CD237" s="114">
        <f t="shared" ref="CD237" si="1882">AK237</f>
        <v>200</v>
      </c>
      <c r="CE237" s="113">
        <f t="shared" ref="CE237" si="1883">AO237</f>
        <v>261</v>
      </c>
      <c r="CF237" s="114">
        <f t="shared" ref="CF237" si="1884">AS237</f>
        <v>295</v>
      </c>
      <c r="CG237" s="113">
        <f t="shared" ref="CG237" si="1885">AW237</f>
        <v>321</v>
      </c>
      <c r="CH237" s="111">
        <f t="shared" ref="CH237" si="1886">G237</f>
        <v>68</v>
      </c>
      <c r="CI237" s="113" t="str">
        <f t="shared" ref="CI237" si="1887">K237</f>
        <v>-</v>
      </c>
      <c r="CJ237" s="114">
        <f t="shared" ref="CJ237" si="1888">O237</f>
        <v>103</v>
      </c>
      <c r="CK237" s="114" t="str">
        <f t="shared" ref="CK237" si="1889">S237</f>
        <v>-</v>
      </c>
      <c r="CL237" s="114">
        <f t="shared" ref="CL237" si="1890">W237</f>
        <v>145</v>
      </c>
      <c r="CM237" s="114">
        <f t="shared" ref="CM237" si="1891">AA237</f>
        <v>153</v>
      </c>
      <c r="CN237" s="114">
        <f t="shared" ref="CN237" si="1892">AE237</f>
        <v>178</v>
      </c>
      <c r="CO237" s="114">
        <f t="shared" ref="CO237" si="1893">AI237</f>
        <v>195</v>
      </c>
      <c r="CP237" s="114">
        <f t="shared" ref="CP237" si="1894">AM237</f>
        <v>232</v>
      </c>
      <c r="CQ237" s="114">
        <f t="shared" ref="CQ237" si="1895">AQ237</f>
        <v>290</v>
      </c>
      <c r="CR237" s="114">
        <f t="shared" ref="CR237" si="1896">AU237</f>
        <v>320</v>
      </c>
      <c r="CS237" s="114">
        <f t="shared" ref="CS237" si="1897">AY237</f>
        <v>341</v>
      </c>
      <c r="CT237" s="109" t="e">
        <f t="shared" ref="CT237" si="1898">M237-K237</f>
        <v>#VALUE!</v>
      </c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  <c r="ZW237" s="9"/>
      <c r="ZX237" s="9"/>
      <c r="ZY237" s="9"/>
      <c r="ZZ237" s="9"/>
      <c r="AAA237" s="9"/>
      <c r="AAB237" s="9"/>
      <c r="AAC237" s="9"/>
      <c r="AAD237" s="9"/>
      <c r="AAE237" s="9"/>
      <c r="AAF237" s="9"/>
      <c r="AAG237" s="9"/>
      <c r="AAH237" s="9"/>
      <c r="AAI237" s="9"/>
      <c r="AAJ237" s="9"/>
      <c r="AAK237" s="9"/>
      <c r="AAL237" s="9"/>
      <c r="AAM237" s="9"/>
      <c r="AAN237" s="9"/>
      <c r="AAO237" s="9"/>
      <c r="AAP237" s="9"/>
      <c r="AAQ237" s="9"/>
      <c r="AAR237" s="9"/>
      <c r="AAS237" s="9"/>
      <c r="AAT237" s="9"/>
      <c r="AAU237" s="9"/>
      <c r="AAV237" s="9"/>
      <c r="AAW237" s="9"/>
      <c r="AAX237" s="9"/>
      <c r="AAY237" s="9"/>
      <c r="AAZ237" s="9"/>
      <c r="ABA237" s="9"/>
      <c r="ABB237" s="9"/>
      <c r="ABC237" s="9"/>
      <c r="ABD237" s="9"/>
      <c r="ABE237" s="9"/>
      <c r="ABF237" s="9"/>
      <c r="ABG237" s="9"/>
      <c r="ABH237" s="9"/>
      <c r="ABI237" s="9"/>
      <c r="ABJ237" s="9"/>
      <c r="ABK237" s="9"/>
      <c r="ABL237" s="9"/>
      <c r="ABM237" s="9"/>
      <c r="ABN237" s="9"/>
      <c r="ABO237" s="9"/>
      <c r="ABP237" s="9"/>
      <c r="ABQ237" s="9"/>
      <c r="ABR237" s="9"/>
      <c r="ABS237" s="9"/>
      <c r="ABT237" s="9"/>
      <c r="ABU237" s="9"/>
      <c r="ABV237" s="9"/>
      <c r="ABW237" s="9"/>
      <c r="ABX237" s="9"/>
      <c r="ABY237" s="9"/>
      <c r="ABZ237" s="9"/>
      <c r="ACA237" s="9"/>
      <c r="ACB237" s="9"/>
      <c r="ACC237" s="9"/>
      <c r="ACD237" s="9"/>
      <c r="ACE237" s="9"/>
      <c r="ACF237" s="9"/>
      <c r="ACG237" s="9"/>
      <c r="ACH237" s="9"/>
      <c r="ACI237" s="9"/>
      <c r="ACJ237" s="9"/>
      <c r="ACK237" s="9"/>
      <c r="ACL237" s="9"/>
      <c r="ACM237" s="9"/>
      <c r="ACN237" s="9"/>
      <c r="ACO237" s="9"/>
      <c r="ACP237" s="9"/>
      <c r="ACQ237" s="9"/>
      <c r="ACR237" s="9"/>
      <c r="ACS237" s="9"/>
      <c r="ACT237" s="9"/>
      <c r="ACU237" s="9"/>
      <c r="ACV237" s="9"/>
      <c r="ACW237" s="9"/>
      <c r="ACX237" s="9"/>
      <c r="ACY237" s="9"/>
      <c r="ACZ237" s="9"/>
      <c r="ADA237" s="9"/>
      <c r="ADB237" s="9"/>
      <c r="ADC237" s="9"/>
      <c r="ADD237" s="9"/>
      <c r="ADE237" s="9"/>
      <c r="ADF237" s="9"/>
      <c r="ADG237" s="9"/>
      <c r="ADH237" s="9"/>
      <c r="ADI237" s="9"/>
      <c r="ADJ237" s="9"/>
      <c r="ADK237" s="9"/>
      <c r="ADL237" s="9"/>
      <c r="ADM237" s="9"/>
      <c r="ADN237" s="9"/>
      <c r="ADO237" s="9"/>
      <c r="ADP237" s="9"/>
      <c r="ADQ237" s="9"/>
      <c r="ADR237" s="9"/>
      <c r="ADS237" s="9"/>
      <c r="ADT237" s="9"/>
      <c r="ADU237" s="9"/>
      <c r="ADV237" s="9"/>
      <c r="ADW237" s="9"/>
      <c r="ADX237" s="9"/>
      <c r="ADY237" s="9"/>
      <c r="ADZ237" s="9"/>
      <c r="AEA237" s="9"/>
      <c r="AEB237" s="9"/>
      <c r="AEC237" s="9"/>
      <c r="AED237" s="9"/>
      <c r="AEE237" s="9"/>
      <c r="AEF237" s="9"/>
      <c r="AEG237" s="9"/>
      <c r="AEH237" s="9"/>
      <c r="AEI237" s="9"/>
      <c r="AEJ237" s="9"/>
      <c r="AEK237" s="9"/>
      <c r="AEL237" s="9"/>
      <c r="AEM237" s="9"/>
      <c r="AEN237" s="9"/>
      <c r="AEO237" s="9"/>
      <c r="AEP237" s="9"/>
      <c r="AEQ237" s="9"/>
      <c r="AER237" s="9"/>
      <c r="AES237" s="9"/>
      <c r="AET237" s="9"/>
      <c r="AEU237" s="9"/>
      <c r="AEV237" s="9"/>
      <c r="AEW237" s="9"/>
      <c r="AEX237" s="9"/>
      <c r="AEY237" s="9"/>
      <c r="AEZ237" s="9"/>
      <c r="AFA237" s="9"/>
      <c r="AFB237" s="9"/>
      <c r="AFC237" s="9"/>
      <c r="AFD237" s="9"/>
      <c r="AFE237" s="9"/>
      <c r="AFF237" s="9"/>
      <c r="AFG237" s="9"/>
      <c r="AFH237" s="9"/>
      <c r="AFI237" s="9"/>
      <c r="AFJ237" s="9"/>
      <c r="AFK237" s="9"/>
      <c r="AFL237" s="9"/>
      <c r="AFM237" s="9"/>
      <c r="AFN237" s="9"/>
      <c r="AFO237" s="9"/>
      <c r="AFP237" s="9"/>
      <c r="AFQ237" s="9"/>
      <c r="AFR237" s="9"/>
      <c r="AFS237" s="9"/>
      <c r="AFT237" s="9"/>
      <c r="AFU237" s="9"/>
      <c r="AFV237" s="9"/>
      <c r="AFW237" s="9"/>
      <c r="AFX237" s="9"/>
      <c r="AFY237" s="9"/>
      <c r="AFZ237" s="9"/>
      <c r="AGA237" s="9"/>
      <c r="AGB237" s="9"/>
      <c r="AGC237" s="9"/>
      <c r="AGD237" s="9"/>
      <c r="AGE237" s="9"/>
      <c r="AGF237" s="9"/>
      <c r="AGG237" s="9"/>
      <c r="AGH237" s="9"/>
      <c r="AGI237" s="9"/>
      <c r="AGJ237" s="9"/>
      <c r="AGK237" s="9"/>
      <c r="AGL237" s="9"/>
      <c r="AGM237" s="9"/>
      <c r="AGN237" s="9"/>
      <c r="AGO237" s="9"/>
      <c r="AGP237" s="9"/>
      <c r="AGQ237" s="9"/>
      <c r="AGR237" s="9"/>
      <c r="AGS237" s="9"/>
      <c r="AGT237" s="9"/>
      <c r="AGU237" s="9"/>
      <c r="AGV237" s="9"/>
      <c r="AGW237" s="9"/>
      <c r="AGX237" s="9"/>
      <c r="AGY237" s="9"/>
      <c r="AGZ237" s="9"/>
      <c r="AHA237" s="9"/>
      <c r="AHB237" s="9"/>
      <c r="AHC237" s="9"/>
      <c r="AHD237" s="9"/>
      <c r="AHE237" s="9"/>
      <c r="AHF237" s="9"/>
      <c r="AHG237" s="9"/>
      <c r="AHH237" s="9"/>
      <c r="AHI237" s="9"/>
      <c r="AHJ237" s="9"/>
      <c r="AHK237" s="9"/>
      <c r="AHL237" s="9"/>
      <c r="AHM237" s="9"/>
      <c r="AHN237" s="9"/>
      <c r="AHO237" s="9"/>
      <c r="AHP237" s="9"/>
      <c r="AHQ237" s="9"/>
      <c r="AHR237" s="9"/>
      <c r="AHS237" s="9"/>
      <c r="AHT237" s="9"/>
      <c r="AHU237" s="9"/>
      <c r="AHV237" s="9"/>
      <c r="AHW237" s="9"/>
      <c r="AHX237" s="9"/>
      <c r="AHY237" s="9"/>
      <c r="AHZ237" s="9"/>
      <c r="AIA237" s="9"/>
      <c r="AIB237" s="9"/>
      <c r="AIC237" s="9"/>
      <c r="AID237" s="9"/>
      <c r="AIE237" s="9"/>
      <c r="AIF237" s="9"/>
      <c r="AIG237" s="9"/>
      <c r="AIH237" s="9"/>
      <c r="AII237" s="9"/>
      <c r="AIJ237" s="9"/>
      <c r="AIK237" s="9"/>
      <c r="AIL237" s="9"/>
      <c r="AIM237" s="9"/>
      <c r="AIN237" s="9"/>
      <c r="AIO237" s="9"/>
      <c r="AIP237" s="9"/>
      <c r="AIQ237" s="9"/>
      <c r="AIR237" s="9"/>
      <c r="AIS237" s="9"/>
      <c r="AIT237" s="9"/>
      <c r="AIU237" s="9"/>
      <c r="AIV237" s="9"/>
      <c r="AIW237" s="9"/>
      <c r="AIX237" s="9"/>
      <c r="AIY237" s="9"/>
      <c r="AIZ237" s="9"/>
      <c r="AJA237" s="9"/>
      <c r="AJB237" s="9"/>
      <c r="AJC237" s="9"/>
      <c r="AJD237" s="9"/>
      <c r="AJE237" s="9"/>
      <c r="AJF237" s="9"/>
      <c r="AJG237" s="9"/>
      <c r="AJH237" s="9"/>
      <c r="AJI237" s="9"/>
      <c r="AJJ237" s="9"/>
      <c r="AJK237" s="9"/>
      <c r="AJL237" s="9"/>
      <c r="AJM237" s="9"/>
      <c r="AJN237" s="9"/>
      <c r="AJO237" s="9"/>
      <c r="AJP237" s="9"/>
      <c r="AJQ237" s="9"/>
      <c r="AJR237" s="9"/>
      <c r="AJS237" s="9"/>
      <c r="AJT237" s="9"/>
      <c r="AJU237" s="9"/>
      <c r="AJV237" s="9"/>
      <c r="AJW237" s="9"/>
      <c r="AJX237" s="9"/>
      <c r="AJY237" s="9"/>
      <c r="AJZ237" s="9"/>
      <c r="AKA237" s="9"/>
      <c r="AKB237" s="9"/>
      <c r="AKC237" s="9"/>
      <c r="AKD237" s="9"/>
      <c r="AKE237" s="9"/>
      <c r="AKF237" s="9"/>
      <c r="AKG237" s="9"/>
      <c r="AKH237" s="9"/>
      <c r="AKI237" s="9"/>
      <c r="AKJ237" s="9"/>
      <c r="AKK237" s="9"/>
      <c r="AKL237" s="9"/>
      <c r="AKM237" s="9"/>
      <c r="AKN237" s="9"/>
      <c r="AKO237" s="9"/>
      <c r="AKP237" s="9"/>
      <c r="AKQ237" s="9"/>
      <c r="AKR237" s="9"/>
      <c r="AKS237" s="9"/>
      <c r="AKT237" s="9"/>
      <c r="AKU237" s="9"/>
      <c r="AKV237" s="9"/>
      <c r="AKW237" s="9"/>
      <c r="AKX237" s="9"/>
      <c r="AKY237" s="9"/>
      <c r="AKZ237" s="9"/>
      <c r="ALA237" s="9"/>
      <c r="ALB237" s="9"/>
      <c r="ALC237" s="9"/>
      <c r="ALD237" s="9"/>
      <c r="ALE237" s="9"/>
      <c r="ALF237" s="9"/>
      <c r="ALG237" s="9"/>
      <c r="ALH237" s="9"/>
      <c r="ALI237" s="9"/>
      <c r="ALJ237" s="9"/>
      <c r="ALK237" s="9"/>
      <c r="ALL237" s="9"/>
      <c r="ALM237" s="9"/>
      <c r="ALN237" s="9"/>
      <c r="ALO237" s="9"/>
      <c r="ALP237" s="9"/>
      <c r="ALQ237" s="9"/>
      <c r="ALR237" s="9"/>
      <c r="ALS237" s="9"/>
      <c r="ALT237" s="9"/>
      <c r="ALU237" s="9"/>
      <c r="ALV237" s="9"/>
      <c r="ALW237" s="9"/>
      <c r="ALX237" s="9"/>
      <c r="ALY237" s="9"/>
      <c r="ALZ237" s="9"/>
      <c r="AMA237" s="9"/>
      <c r="AMB237" s="9"/>
      <c r="AMC237" s="9"/>
      <c r="AMD237" s="9"/>
      <c r="AME237" s="9"/>
      <c r="AMF237" s="9"/>
      <c r="AMG237" s="9"/>
      <c r="AMH237" s="9"/>
      <c r="AMI237" s="9"/>
      <c r="AMJ237" s="9"/>
      <c r="AMK237" s="9"/>
      <c r="AML237" s="9"/>
      <c r="AMM237" s="9"/>
      <c r="AMN237" s="9"/>
      <c r="AMO237" s="9"/>
    </row>
    <row r="238" spans="1:1029" s="12" customFormat="1" x14ac:dyDescent="0.2">
      <c r="A238" s="9" t="str">
        <f t="shared" ref="A238" si="1899">CONCATENATE(B238,"_",C238)</f>
        <v>gpr52_human_6LI2</v>
      </c>
      <c r="B238" s="9" t="s">
        <v>260</v>
      </c>
      <c r="C238" s="9" t="s">
        <v>1670</v>
      </c>
      <c r="D238" s="9" t="str">
        <f>IFERROR(MID(VLOOKUP($B238,Seqs!$A:$B,2,0),E238,1),"")</f>
        <v>C</v>
      </c>
      <c r="E238" s="9">
        <v>40</v>
      </c>
      <c r="F238" s="9" t="str">
        <f>IFERROR(MID(VLOOKUP($B238,Seqs!$A:$B,2,0),G238,1),"")</f>
        <v>F</v>
      </c>
      <c r="G238" s="9">
        <v>65</v>
      </c>
      <c r="H238" s="9" t="str">
        <f>IFERROR(MID(VLOOKUP($B238,Seqs!$A:$B,2,0),I238,1),"")</f>
        <v/>
      </c>
      <c r="I238" s="109" t="s">
        <v>23</v>
      </c>
      <c r="J238" s="9" t="str">
        <f>IFERROR(MID(VLOOKUP($B238,Seqs!$A:$B,2,0),K238,1),"")</f>
        <v/>
      </c>
      <c r="K238" s="109" t="s">
        <v>23</v>
      </c>
      <c r="L238" s="9" t="str">
        <f>IFERROR(MID(VLOOKUP($B238,Seqs!$A:$B,2,0),M238,1),"")</f>
        <v>T</v>
      </c>
      <c r="M238" s="9">
        <v>75</v>
      </c>
      <c r="N238" s="9" t="str">
        <f>IFERROR(MID(VLOOKUP($B238,Seqs!$A:$B,2,0),O238,1),"")</f>
        <v>H</v>
      </c>
      <c r="O238" s="9">
        <v>103</v>
      </c>
      <c r="P238" s="9" t="str">
        <f>IFERROR(MID(VLOOKUP($B238,Seqs!$A:$B,2,0),Q238,1),"")</f>
        <v/>
      </c>
      <c r="Q238" s="9" t="s">
        <v>23</v>
      </c>
      <c r="R238" s="9" t="str">
        <f>IFERROR(MID(VLOOKUP($B238,Seqs!$A:$B,2,0),S238,1),"")</f>
        <v/>
      </c>
      <c r="S238" s="9" t="s">
        <v>23</v>
      </c>
      <c r="T238" s="9" t="str">
        <f>IFERROR(MID(VLOOKUP($B238,Seqs!$A:$B,2,0),U238,1),"")</f>
        <v>H</v>
      </c>
      <c r="U238" s="9">
        <v>109</v>
      </c>
      <c r="V238" s="9" t="str">
        <f>IFERROR(MID(VLOOKUP($B238,Seqs!$A:$B,2,0),W238,1),"")</f>
        <v>K</v>
      </c>
      <c r="W238" s="9">
        <v>145</v>
      </c>
      <c r="X238" s="9" t="str">
        <f>IFERROR(MID(VLOOKUP($B238,Seqs!$A:$B,2,0),Y238,1),"")</f>
        <v>P</v>
      </c>
      <c r="Y238" s="9">
        <v>146</v>
      </c>
      <c r="Z238" s="9" t="str">
        <f>IFERROR(MID(VLOOKUP($B238,Seqs!$A:$B,2,0),AA238,1),"")</f>
        <v>V</v>
      </c>
      <c r="AA238" s="9">
        <v>153</v>
      </c>
      <c r="AB238" s="9" t="str">
        <f>IFERROR(MID(VLOOKUP($B238,Seqs!$A:$B,2,0),AC238,1),"")</f>
        <v>T</v>
      </c>
      <c r="AC238" s="9">
        <v>154</v>
      </c>
      <c r="AD238" s="9" t="str">
        <f>IFERROR(MID(VLOOKUP($B238,Seqs!$A:$B,2,0),AE238,1),"")</f>
        <v>F</v>
      </c>
      <c r="AE238" s="9">
        <v>178</v>
      </c>
      <c r="AF238" s="9" t="str">
        <f>IFERROR(MID(VLOOKUP($B238,Seqs!$A:$B,2,0),AG238,1),"")</f>
        <v>C</v>
      </c>
      <c r="AG238" s="9">
        <v>193</v>
      </c>
      <c r="AH238" s="9" t="str">
        <f>IFERROR(MID(VLOOKUP($B238,Seqs!$A:$B,2,0),AI238,1),"")</f>
        <v>T</v>
      </c>
      <c r="AI238" s="9">
        <v>195</v>
      </c>
      <c r="AJ238" s="9" t="str">
        <f>IFERROR(MID(VLOOKUP($B238,Seqs!$A:$B,2,0),AK238,1),"")</f>
        <v>S</v>
      </c>
      <c r="AK238" s="9">
        <v>200</v>
      </c>
      <c r="AL238" s="9" t="str">
        <f>IFERROR(MID(VLOOKUP($B238,Seqs!$A:$B,2,0),AM238,1),"")</f>
        <v>H</v>
      </c>
      <c r="AM238" s="9">
        <v>233</v>
      </c>
      <c r="AN238" s="9" t="str">
        <f>IFERROR(MID(VLOOKUP($B238,Seqs!$A:$B,2,0),AO238,1),"")</f>
        <v>Y</v>
      </c>
      <c r="AO238" s="9">
        <v>263</v>
      </c>
      <c r="AP238" s="9" t="str">
        <f>IFERROR(MID(VLOOKUP($B238,Seqs!$A:$B,2,0),AQ238,1),"")</f>
        <v>R</v>
      </c>
      <c r="AQ238" s="9">
        <v>291</v>
      </c>
      <c r="AR238" s="9" t="str">
        <f>IFERROR(MID(VLOOKUP($B238,Seqs!$A:$B,2,0),AS238,1),"")</f>
        <v>N</v>
      </c>
      <c r="AS238" s="9">
        <v>295</v>
      </c>
      <c r="AT238" s="9" t="str">
        <f>IFERROR(MID(VLOOKUP($B238,Seqs!$A:$B,2,0),AU238,1),"")</f>
        <v>S</v>
      </c>
      <c r="AU238" s="9">
        <v>320</v>
      </c>
      <c r="AV238" s="9" t="str">
        <f>IFERROR(MID(VLOOKUP($B238,Seqs!$A:$B,2,0),AW238,1),"")</f>
        <v>N</v>
      </c>
      <c r="AW238" s="9">
        <v>321</v>
      </c>
      <c r="AX238" s="9" t="str">
        <f>IFERROR(MID(VLOOKUP($B238,Seqs!$A:$B,2,0),AY238,1),"")</f>
        <v>M</v>
      </c>
      <c r="AY238" s="9">
        <v>340</v>
      </c>
      <c r="AZ238" s="110" t="str">
        <f>VLOOKUP(B238,Classification!A:D,2,0)</f>
        <v>A</v>
      </c>
      <c r="BA238" s="98" t="str">
        <f>VLOOKUP(B238,Classification!A:D,4,0)</f>
        <v>ClassAorphans</v>
      </c>
      <c r="BB238" s="36" t="b">
        <f t="shared" ref="BB238" si="1900"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109">
        <f t="shared" ref="BC238" si="1901">_xlfn.AGGREGATE(9,6,CH238:CS238)-_xlfn.AGGREGATE(9,6,BV238:CG238)+12</f>
        <v>239</v>
      </c>
      <c r="BD238" s="126" t="s">
        <v>23</v>
      </c>
      <c r="BE238" s="9" t="s">
        <v>1374</v>
      </c>
      <c r="BF238" s="119">
        <v>2.8</v>
      </c>
      <c r="BG238" s="51" t="s">
        <v>1</v>
      </c>
      <c r="BH238" s="51" t="s">
        <v>1</v>
      </c>
      <c r="BJ238" s="111" t="s">
        <v>1287</v>
      </c>
      <c r="BK238" s="112" t="s">
        <v>1287</v>
      </c>
      <c r="BL238" s="112" t="s">
        <v>1287</v>
      </c>
      <c r="BM238" s="112" t="s">
        <v>1287</v>
      </c>
      <c r="BN238" s="112" t="s">
        <v>1287</v>
      </c>
      <c r="BO238" s="112" t="s">
        <v>1287</v>
      </c>
      <c r="BP238" s="112" t="s">
        <v>1287</v>
      </c>
      <c r="BQ238" s="112" t="s">
        <v>1287</v>
      </c>
      <c r="BR238" s="112" t="s">
        <v>1287</v>
      </c>
      <c r="BS238" s="112" t="s">
        <v>1287</v>
      </c>
      <c r="BT238" s="112" t="s">
        <v>1287</v>
      </c>
      <c r="BU238" s="112" t="s">
        <v>1287</v>
      </c>
      <c r="BV238" s="111">
        <f t="shared" ref="BV238" si="1902">E238</f>
        <v>40</v>
      </c>
      <c r="BW238" s="113" t="str">
        <f t="shared" ref="BW238" si="1903">I238</f>
        <v>-</v>
      </c>
      <c r="BX238" s="114">
        <f t="shared" ref="BX238" si="1904">M238</f>
        <v>75</v>
      </c>
      <c r="BY238" s="113" t="str">
        <f t="shared" ref="BY238" si="1905">Q238</f>
        <v>-</v>
      </c>
      <c r="BZ238" s="114">
        <f t="shared" ref="BZ238" si="1906">U238</f>
        <v>109</v>
      </c>
      <c r="CA238" s="113">
        <f t="shared" ref="CA238" si="1907">Y238</f>
        <v>146</v>
      </c>
      <c r="CB238" s="114">
        <f t="shared" ref="CB238" si="1908">AC238</f>
        <v>154</v>
      </c>
      <c r="CC238" s="113">
        <f t="shared" ref="CC238" si="1909">AG238</f>
        <v>193</v>
      </c>
      <c r="CD238" s="114">
        <f t="shared" ref="CD238" si="1910">AK238</f>
        <v>200</v>
      </c>
      <c r="CE238" s="113">
        <f t="shared" ref="CE238" si="1911">AO238</f>
        <v>263</v>
      </c>
      <c r="CF238" s="114">
        <f t="shared" ref="CF238" si="1912">AS238</f>
        <v>295</v>
      </c>
      <c r="CG238" s="113">
        <f t="shared" ref="CG238" si="1913">AW238</f>
        <v>321</v>
      </c>
      <c r="CH238" s="111">
        <f t="shared" ref="CH238" si="1914">G238</f>
        <v>65</v>
      </c>
      <c r="CI238" s="113" t="str">
        <f t="shared" ref="CI238" si="1915">K238</f>
        <v>-</v>
      </c>
      <c r="CJ238" s="114">
        <f t="shared" ref="CJ238" si="1916">O238</f>
        <v>103</v>
      </c>
      <c r="CK238" s="114" t="str">
        <f t="shared" ref="CK238" si="1917">S238</f>
        <v>-</v>
      </c>
      <c r="CL238" s="114">
        <f t="shared" ref="CL238" si="1918">W238</f>
        <v>145</v>
      </c>
      <c r="CM238" s="114">
        <f t="shared" ref="CM238" si="1919">AA238</f>
        <v>153</v>
      </c>
      <c r="CN238" s="114">
        <f t="shared" ref="CN238" si="1920">AE238</f>
        <v>178</v>
      </c>
      <c r="CO238" s="114">
        <f t="shared" ref="CO238" si="1921">AI238</f>
        <v>195</v>
      </c>
      <c r="CP238" s="114">
        <f t="shared" ref="CP238" si="1922">AM238</f>
        <v>233</v>
      </c>
      <c r="CQ238" s="114">
        <f t="shared" ref="CQ238" si="1923">AQ238</f>
        <v>291</v>
      </c>
      <c r="CR238" s="114">
        <f t="shared" ref="CR238" si="1924">AU238</f>
        <v>320</v>
      </c>
      <c r="CS238" s="114">
        <f t="shared" ref="CS238" si="1925">AY238</f>
        <v>340</v>
      </c>
      <c r="CT238" s="109" t="e">
        <f t="shared" ref="CT238" si="1926">M238-K238</f>
        <v>#VALUE!</v>
      </c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  <c r="TB238" s="9"/>
      <c r="TC238" s="9"/>
      <c r="TD238" s="9"/>
      <c r="TE238" s="9"/>
      <c r="TF238" s="9"/>
      <c r="TG238" s="9"/>
      <c r="TH238" s="9"/>
      <c r="TI238" s="9"/>
      <c r="TJ238" s="9"/>
      <c r="TK238" s="9"/>
      <c r="TL238" s="9"/>
      <c r="TM238" s="9"/>
      <c r="TN238" s="9"/>
      <c r="TO238" s="9"/>
      <c r="TP238" s="9"/>
      <c r="TQ238" s="9"/>
      <c r="TR238" s="9"/>
      <c r="TS238" s="9"/>
      <c r="TT238" s="9"/>
      <c r="TU238" s="9"/>
      <c r="TV238" s="9"/>
      <c r="TW238" s="9"/>
      <c r="TX238" s="9"/>
      <c r="TY238" s="9"/>
      <c r="TZ238" s="9"/>
      <c r="UA238" s="9"/>
      <c r="UB238" s="9"/>
      <c r="UC238" s="9"/>
      <c r="UD238" s="9"/>
      <c r="UE238" s="9"/>
      <c r="UF238" s="9"/>
      <c r="UG238" s="9"/>
      <c r="UH238" s="9"/>
      <c r="UI238" s="9"/>
      <c r="UJ238" s="9"/>
      <c r="UK238" s="9"/>
      <c r="UL238" s="9"/>
      <c r="UM238" s="9"/>
      <c r="UN238" s="9"/>
      <c r="UO238" s="9"/>
      <c r="UP238" s="9"/>
      <c r="UQ238" s="9"/>
      <c r="UR238" s="9"/>
      <c r="US238" s="9"/>
      <c r="UT238" s="9"/>
      <c r="UU238" s="9"/>
      <c r="UV238" s="9"/>
      <c r="UW238" s="9"/>
      <c r="UX238" s="9"/>
      <c r="UY238" s="9"/>
      <c r="UZ238" s="9"/>
      <c r="VA238" s="9"/>
      <c r="VB238" s="9"/>
      <c r="VC238" s="9"/>
      <c r="VD238" s="9"/>
      <c r="VE238" s="9"/>
      <c r="VF238" s="9"/>
      <c r="VG238" s="9"/>
      <c r="VH238" s="9"/>
      <c r="VI238" s="9"/>
      <c r="VJ238" s="9"/>
      <c r="VK238" s="9"/>
      <c r="VL238" s="9"/>
      <c r="VM238" s="9"/>
      <c r="VN238" s="9"/>
      <c r="VO238" s="9"/>
      <c r="VP238" s="9"/>
      <c r="VQ238" s="9"/>
      <c r="VR238" s="9"/>
      <c r="VS238" s="9"/>
      <c r="VT238" s="9"/>
      <c r="VU238" s="9"/>
      <c r="VV238" s="9"/>
      <c r="VW238" s="9"/>
      <c r="VX238" s="9"/>
      <c r="VY238" s="9"/>
      <c r="VZ238" s="9"/>
      <c r="WA238" s="9"/>
      <c r="WB238" s="9"/>
      <c r="WC238" s="9"/>
      <c r="WD238" s="9"/>
      <c r="WE238" s="9"/>
      <c r="WF238" s="9"/>
      <c r="WG238" s="9"/>
      <c r="WH238" s="9"/>
      <c r="WI238" s="9"/>
      <c r="WJ238" s="9"/>
      <c r="WK238" s="9"/>
      <c r="WL238" s="9"/>
      <c r="WM238" s="9"/>
      <c r="WN238" s="9"/>
      <c r="WO238" s="9"/>
      <c r="WP238" s="9"/>
      <c r="WQ238" s="9"/>
      <c r="WR238" s="9"/>
      <c r="WS238" s="9"/>
      <c r="WT238" s="9"/>
      <c r="WU238" s="9"/>
      <c r="WV238" s="9"/>
      <c r="WW238" s="9"/>
      <c r="WX238" s="9"/>
      <c r="WY238" s="9"/>
      <c r="WZ238" s="9"/>
      <c r="XA238" s="9"/>
      <c r="XB238" s="9"/>
      <c r="XC238" s="9"/>
      <c r="XD238" s="9"/>
      <c r="XE238" s="9"/>
      <c r="XF238" s="9"/>
      <c r="XG238" s="9"/>
      <c r="XH238" s="9"/>
      <c r="XI238" s="9"/>
      <c r="XJ238" s="9"/>
      <c r="XK238" s="9"/>
      <c r="XL238" s="9"/>
      <c r="XM238" s="9"/>
      <c r="XN238" s="9"/>
      <c r="XO238" s="9"/>
      <c r="XP238" s="9"/>
      <c r="XQ238" s="9"/>
      <c r="XR238" s="9"/>
      <c r="XS238" s="9"/>
      <c r="XT238" s="9"/>
      <c r="XU238" s="9"/>
      <c r="XV238" s="9"/>
      <c r="XW238" s="9"/>
      <c r="XX238" s="9"/>
      <c r="XY238" s="9"/>
      <c r="XZ238" s="9"/>
      <c r="YA238" s="9"/>
      <c r="YB238" s="9"/>
      <c r="YC238" s="9"/>
      <c r="YD238" s="9"/>
      <c r="YE238" s="9"/>
      <c r="YF238" s="9"/>
      <c r="YG238" s="9"/>
      <c r="YH238" s="9"/>
      <c r="YI238" s="9"/>
      <c r="YJ238" s="9"/>
      <c r="YK238" s="9"/>
      <c r="YL238" s="9"/>
      <c r="YM238" s="9"/>
      <c r="YN238" s="9"/>
      <c r="YO238" s="9"/>
      <c r="YP238" s="9"/>
      <c r="YQ238" s="9"/>
      <c r="YR238" s="9"/>
      <c r="YS238" s="9"/>
      <c r="YT238" s="9"/>
      <c r="YU238" s="9"/>
      <c r="YV238" s="9"/>
      <c r="YW238" s="9"/>
      <c r="YX238" s="9"/>
      <c r="YY238" s="9"/>
      <c r="YZ238" s="9"/>
      <c r="ZA238" s="9"/>
      <c r="ZB238" s="9"/>
      <c r="ZC238" s="9"/>
      <c r="ZD238" s="9"/>
      <c r="ZE238" s="9"/>
      <c r="ZF238" s="9"/>
      <c r="ZG238" s="9"/>
      <c r="ZH238" s="9"/>
      <c r="ZI238" s="9"/>
      <c r="ZJ238" s="9"/>
      <c r="ZK238" s="9"/>
      <c r="ZL238" s="9"/>
      <c r="ZM238" s="9"/>
      <c r="ZN238" s="9"/>
      <c r="ZO238" s="9"/>
      <c r="ZP238" s="9"/>
      <c r="ZQ238" s="9"/>
      <c r="ZR238" s="9"/>
      <c r="ZS238" s="9"/>
      <c r="ZT238" s="9"/>
      <c r="ZU238" s="9"/>
      <c r="ZV238" s="9"/>
      <c r="ZW238" s="9"/>
      <c r="ZX238" s="9"/>
      <c r="ZY238" s="9"/>
      <c r="ZZ238" s="9"/>
      <c r="AAA238" s="9"/>
      <c r="AAB238" s="9"/>
      <c r="AAC238" s="9"/>
      <c r="AAD238" s="9"/>
      <c r="AAE238" s="9"/>
      <c r="AAF238" s="9"/>
      <c r="AAG238" s="9"/>
      <c r="AAH238" s="9"/>
      <c r="AAI238" s="9"/>
      <c r="AAJ238" s="9"/>
      <c r="AAK238" s="9"/>
      <c r="AAL238" s="9"/>
      <c r="AAM238" s="9"/>
      <c r="AAN238" s="9"/>
      <c r="AAO238" s="9"/>
      <c r="AAP238" s="9"/>
      <c r="AAQ238" s="9"/>
      <c r="AAR238" s="9"/>
      <c r="AAS238" s="9"/>
      <c r="AAT238" s="9"/>
      <c r="AAU238" s="9"/>
      <c r="AAV238" s="9"/>
      <c r="AAW238" s="9"/>
      <c r="AAX238" s="9"/>
      <c r="AAY238" s="9"/>
      <c r="AAZ238" s="9"/>
      <c r="ABA238" s="9"/>
      <c r="ABB238" s="9"/>
      <c r="ABC238" s="9"/>
      <c r="ABD238" s="9"/>
      <c r="ABE238" s="9"/>
      <c r="ABF238" s="9"/>
      <c r="ABG238" s="9"/>
      <c r="ABH238" s="9"/>
      <c r="ABI238" s="9"/>
      <c r="ABJ238" s="9"/>
      <c r="ABK238" s="9"/>
      <c r="ABL238" s="9"/>
      <c r="ABM238" s="9"/>
      <c r="ABN238" s="9"/>
      <c r="ABO238" s="9"/>
      <c r="ABP238" s="9"/>
      <c r="ABQ238" s="9"/>
      <c r="ABR238" s="9"/>
      <c r="ABS238" s="9"/>
      <c r="ABT238" s="9"/>
      <c r="ABU238" s="9"/>
      <c r="ABV238" s="9"/>
      <c r="ABW238" s="9"/>
      <c r="ABX238" s="9"/>
      <c r="ABY238" s="9"/>
      <c r="ABZ238" s="9"/>
      <c r="ACA238" s="9"/>
      <c r="ACB238" s="9"/>
      <c r="ACC238" s="9"/>
      <c r="ACD238" s="9"/>
      <c r="ACE238" s="9"/>
      <c r="ACF238" s="9"/>
      <c r="ACG238" s="9"/>
      <c r="ACH238" s="9"/>
      <c r="ACI238" s="9"/>
      <c r="ACJ238" s="9"/>
      <c r="ACK238" s="9"/>
      <c r="ACL238" s="9"/>
      <c r="ACM238" s="9"/>
      <c r="ACN238" s="9"/>
      <c r="ACO238" s="9"/>
      <c r="ACP238" s="9"/>
      <c r="ACQ238" s="9"/>
      <c r="ACR238" s="9"/>
      <c r="ACS238" s="9"/>
      <c r="ACT238" s="9"/>
      <c r="ACU238" s="9"/>
      <c r="ACV238" s="9"/>
      <c r="ACW238" s="9"/>
      <c r="ACX238" s="9"/>
      <c r="ACY238" s="9"/>
      <c r="ACZ238" s="9"/>
      <c r="ADA238" s="9"/>
      <c r="ADB238" s="9"/>
      <c r="ADC238" s="9"/>
      <c r="ADD238" s="9"/>
      <c r="ADE238" s="9"/>
      <c r="ADF238" s="9"/>
      <c r="ADG238" s="9"/>
      <c r="ADH238" s="9"/>
      <c r="ADI238" s="9"/>
      <c r="ADJ238" s="9"/>
      <c r="ADK238" s="9"/>
      <c r="ADL238" s="9"/>
      <c r="ADM238" s="9"/>
      <c r="ADN238" s="9"/>
      <c r="ADO238" s="9"/>
      <c r="ADP238" s="9"/>
      <c r="ADQ238" s="9"/>
      <c r="ADR238" s="9"/>
      <c r="ADS238" s="9"/>
      <c r="ADT238" s="9"/>
      <c r="ADU238" s="9"/>
      <c r="ADV238" s="9"/>
      <c r="ADW238" s="9"/>
      <c r="ADX238" s="9"/>
      <c r="ADY238" s="9"/>
      <c r="ADZ238" s="9"/>
      <c r="AEA238" s="9"/>
      <c r="AEB238" s="9"/>
      <c r="AEC238" s="9"/>
      <c r="AED238" s="9"/>
      <c r="AEE238" s="9"/>
      <c r="AEF238" s="9"/>
      <c r="AEG238" s="9"/>
      <c r="AEH238" s="9"/>
      <c r="AEI238" s="9"/>
      <c r="AEJ238" s="9"/>
      <c r="AEK238" s="9"/>
      <c r="AEL238" s="9"/>
      <c r="AEM238" s="9"/>
      <c r="AEN238" s="9"/>
      <c r="AEO238" s="9"/>
      <c r="AEP238" s="9"/>
      <c r="AEQ238" s="9"/>
      <c r="AER238" s="9"/>
      <c r="AES238" s="9"/>
      <c r="AET238" s="9"/>
      <c r="AEU238" s="9"/>
      <c r="AEV238" s="9"/>
      <c r="AEW238" s="9"/>
      <c r="AEX238" s="9"/>
      <c r="AEY238" s="9"/>
      <c r="AEZ238" s="9"/>
      <c r="AFA238" s="9"/>
      <c r="AFB238" s="9"/>
      <c r="AFC238" s="9"/>
      <c r="AFD238" s="9"/>
      <c r="AFE238" s="9"/>
      <c r="AFF238" s="9"/>
      <c r="AFG238" s="9"/>
      <c r="AFH238" s="9"/>
      <c r="AFI238" s="9"/>
      <c r="AFJ238" s="9"/>
      <c r="AFK238" s="9"/>
      <c r="AFL238" s="9"/>
      <c r="AFM238" s="9"/>
      <c r="AFN238" s="9"/>
      <c r="AFO238" s="9"/>
      <c r="AFP238" s="9"/>
      <c r="AFQ238" s="9"/>
      <c r="AFR238" s="9"/>
      <c r="AFS238" s="9"/>
      <c r="AFT238" s="9"/>
      <c r="AFU238" s="9"/>
      <c r="AFV238" s="9"/>
      <c r="AFW238" s="9"/>
      <c r="AFX238" s="9"/>
      <c r="AFY238" s="9"/>
      <c r="AFZ238" s="9"/>
      <c r="AGA238" s="9"/>
      <c r="AGB238" s="9"/>
      <c r="AGC238" s="9"/>
      <c r="AGD238" s="9"/>
      <c r="AGE238" s="9"/>
      <c r="AGF238" s="9"/>
      <c r="AGG238" s="9"/>
      <c r="AGH238" s="9"/>
      <c r="AGI238" s="9"/>
      <c r="AGJ238" s="9"/>
      <c r="AGK238" s="9"/>
      <c r="AGL238" s="9"/>
      <c r="AGM238" s="9"/>
      <c r="AGN238" s="9"/>
      <c r="AGO238" s="9"/>
      <c r="AGP238" s="9"/>
      <c r="AGQ238" s="9"/>
      <c r="AGR238" s="9"/>
      <c r="AGS238" s="9"/>
      <c r="AGT238" s="9"/>
      <c r="AGU238" s="9"/>
      <c r="AGV238" s="9"/>
      <c r="AGW238" s="9"/>
      <c r="AGX238" s="9"/>
      <c r="AGY238" s="9"/>
      <c r="AGZ238" s="9"/>
      <c r="AHA238" s="9"/>
      <c r="AHB238" s="9"/>
      <c r="AHC238" s="9"/>
      <c r="AHD238" s="9"/>
      <c r="AHE238" s="9"/>
      <c r="AHF238" s="9"/>
      <c r="AHG238" s="9"/>
      <c r="AHH238" s="9"/>
      <c r="AHI238" s="9"/>
      <c r="AHJ238" s="9"/>
      <c r="AHK238" s="9"/>
      <c r="AHL238" s="9"/>
      <c r="AHM238" s="9"/>
      <c r="AHN238" s="9"/>
      <c r="AHO238" s="9"/>
      <c r="AHP238" s="9"/>
      <c r="AHQ238" s="9"/>
      <c r="AHR238" s="9"/>
      <c r="AHS238" s="9"/>
      <c r="AHT238" s="9"/>
      <c r="AHU238" s="9"/>
      <c r="AHV238" s="9"/>
      <c r="AHW238" s="9"/>
      <c r="AHX238" s="9"/>
      <c r="AHY238" s="9"/>
      <c r="AHZ238" s="9"/>
      <c r="AIA238" s="9"/>
      <c r="AIB238" s="9"/>
      <c r="AIC238" s="9"/>
      <c r="AID238" s="9"/>
      <c r="AIE238" s="9"/>
      <c r="AIF238" s="9"/>
      <c r="AIG238" s="9"/>
      <c r="AIH238" s="9"/>
      <c r="AII238" s="9"/>
      <c r="AIJ238" s="9"/>
      <c r="AIK238" s="9"/>
      <c r="AIL238" s="9"/>
      <c r="AIM238" s="9"/>
      <c r="AIN238" s="9"/>
      <c r="AIO238" s="9"/>
      <c r="AIP238" s="9"/>
      <c r="AIQ238" s="9"/>
      <c r="AIR238" s="9"/>
      <c r="AIS238" s="9"/>
      <c r="AIT238" s="9"/>
      <c r="AIU238" s="9"/>
      <c r="AIV238" s="9"/>
      <c r="AIW238" s="9"/>
      <c r="AIX238" s="9"/>
      <c r="AIY238" s="9"/>
      <c r="AIZ238" s="9"/>
      <c r="AJA238" s="9"/>
      <c r="AJB238" s="9"/>
      <c r="AJC238" s="9"/>
      <c r="AJD238" s="9"/>
      <c r="AJE238" s="9"/>
      <c r="AJF238" s="9"/>
      <c r="AJG238" s="9"/>
      <c r="AJH238" s="9"/>
      <c r="AJI238" s="9"/>
      <c r="AJJ238" s="9"/>
      <c r="AJK238" s="9"/>
      <c r="AJL238" s="9"/>
      <c r="AJM238" s="9"/>
      <c r="AJN238" s="9"/>
      <c r="AJO238" s="9"/>
      <c r="AJP238" s="9"/>
      <c r="AJQ238" s="9"/>
      <c r="AJR238" s="9"/>
      <c r="AJS238" s="9"/>
      <c r="AJT238" s="9"/>
      <c r="AJU238" s="9"/>
      <c r="AJV238" s="9"/>
      <c r="AJW238" s="9"/>
      <c r="AJX238" s="9"/>
      <c r="AJY238" s="9"/>
      <c r="AJZ238" s="9"/>
      <c r="AKA238" s="9"/>
      <c r="AKB238" s="9"/>
      <c r="AKC238" s="9"/>
      <c r="AKD238" s="9"/>
      <c r="AKE238" s="9"/>
      <c r="AKF238" s="9"/>
      <c r="AKG238" s="9"/>
      <c r="AKH238" s="9"/>
      <c r="AKI238" s="9"/>
      <c r="AKJ238" s="9"/>
      <c r="AKK238" s="9"/>
      <c r="AKL238" s="9"/>
      <c r="AKM238" s="9"/>
      <c r="AKN238" s="9"/>
      <c r="AKO238" s="9"/>
      <c r="AKP238" s="9"/>
      <c r="AKQ238" s="9"/>
      <c r="AKR238" s="9"/>
      <c r="AKS238" s="9"/>
      <c r="AKT238" s="9"/>
      <c r="AKU238" s="9"/>
      <c r="AKV238" s="9"/>
      <c r="AKW238" s="9"/>
      <c r="AKX238" s="9"/>
      <c r="AKY238" s="9"/>
      <c r="AKZ238" s="9"/>
      <c r="ALA238" s="9"/>
      <c r="ALB238" s="9"/>
      <c r="ALC238" s="9"/>
      <c r="ALD238" s="9"/>
      <c r="ALE238" s="9"/>
      <c r="ALF238" s="9"/>
      <c r="ALG238" s="9"/>
      <c r="ALH238" s="9"/>
      <c r="ALI238" s="9"/>
      <c r="ALJ238" s="9"/>
      <c r="ALK238" s="9"/>
      <c r="ALL238" s="9"/>
      <c r="ALM238" s="9"/>
      <c r="ALN238" s="9"/>
      <c r="ALO238" s="9"/>
      <c r="ALP238" s="9"/>
      <c r="ALQ238" s="9"/>
      <c r="ALR238" s="9"/>
      <c r="ALS238" s="9"/>
      <c r="ALT238" s="9"/>
      <c r="ALU238" s="9"/>
      <c r="ALV238" s="9"/>
      <c r="ALW238" s="9"/>
      <c r="ALX238" s="9"/>
      <c r="ALY238" s="9"/>
      <c r="ALZ238" s="9"/>
      <c r="AMA238" s="9"/>
      <c r="AMB238" s="9"/>
      <c r="AMC238" s="9"/>
      <c r="AMD238" s="9"/>
      <c r="AME238" s="9"/>
      <c r="AMF238" s="9"/>
      <c r="AMG238" s="9"/>
      <c r="AMH238" s="9"/>
      <c r="AMI238" s="9"/>
      <c r="AMJ238" s="9"/>
      <c r="AMK238" s="9"/>
      <c r="AML238" s="9"/>
      <c r="AMM238" s="9"/>
      <c r="AMN238" s="9"/>
      <c r="AMO238" s="9"/>
    </row>
    <row r="239" spans="1:1029" s="12" customFormat="1" x14ac:dyDescent="0.2">
      <c r="A239" s="9" t="str">
        <f t="shared" ref="A239" si="1927">CONCATENATE(B239,"_",C239)</f>
        <v>gpr52_human_6LI3</v>
      </c>
      <c r="B239" s="9" t="s">
        <v>260</v>
      </c>
      <c r="C239" s="9" t="s">
        <v>1671</v>
      </c>
      <c r="D239" s="9" t="str">
        <f>IFERROR(MID(VLOOKUP($B239,Seqs!$A:$B,2,0),E239,1),"")</f>
        <v>V</v>
      </c>
      <c r="E239" s="9">
        <v>37</v>
      </c>
      <c r="F239" s="9" t="str">
        <f>IFERROR(MID(VLOOKUP($B239,Seqs!$A:$B,2,0),G239,1),"")</f>
        <v>A</v>
      </c>
      <c r="G239" s="9">
        <v>68</v>
      </c>
      <c r="H239" s="9" t="str">
        <f>IFERROR(MID(VLOOKUP($B239,Seqs!$A:$B,2,0),I239,1),"")</f>
        <v>P</v>
      </c>
      <c r="I239" s="109">
        <v>69</v>
      </c>
      <c r="J239" s="9" t="str">
        <f>IFERROR(MID(VLOOKUP($B239,Seqs!$A:$B,2,0),K239,1),"")</f>
        <v>H</v>
      </c>
      <c r="K239" s="109">
        <v>73</v>
      </c>
      <c r="L239" s="9" t="str">
        <f>IFERROR(MID(VLOOKUP($B239,Seqs!$A:$B,2,0),M239,1),"")</f>
        <v>Y</v>
      </c>
      <c r="M239" s="9">
        <v>74</v>
      </c>
      <c r="N239" s="9" t="str">
        <f>IFERROR(MID(VLOOKUP($B239,Seqs!$A:$B,2,0),O239,1),"")</f>
        <v>Y</v>
      </c>
      <c r="O239" s="9">
        <v>104</v>
      </c>
      <c r="P239" s="9" t="str">
        <f>IFERROR(MID(VLOOKUP($B239,Seqs!$A:$B,2,0),Q239,1),"")</f>
        <v/>
      </c>
      <c r="Q239" s="9" t="s">
        <v>23</v>
      </c>
      <c r="R239" s="9" t="str">
        <f>IFERROR(MID(VLOOKUP($B239,Seqs!$A:$B,2,0),S239,1),"")</f>
        <v/>
      </c>
      <c r="S239" s="9" t="s">
        <v>23</v>
      </c>
      <c r="T239" s="9" t="str">
        <f>IFERROR(MID(VLOOKUP($B239,Seqs!$A:$B,2,0),U239,1),"")</f>
        <v>V</v>
      </c>
      <c r="U239" s="9">
        <v>108</v>
      </c>
      <c r="V239" s="9" t="str">
        <f>IFERROR(MID(VLOOKUP($B239,Seqs!$A:$B,2,0),W239,1),"")</f>
        <v>K</v>
      </c>
      <c r="W239" s="9">
        <v>145</v>
      </c>
      <c r="X239" s="9" t="str">
        <f>IFERROR(MID(VLOOKUP($B239,Seqs!$A:$B,2,0),Y239,1),"")</f>
        <v>P</v>
      </c>
      <c r="Y239" s="9">
        <v>146</v>
      </c>
      <c r="Z239" s="9" t="str">
        <f>IFERROR(MID(VLOOKUP($B239,Seqs!$A:$B,2,0),AA239,1),"")</f>
        <v>V</v>
      </c>
      <c r="AA239" s="9">
        <v>153</v>
      </c>
      <c r="AB239" s="9" t="str">
        <f>IFERROR(MID(VLOOKUP($B239,Seqs!$A:$B,2,0),AC239,1),"")</f>
        <v>T</v>
      </c>
      <c r="AC239" s="9">
        <v>154</v>
      </c>
      <c r="AD239" s="9" t="str">
        <f>IFERROR(MID(VLOOKUP($B239,Seqs!$A:$B,2,0),AE239,1),"")</f>
        <v>F</v>
      </c>
      <c r="AE239" s="9">
        <v>178</v>
      </c>
      <c r="AF239" s="9" t="str">
        <f>IFERROR(MID(VLOOKUP($B239,Seqs!$A:$B,2,0),AG239,1),"")</f>
        <v>C</v>
      </c>
      <c r="AG239" s="9">
        <v>193</v>
      </c>
      <c r="AH239" s="9" t="str">
        <f>IFERROR(MID(VLOOKUP($B239,Seqs!$A:$B,2,0),AI239,1),"")</f>
        <v>T</v>
      </c>
      <c r="AI239" s="9">
        <v>195</v>
      </c>
      <c r="AJ239" s="9" t="str">
        <f>IFERROR(MID(VLOOKUP($B239,Seqs!$A:$B,2,0),AK239,1),"")</f>
        <v>S</v>
      </c>
      <c r="AK239" s="9">
        <v>200</v>
      </c>
      <c r="AL239" s="9" t="str">
        <f>IFERROR(MID(VLOOKUP($B239,Seqs!$A:$B,2,0),AM239,1),"")</f>
        <v>F</v>
      </c>
      <c r="AM239" s="9">
        <v>244</v>
      </c>
      <c r="AN239" s="9" t="str">
        <f>IFERROR(MID(VLOOKUP($B239,Seqs!$A:$B,2,0),AO239,1),"")</f>
        <v>M</v>
      </c>
      <c r="AO239" s="9">
        <v>265</v>
      </c>
      <c r="AP239" s="9" t="str">
        <f>IFERROR(MID(VLOOKUP($B239,Seqs!$A:$B,2,0),AQ239,1),"")</f>
        <v>S</v>
      </c>
      <c r="AQ239" s="9">
        <v>289</v>
      </c>
      <c r="AR239" s="9" t="str">
        <f>IFERROR(MID(VLOOKUP($B239,Seqs!$A:$B,2,0),AS239,1),"")</f>
        <v>N</v>
      </c>
      <c r="AS239" s="9">
        <v>295</v>
      </c>
      <c r="AT239" s="9" t="str">
        <f>IFERROR(MID(VLOOKUP($B239,Seqs!$A:$B,2,0),AU239,1),"")</f>
        <v>S</v>
      </c>
      <c r="AU239" s="9">
        <v>320</v>
      </c>
      <c r="AV239" s="9" t="str">
        <f>IFERROR(MID(VLOOKUP($B239,Seqs!$A:$B,2,0),AW239,1),"")</f>
        <v>V</v>
      </c>
      <c r="AW239" s="9">
        <v>323</v>
      </c>
      <c r="AX239" s="9" t="str">
        <f>IFERROR(MID(VLOOKUP($B239,Seqs!$A:$B,2,0),AY239,1),"")</f>
        <v>T</v>
      </c>
      <c r="AY239" s="9">
        <v>337</v>
      </c>
      <c r="AZ239" s="110" t="str">
        <f>VLOOKUP(B239,Classification!A:D,2,0)</f>
        <v>A</v>
      </c>
      <c r="BA239" s="98" t="str">
        <f>VLOOKUP(B239,Classification!A:D,4,0)</f>
        <v>ClassAorphans</v>
      </c>
      <c r="BB239" s="36" t="b">
        <f t="shared" ref="BB239" si="1928">AND(E239&lt;G239,OR(G239&lt;I239,I239="-"),OR(I239&lt;K239,I239="-"),OR(K239&lt;M239,K239="-"),M239&lt;O239,OR(O239&lt;Q239,Q239="-"),OR(Q239&lt;S239,Q239="-"),OR(S239&lt;U239,S239="-"),U239&lt;W239,OR(W239&lt;Y239,Y239="-"),OR(Y239&lt;AA239,Y239="-"),OR(AA239&lt;AC239,AA239="-"),AC239&lt;AE239,OR(AE239&lt;AG239,AG239="-"),OR(AG239&lt;AI239,AG239="-"),OR(AI239&lt;AK239,AI239="-"),AK239&lt;AM239,AM239&lt;AO239,AO239&lt;AQ239,AQ239&lt;AS239,AS239&lt;AU239,OR(AU239&lt;AW239,AW239="-"),OR(AW239&lt;AY239,AW239="-"))</f>
        <v>1</v>
      </c>
      <c r="BC239" s="109">
        <f t="shared" ref="BC239" si="1929">_xlfn.AGGREGATE(9,6,CH239:CS239)-_xlfn.AGGREGATE(9,6,BV239:CG239)+12</f>
        <v>254</v>
      </c>
      <c r="BD239" s="126" t="s">
        <v>1429</v>
      </c>
      <c r="BE239" s="9" t="s">
        <v>1428</v>
      </c>
      <c r="BF239" s="119">
        <v>3.32</v>
      </c>
      <c r="BG239" s="51" t="s">
        <v>1422</v>
      </c>
      <c r="BH239" s="51" t="s">
        <v>1422</v>
      </c>
      <c r="BJ239" s="111" t="s">
        <v>1287</v>
      </c>
      <c r="BK239" s="112" t="s">
        <v>1287</v>
      </c>
      <c r="BL239" s="112" t="s">
        <v>1287</v>
      </c>
      <c r="BM239" s="112" t="s">
        <v>1287</v>
      </c>
      <c r="BN239" s="112" t="s">
        <v>1287</v>
      </c>
      <c r="BO239" s="112" t="s">
        <v>1287</v>
      </c>
      <c r="BP239" s="112" t="s">
        <v>1287</v>
      </c>
      <c r="BQ239" s="112" t="s">
        <v>1287</v>
      </c>
      <c r="BR239" s="112" t="s">
        <v>1287</v>
      </c>
      <c r="BS239" s="112" t="s">
        <v>1287</v>
      </c>
      <c r="BT239" s="112" t="s">
        <v>1287</v>
      </c>
      <c r="BU239" s="112" t="s">
        <v>1287</v>
      </c>
      <c r="BV239" s="111">
        <f t="shared" ref="BV239" si="1930">E239</f>
        <v>37</v>
      </c>
      <c r="BW239" s="113">
        <f t="shared" ref="BW239" si="1931">I239</f>
        <v>69</v>
      </c>
      <c r="BX239" s="114">
        <f t="shared" ref="BX239" si="1932">M239</f>
        <v>74</v>
      </c>
      <c r="BY239" s="113" t="str">
        <f t="shared" ref="BY239" si="1933">Q239</f>
        <v>-</v>
      </c>
      <c r="BZ239" s="114">
        <f t="shared" ref="BZ239" si="1934">U239</f>
        <v>108</v>
      </c>
      <c r="CA239" s="113">
        <f t="shared" ref="CA239" si="1935">Y239</f>
        <v>146</v>
      </c>
      <c r="CB239" s="114">
        <f t="shared" ref="CB239" si="1936">AC239</f>
        <v>154</v>
      </c>
      <c r="CC239" s="113">
        <f t="shared" ref="CC239" si="1937">AG239</f>
        <v>193</v>
      </c>
      <c r="CD239" s="114">
        <f t="shared" ref="CD239" si="1938">AK239</f>
        <v>200</v>
      </c>
      <c r="CE239" s="113">
        <f t="shared" ref="CE239" si="1939">AO239</f>
        <v>265</v>
      </c>
      <c r="CF239" s="114">
        <f t="shared" ref="CF239" si="1940">AS239</f>
        <v>295</v>
      </c>
      <c r="CG239" s="113">
        <f t="shared" ref="CG239" si="1941">AW239</f>
        <v>323</v>
      </c>
      <c r="CH239" s="111">
        <f t="shared" ref="CH239" si="1942">G239</f>
        <v>68</v>
      </c>
      <c r="CI239" s="113">
        <f t="shared" ref="CI239" si="1943">K239</f>
        <v>73</v>
      </c>
      <c r="CJ239" s="114">
        <f t="shared" ref="CJ239" si="1944">O239</f>
        <v>104</v>
      </c>
      <c r="CK239" s="114" t="str">
        <f t="shared" ref="CK239" si="1945">S239</f>
        <v>-</v>
      </c>
      <c r="CL239" s="114">
        <f t="shared" ref="CL239" si="1946">W239</f>
        <v>145</v>
      </c>
      <c r="CM239" s="114">
        <f t="shared" ref="CM239" si="1947">AA239</f>
        <v>153</v>
      </c>
      <c r="CN239" s="114">
        <f t="shared" ref="CN239" si="1948">AE239</f>
        <v>178</v>
      </c>
      <c r="CO239" s="114">
        <f t="shared" ref="CO239" si="1949">AI239</f>
        <v>195</v>
      </c>
      <c r="CP239" s="114">
        <f t="shared" ref="CP239" si="1950">AM239</f>
        <v>244</v>
      </c>
      <c r="CQ239" s="114">
        <f t="shared" ref="CQ239" si="1951">AQ239</f>
        <v>289</v>
      </c>
      <c r="CR239" s="114">
        <f t="shared" ref="CR239" si="1952">AU239</f>
        <v>320</v>
      </c>
      <c r="CS239" s="114">
        <f t="shared" ref="CS239" si="1953">AY239</f>
        <v>337</v>
      </c>
      <c r="CT239" s="109">
        <f t="shared" ref="CT239" si="1954">M239-K239</f>
        <v>1</v>
      </c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  <c r="TB239" s="9"/>
      <c r="TC239" s="9"/>
      <c r="TD239" s="9"/>
      <c r="TE239" s="9"/>
      <c r="TF239" s="9"/>
      <c r="TG239" s="9"/>
      <c r="TH239" s="9"/>
      <c r="TI239" s="9"/>
      <c r="TJ239" s="9"/>
      <c r="TK239" s="9"/>
      <c r="TL239" s="9"/>
      <c r="TM239" s="9"/>
      <c r="TN239" s="9"/>
      <c r="TO239" s="9"/>
      <c r="TP239" s="9"/>
      <c r="TQ239" s="9"/>
      <c r="TR239" s="9"/>
      <c r="TS239" s="9"/>
      <c r="TT239" s="9"/>
      <c r="TU239" s="9"/>
      <c r="TV239" s="9"/>
      <c r="TW239" s="9"/>
      <c r="TX239" s="9"/>
      <c r="TY239" s="9"/>
      <c r="TZ239" s="9"/>
      <c r="UA239" s="9"/>
      <c r="UB239" s="9"/>
      <c r="UC239" s="9"/>
      <c r="UD239" s="9"/>
      <c r="UE239" s="9"/>
      <c r="UF239" s="9"/>
      <c r="UG239" s="9"/>
      <c r="UH239" s="9"/>
      <c r="UI239" s="9"/>
      <c r="UJ239" s="9"/>
      <c r="UK239" s="9"/>
      <c r="UL239" s="9"/>
      <c r="UM239" s="9"/>
      <c r="UN239" s="9"/>
      <c r="UO239" s="9"/>
      <c r="UP239" s="9"/>
      <c r="UQ239" s="9"/>
      <c r="UR239" s="9"/>
      <c r="US239" s="9"/>
      <c r="UT239" s="9"/>
      <c r="UU239" s="9"/>
      <c r="UV239" s="9"/>
      <c r="UW239" s="9"/>
      <c r="UX239" s="9"/>
      <c r="UY239" s="9"/>
      <c r="UZ239" s="9"/>
      <c r="VA239" s="9"/>
      <c r="VB239" s="9"/>
      <c r="VC239" s="9"/>
      <c r="VD239" s="9"/>
      <c r="VE239" s="9"/>
      <c r="VF239" s="9"/>
      <c r="VG239" s="9"/>
      <c r="VH239" s="9"/>
      <c r="VI239" s="9"/>
      <c r="VJ239" s="9"/>
      <c r="VK239" s="9"/>
      <c r="VL239" s="9"/>
      <c r="VM239" s="9"/>
      <c r="VN239" s="9"/>
      <c r="VO239" s="9"/>
      <c r="VP239" s="9"/>
      <c r="VQ239" s="9"/>
      <c r="VR239" s="9"/>
      <c r="VS239" s="9"/>
      <c r="VT239" s="9"/>
      <c r="VU239" s="9"/>
      <c r="VV239" s="9"/>
      <c r="VW239" s="9"/>
      <c r="VX239" s="9"/>
      <c r="VY239" s="9"/>
      <c r="VZ239" s="9"/>
      <c r="WA239" s="9"/>
      <c r="WB239" s="9"/>
      <c r="WC239" s="9"/>
      <c r="WD239" s="9"/>
      <c r="WE239" s="9"/>
      <c r="WF239" s="9"/>
      <c r="WG239" s="9"/>
      <c r="WH239" s="9"/>
      <c r="WI239" s="9"/>
      <c r="WJ239" s="9"/>
      <c r="WK239" s="9"/>
      <c r="WL239" s="9"/>
      <c r="WM239" s="9"/>
      <c r="WN239" s="9"/>
      <c r="WO239" s="9"/>
      <c r="WP239" s="9"/>
      <c r="WQ239" s="9"/>
      <c r="WR239" s="9"/>
      <c r="WS239" s="9"/>
      <c r="WT239" s="9"/>
      <c r="WU239" s="9"/>
      <c r="WV239" s="9"/>
      <c r="WW239" s="9"/>
      <c r="WX239" s="9"/>
      <c r="WY239" s="9"/>
      <c r="WZ239" s="9"/>
      <c r="XA239" s="9"/>
      <c r="XB239" s="9"/>
      <c r="XC239" s="9"/>
      <c r="XD239" s="9"/>
      <c r="XE239" s="9"/>
      <c r="XF239" s="9"/>
      <c r="XG239" s="9"/>
      <c r="XH239" s="9"/>
      <c r="XI239" s="9"/>
      <c r="XJ239" s="9"/>
      <c r="XK239" s="9"/>
      <c r="XL239" s="9"/>
      <c r="XM239" s="9"/>
      <c r="XN239" s="9"/>
      <c r="XO239" s="9"/>
      <c r="XP239" s="9"/>
      <c r="XQ239" s="9"/>
      <c r="XR239" s="9"/>
      <c r="XS239" s="9"/>
      <c r="XT239" s="9"/>
      <c r="XU239" s="9"/>
      <c r="XV239" s="9"/>
      <c r="XW239" s="9"/>
      <c r="XX239" s="9"/>
      <c r="XY239" s="9"/>
      <c r="XZ239" s="9"/>
      <c r="YA239" s="9"/>
      <c r="YB239" s="9"/>
      <c r="YC239" s="9"/>
      <c r="YD239" s="9"/>
      <c r="YE239" s="9"/>
      <c r="YF239" s="9"/>
      <c r="YG239" s="9"/>
      <c r="YH239" s="9"/>
      <c r="YI239" s="9"/>
      <c r="YJ239" s="9"/>
      <c r="YK239" s="9"/>
      <c r="YL239" s="9"/>
      <c r="YM239" s="9"/>
      <c r="YN239" s="9"/>
      <c r="YO239" s="9"/>
      <c r="YP239" s="9"/>
      <c r="YQ239" s="9"/>
      <c r="YR239" s="9"/>
      <c r="YS239" s="9"/>
      <c r="YT239" s="9"/>
      <c r="YU239" s="9"/>
      <c r="YV239" s="9"/>
      <c r="YW239" s="9"/>
      <c r="YX239" s="9"/>
      <c r="YY239" s="9"/>
      <c r="YZ239" s="9"/>
      <c r="ZA239" s="9"/>
      <c r="ZB239" s="9"/>
      <c r="ZC239" s="9"/>
      <c r="ZD239" s="9"/>
      <c r="ZE239" s="9"/>
      <c r="ZF239" s="9"/>
      <c r="ZG239" s="9"/>
      <c r="ZH239" s="9"/>
      <c r="ZI239" s="9"/>
      <c r="ZJ239" s="9"/>
      <c r="ZK239" s="9"/>
      <c r="ZL239" s="9"/>
      <c r="ZM239" s="9"/>
      <c r="ZN239" s="9"/>
      <c r="ZO239" s="9"/>
      <c r="ZP239" s="9"/>
      <c r="ZQ239" s="9"/>
      <c r="ZR239" s="9"/>
      <c r="ZS239" s="9"/>
      <c r="ZT239" s="9"/>
      <c r="ZU239" s="9"/>
      <c r="ZV239" s="9"/>
      <c r="ZW239" s="9"/>
      <c r="ZX239" s="9"/>
      <c r="ZY239" s="9"/>
      <c r="ZZ239" s="9"/>
      <c r="AAA239" s="9"/>
      <c r="AAB239" s="9"/>
      <c r="AAC239" s="9"/>
      <c r="AAD239" s="9"/>
      <c r="AAE239" s="9"/>
      <c r="AAF239" s="9"/>
      <c r="AAG239" s="9"/>
      <c r="AAH239" s="9"/>
      <c r="AAI239" s="9"/>
      <c r="AAJ239" s="9"/>
      <c r="AAK239" s="9"/>
      <c r="AAL239" s="9"/>
      <c r="AAM239" s="9"/>
      <c r="AAN239" s="9"/>
      <c r="AAO239" s="9"/>
      <c r="AAP239" s="9"/>
      <c r="AAQ239" s="9"/>
      <c r="AAR239" s="9"/>
      <c r="AAS239" s="9"/>
      <c r="AAT239" s="9"/>
      <c r="AAU239" s="9"/>
      <c r="AAV239" s="9"/>
      <c r="AAW239" s="9"/>
      <c r="AAX239" s="9"/>
      <c r="AAY239" s="9"/>
      <c r="AAZ239" s="9"/>
      <c r="ABA239" s="9"/>
      <c r="ABB239" s="9"/>
      <c r="ABC239" s="9"/>
      <c r="ABD239" s="9"/>
      <c r="ABE239" s="9"/>
      <c r="ABF239" s="9"/>
      <c r="ABG239" s="9"/>
      <c r="ABH239" s="9"/>
      <c r="ABI239" s="9"/>
      <c r="ABJ239" s="9"/>
      <c r="ABK239" s="9"/>
      <c r="ABL239" s="9"/>
      <c r="ABM239" s="9"/>
      <c r="ABN239" s="9"/>
      <c r="ABO239" s="9"/>
      <c r="ABP239" s="9"/>
      <c r="ABQ239" s="9"/>
      <c r="ABR239" s="9"/>
      <c r="ABS239" s="9"/>
      <c r="ABT239" s="9"/>
      <c r="ABU239" s="9"/>
      <c r="ABV239" s="9"/>
      <c r="ABW239" s="9"/>
      <c r="ABX239" s="9"/>
      <c r="ABY239" s="9"/>
      <c r="ABZ239" s="9"/>
      <c r="ACA239" s="9"/>
      <c r="ACB239" s="9"/>
      <c r="ACC239" s="9"/>
      <c r="ACD239" s="9"/>
      <c r="ACE239" s="9"/>
      <c r="ACF239" s="9"/>
      <c r="ACG239" s="9"/>
      <c r="ACH239" s="9"/>
      <c r="ACI239" s="9"/>
      <c r="ACJ239" s="9"/>
      <c r="ACK239" s="9"/>
      <c r="ACL239" s="9"/>
      <c r="ACM239" s="9"/>
      <c r="ACN239" s="9"/>
      <c r="ACO239" s="9"/>
      <c r="ACP239" s="9"/>
      <c r="ACQ239" s="9"/>
      <c r="ACR239" s="9"/>
      <c r="ACS239" s="9"/>
      <c r="ACT239" s="9"/>
      <c r="ACU239" s="9"/>
      <c r="ACV239" s="9"/>
      <c r="ACW239" s="9"/>
      <c r="ACX239" s="9"/>
      <c r="ACY239" s="9"/>
      <c r="ACZ239" s="9"/>
      <c r="ADA239" s="9"/>
      <c r="ADB239" s="9"/>
      <c r="ADC239" s="9"/>
      <c r="ADD239" s="9"/>
      <c r="ADE239" s="9"/>
      <c r="ADF239" s="9"/>
      <c r="ADG239" s="9"/>
      <c r="ADH239" s="9"/>
      <c r="ADI239" s="9"/>
      <c r="ADJ239" s="9"/>
      <c r="ADK239" s="9"/>
      <c r="ADL239" s="9"/>
      <c r="ADM239" s="9"/>
      <c r="ADN239" s="9"/>
      <c r="ADO239" s="9"/>
      <c r="ADP239" s="9"/>
      <c r="ADQ239" s="9"/>
      <c r="ADR239" s="9"/>
      <c r="ADS239" s="9"/>
      <c r="ADT239" s="9"/>
      <c r="ADU239" s="9"/>
      <c r="ADV239" s="9"/>
      <c r="ADW239" s="9"/>
      <c r="ADX239" s="9"/>
      <c r="ADY239" s="9"/>
      <c r="ADZ239" s="9"/>
      <c r="AEA239" s="9"/>
      <c r="AEB239" s="9"/>
      <c r="AEC239" s="9"/>
      <c r="AED239" s="9"/>
      <c r="AEE239" s="9"/>
      <c r="AEF239" s="9"/>
      <c r="AEG239" s="9"/>
      <c r="AEH239" s="9"/>
      <c r="AEI239" s="9"/>
      <c r="AEJ239" s="9"/>
      <c r="AEK239" s="9"/>
      <c r="AEL239" s="9"/>
      <c r="AEM239" s="9"/>
      <c r="AEN239" s="9"/>
      <c r="AEO239" s="9"/>
      <c r="AEP239" s="9"/>
      <c r="AEQ239" s="9"/>
      <c r="AER239" s="9"/>
      <c r="AES239" s="9"/>
      <c r="AET239" s="9"/>
      <c r="AEU239" s="9"/>
      <c r="AEV239" s="9"/>
      <c r="AEW239" s="9"/>
      <c r="AEX239" s="9"/>
      <c r="AEY239" s="9"/>
      <c r="AEZ239" s="9"/>
      <c r="AFA239" s="9"/>
      <c r="AFB239" s="9"/>
      <c r="AFC239" s="9"/>
      <c r="AFD239" s="9"/>
      <c r="AFE239" s="9"/>
      <c r="AFF239" s="9"/>
      <c r="AFG239" s="9"/>
      <c r="AFH239" s="9"/>
      <c r="AFI239" s="9"/>
      <c r="AFJ239" s="9"/>
      <c r="AFK239" s="9"/>
      <c r="AFL239" s="9"/>
      <c r="AFM239" s="9"/>
      <c r="AFN239" s="9"/>
      <c r="AFO239" s="9"/>
      <c r="AFP239" s="9"/>
      <c r="AFQ239" s="9"/>
      <c r="AFR239" s="9"/>
      <c r="AFS239" s="9"/>
      <c r="AFT239" s="9"/>
      <c r="AFU239" s="9"/>
      <c r="AFV239" s="9"/>
      <c r="AFW239" s="9"/>
      <c r="AFX239" s="9"/>
      <c r="AFY239" s="9"/>
      <c r="AFZ239" s="9"/>
      <c r="AGA239" s="9"/>
      <c r="AGB239" s="9"/>
      <c r="AGC239" s="9"/>
      <c r="AGD239" s="9"/>
      <c r="AGE239" s="9"/>
      <c r="AGF239" s="9"/>
      <c r="AGG239" s="9"/>
      <c r="AGH239" s="9"/>
      <c r="AGI239" s="9"/>
      <c r="AGJ239" s="9"/>
      <c r="AGK239" s="9"/>
      <c r="AGL239" s="9"/>
      <c r="AGM239" s="9"/>
      <c r="AGN239" s="9"/>
      <c r="AGO239" s="9"/>
      <c r="AGP239" s="9"/>
      <c r="AGQ239" s="9"/>
      <c r="AGR239" s="9"/>
      <c r="AGS239" s="9"/>
      <c r="AGT239" s="9"/>
      <c r="AGU239" s="9"/>
      <c r="AGV239" s="9"/>
      <c r="AGW239" s="9"/>
      <c r="AGX239" s="9"/>
      <c r="AGY239" s="9"/>
      <c r="AGZ239" s="9"/>
      <c r="AHA239" s="9"/>
      <c r="AHB239" s="9"/>
      <c r="AHC239" s="9"/>
      <c r="AHD239" s="9"/>
      <c r="AHE239" s="9"/>
      <c r="AHF239" s="9"/>
      <c r="AHG239" s="9"/>
      <c r="AHH239" s="9"/>
      <c r="AHI239" s="9"/>
      <c r="AHJ239" s="9"/>
      <c r="AHK239" s="9"/>
      <c r="AHL239" s="9"/>
      <c r="AHM239" s="9"/>
      <c r="AHN239" s="9"/>
      <c r="AHO239" s="9"/>
      <c r="AHP239" s="9"/>
      <c r="AHQ239" s="9"/>
      <c r="AHR239" s="9"/>
      <c r="AHS239" s="9"/>
      <c r="AHT239" s="9"/>
      <c r="AHU239" s="9"/>
      <c r="AHV239" s="9"/>
      <c r="AHW239" s="9"/>
      <c r="AHX239" s="9"/>
      <c r="AHY239" s="9"/>
      <c r="AHZ239" s="9"/>
      <c r="AIA239" s="9"/>
      <c r="AIB239" s="9"/>
      <c r="AIC239" s="9"/>
      <c r="AID239" s="9"/>
      <c r="AIE239" s="9"/>
      <c r="AIF239" s="9"/>
      <c r="AIG239" s="9"/>
      <c r="AIH239" s="9"/>
      <c r="AII239" s="9"/>
      <c r="AIJ239" s="9"/>
      <c r="AIK239" s="9"/>
      <c r="AIL239" s="9"/>
      <c r="AIM239" s="9"/>
      <c r="AIN239" s="9"/>
      <c r="AIO239" s="9"/>
      <c r="AIP239" s="9"/>
      <c r="AIQ239" s="9"/>
      <c r="AIR239" s="9"/>
      <c r="AIS239" s="9"/>
      <c r="AIT239" s="9"/>
      <c r="AIU239" s="9"/>
      <c r="AIV239" s="9"/>
      <c r="AIW239" s="9"/>
      <c r="AIX239" s="9"/>
      <c r="AIY239" s="9"/>
      <c r="AIZ239" s="9"/>
      <c r="AJA239" s="9"/>
      <c r="AJB239" s="9"/>
      <c r="AJC239" s="9"/>
      <c r="AJD239" s="9"/>
      <c r="AJE239" s="9"/>
      <c r="AJF239" s="9"/>
      <c r="AJG239" s="9"/>
      <c r="AJH239" s="9"/>
      <c r="AJI239" s="9"/>
      <c r="AJJ239" s="9"/>
      <c r="AJK239" s="9"/>
      <c r="AJL239" s="9"/>
      <c r="AJM239" s="9"/>
      <c r="AJN239" s="9"/>
      <c r="AJO239" s="9"/>
      <c r="AJP239" s="9"/>
      <c r="AJQ239" s="9"/>
      <c r="AJR239" s="9"/>
      <c r="AJS239" s="9"/>
      <c r="AJT239" s="9"/>
      <c r="AJU239" s="9"/>
      <c r="AJV239" s="9"/>
      <c r="AJW239" s="9"/>
      <c r="AJX239" s="9"/>
      <c r="AJY239" s="9"/>
      <c r="AJZ239" s="9"/>
      <c r="AKA239" s="9"/>
      <c r="AKB239" s="9"/>
      <c r="AKC239" s="9"/>
      <c r="AKD239" s="9"/>
      <c r="AKE239" s="9"/>
      <c r="AKF239" s="9"/>
      <c r="AKG239" s="9"/>
      <c r="AKH239" s="9"/>
      <c r="AKI239" s="9"/>
      <c r="AKJ239" s="9"/>
      <c r="AKK239" s="9"/>
      <c r="AKL239" s="9"/>
      <c r="AKM239" s="9"/>
      <c r="AKN239" s="9"/>
      <c r="AKO239" s="9"/>
      <c r="AKP239" s="9"/>
      <c r="AKQ239" s="9"/>
      <c r="AKR239" s="9"/>
      <c r="AKS239" s="9"/>
      <c r="AKT239" s="9"/>
      <c r="AKU239" s="9"/>
      <c r="AKV239" s="9"/>
      <c r="AKW239" s="9"/>
      <c r="AKX239" s="9"/>
      <c r="AKY239" s="9"/>
      <c r="AKZ239" s="9"/>
      <c r="ALA239" s="9"/>
      <c r="ALB239" s="9"/>
      <c r="ALC239" s="9"/>
      <c r="ALD239" s="9"/>
      <c r="ALE239" s="9"/>
      <c r="ALF239" s="9"/>
      <c r="ALG239" s="9"/>
      <c r="ALH239" s="9"/>
      <c r="ALI239" s="9"/>
      <c r="ALJ239" s="9"/>
      <c r="ALK239" s="9"/>
      <c r="ALL239" s="9"/>
      <c r="ALM239" s="9"/>
      <c r="ALN239" s="9"/>
      <c r="ALO239" s="9"/>
      <c r="ALP239" s="9"/>
      <c r="ALQ239" s="9"/>
      <c r="ALR239" s="9"/>
      <c r="ALS239" s="9"/>
      <c r="ALT239" s="9"/>
      <c r="ALU239" s="9"/>
      <c r="ALV239" s="9"/>
      <c r="ALW239" s="9"/>
      <c r="ALX239" s="9"/>
      <c r="ALY239" s="9"/>
      <c r="ALZ239" s="9"/>
      <c r="AMA239" s="9"/>
      <c r="AMB239" s="9"/>
      <c r="AMC239" s="9"/>
      <c r="AMD239" s="9"/>
      <c r="AME239" s="9"/>
      <c r="AMF239" s="9"/>
      <c r="AMG239" s="9"/>
      <c r="AMH239" s="9"/>
      <c r="AMI239" s="9"/>
      <c r="AMJ239" s="9"/>
      <c r="AMK239" s="9"/>
      <c r="AML239" s="9"/>
      <c r="AMM239" s="9"/>
      <c r="AMN239" s="9"/>
      <c r="AMO239" s="9"/>
    </row>
    <row r="240" spans="1:1029" x14ac:dyDescent="0.2">
      <c r="A240" s="3" t="str">
        <f t="shared" si="1007"/>
        <v>hrh1_human__wt</v>
      </c>
      <c r="B240" s="3" t="s">
        <v>278</v>
      </c>
      <c r="C240" s="3" t="s">
        <v>100</v>
      </c>
      <c r="D240" s="3" t="str">
        <f>IFERROR(MID(VLOOKUP($B240,Seqs!$A:$B,2,0),E240,1),"")</f>
        <v>P</v>
      </c>
      <c r="E240" s="3">
        <v>29</v>
      </c>
      <c r="F240" s="3" t="str">
        <f>IFERROR(MID(VLOOKUP($B240,Seqs!$A:$B,2,0),G240,1),"")</f>
        <v>E</v>
      </c>
      <c r="G240" s="3">
        <v>55</v>
      </c>
      <c r="H240" s="3" t="str">
        <f>IFERROR(MID(VLOOKUP($B240,Seqs!$A:$B,2,0),I240,1),"")</f>
        <v>R</v>
      </c>
      <c r="I240" s="23">
        <v>56</v>
      </c>
      <c r="J240" s="3" t="str">
        <f>IFERROR(MID(VLOOKUP($B240,Seqs!$A:$B,2,0),K240,1),"")</f>
        <v>H</v>
      </c>
      <c r="K240" s="23">
        <v>59</v>
      </c>
      <c r="L240" s="3" t="str">
        <f>IFERROR(MID(VLOOKUP($B240,Seqs!$A:$B,2,0),M240,1),"")</f>
        <v>T</v>
      </c>
      <c r="M240" s="3">
        <v>60</v>
      </c>
      <c r="N240" s="3" t="str">
        <f>IFERROR(MID(VLOOKUP($B240,Seqs!$A:$B,2,0),O240,1),"")</f>
        <v>M</v>
      </c>
      <c r="O240" s="3">
        <v>90</v>
      </c>
      <c r="P240" s="3" t="str">
        <f>IFERROR(MID(VLOOKUP($B240,Seqs!$A:$B,2,0),Q240,1),"")</f>
        <v>K</v>
      </c>
      <c r="Q240" s="3">
        <v>92</v>
      </c>
      <c r="R240" s="3" t="str">
        <f>IFERROR(MID(VLOOKUP($B240,Seqs!$A:$B,2,0),S240,1),"")</f>
        <v>L</v>
      </c>
      <c r="S240" s="3">
        <v>95</v>
      </c>
      <c r="T240" s="3" t="str">
        <f>IFERROR(MID(VLOOKUP($B240,Seqs!$A:$B,2,0),U240,1),"")</f>
        <v>G</v>
      </c>
      <c r="U240" s="3">
        <v>96</v>
      </c>
      <c r="V240" s="3" t="str">
        <f>IFERROR(MID(VLOOKUP($B240,Seqs!$A:$B,2,0),W240,1),"")</f>
        <v>Q</v>
      </c>
      <c r="W240" s="3">
        <v>131</v>
      </c>
      <c r="X240" s="3" t="str">
        <f>IFERROR(MID(VLOOKUP($B240,Seqs!$A:$B,2,0),Y240,1),"")</f>
        <v>P</v>
      </c>
      <c r="Y240" s="3">
        <v>132</v>
      </c>
      <c r="Z240" s="3" t="str">
        <f>IFERROR(MID(VLOOKUP($B240,Seqs!$A:$B,2,0),AA240,1),"")</f>
        <v>R</v>
      </c>
      <c r="AA240" s="3">
        <v>139</v>
      </c>
      <c r="AB240" s="3" t="str">
        <f>IFERROR(MID(VLOOKUP($B240,Seqs!$A:$B,2,0),AC240,1),"")</f>
        <v>T</v>
      </c>
      <c r="AC240" s="9">
        <v>140</v>
      </c>
      <c r="AD240" s="3" t="str">
        <f>IFERROR(MID(VLOOKUP($B240,Seqs!$A:$B,2,0),AE240,1),"")</f>
        <v>G</v>
      </c>
      <c r="AE240" s="3">
        <v>164</v>
      </c>
      <c r="AF240" s="3" t="str">
        <f>IFERROR(MID(VLOOKUP($B240,Seqs!$A:$B,2,0),AG240,1),"")</f>
        <v>C</v>
      </c>
      <c r="AG240" s="3">
        <v>180</v>
      </c>
      <c r="AH240" s="3" t="str">
        <f>IFERROR(MID(VLOOKUP($B240,Seqs!$A:$B,2,0),AI240,1),"")</f>
        <v>T</v>
      </c>
      <c r="AI240" s="3">
        <v>182</v>
      </c>
      <c r="AJ240" s="3" t="str">
        <f>IFERROR(MID(VLOOKUP($B240,Seqs!$A:$B,2,0),AK240,1),"")</f>
        <v>V</v>
      </c>
      <c r="AK240" s="3">
        <v>187</v>
      </c>
      <c r="AL240" s="3" t="str">
        <f>IFERROR(MID(VLOOKUP($B240,Seqs!$A:$B,2,0),AM240,1),"")</f>
        <v>N</v>
      </c>
      <c r="AM240" s="3">
        <v>228</v>
      </c>
      <c r="AN240" s="3" t="str">
        <f>IFERROR(MID(VLOOKUP($B240,Seqs!$A:$B,2,0),AO240,1),"")</f>
        <v>G</v>
      </c>
      <c r="AO240" s="3">
        <v>404</v>
      </c>
      <c r="AP240" s="3" t="str">
        <f>IFERROR(MID(VLOOKUP($B240,Seqs!$A:$B,2,0),AQ240,1),"")</f>
        <v>C</v>
      </c>
      <c r="AQ240" s="3">
        <v>441</v>
      </c>
      <c r="AR240" s="3" t="str">
        <f>IFERROR(MID(VLOOKUP($B240,Seqs!$A:$B,2,0),AS240,1),"")</f>
        <v>N</v>
      </c>
      <c r="AS240" s="3">
        <v>446</v>
      </c>
      <c r="AT240" s="3" t="str">
        <f>IFERROR(MID(VLOOKUP($B240,Seqs!$A:$B,2,0),AU240,1),"")</f>
        <v>C</v>
      </c>
      <c r="AU240" s="3">
        <v>471</v>
      </c>
      <c r="AV240" s="3" t="str">
        <f>IFERROR(MID(VLOOKUP($B240,Seqs!$A:$B,2,0),AW240,1),"")</f>
        <v>N</v>
      </c>
      <c r="AW240" s="3">
        <v>472</v>
      </c>
      <c r="AX240" s="3" t="str">
        <f>IFERROR(MID(VLOOKUP($B240,Seqs!$A:$B,2,0),AY240,1),"")</f>
        <v>H</v>
      </c>
      <c r="AY240" s="3">
        <v>484</v>
      </c>
      <c r="AZ240" s="77" t="str">
        <f>VLOOKUP(B240,Classification!A:D,2,0)</f>
        <v>A</v>
      </c>
      <c r="BA240" s="94" t="str">
        <f>VLOOKUP(B240,Classification!A:D,4,0)</f>
        <v>Histamine</v>
      </c>
      <c r="BB240" s="27" t="b">
        <f t="shared" si="1008"/>
        <v>1</v>
      </c>
      <c r="BC240" s="23">
        <f t="shared" si="1705"/>
        <v>257</v>
      </c>
      <c r="BD240" s="34" t="s">
        <v>23</v>
      </c>
      <c r="BE240" s="3" t="s">
        <v>23</v>
      </c>
      <c r="BF240" s="118" t="s">
        <v>23</v>
      </c>
      <c r="BG240" s="49" t="s">
        <v>1372</v>
      </c>
      <c r="BH240" s="49" t="s">
        <v>1377</v>
      </c>
      <c r="BI240" s="1"/>
      <c r="BJ240" s="70" t="s">
        <v>1287</v>
      </c>
      <c r="BK240" s="57" t="s">
        <v>1287</v>
      </c>
      <c r="BL240" s="57" t="s">
        <v>1287</v>
      </c>
      <c r="BM240" s="57" t="s">
        <v>1287</v>
      </c>
      <c r="BN240" s="57" t="s">
        <v>1287</v>
      </c>
      <c r="BO240" s="57" t="s">
        <v>1287</v>
      </c>
      <c r="BP240" s="57" t="s">
        <v>1287</v>
      </c>
      <c r="BQ240" s="57" t="s">
        <v>1287</v>
      </c>
      <c r="BR240" s="57" t="s">
        <v>1287</v>
      </c>
      <c r="BS240" s="57" t="s">
        <v>1287</v>
      </c>
      <c r="BT240" s="57" t="s">
        <v>1287</v>
      </c>
      <c r="BU240" s="57" t="s">
        <v>1287</v>
      </c>
      <c r="BV240" s="70">
        <f t="shared" si="1706"/>
        <v>29</v>
      </c>
      <c r="BW240" s="71">
        <f t="shared" si="1707"/>
        <v>56</v>
      </c>
      <c r="BX240" s="72">
        <f t="shared" si="1708"/>
        <v>60</v>
      </c>
      <c r="BY240" s="71">
        <f t="shared" si="1709"/>
        <v>92</v>
      </c>
      <c r="BZ240" s="72">
        <f t="shared" si="1710"/>
        <v>96</v>
      </c>
      <c r="CA240" s="71">
        <f t="shared" si="1711"/>
        <v>132</v>
      </c>
      <c r="CB240" s="72">
        <f t="shared" si="1712"/>
        <v>140</v>
      </c>
      <c r="CC240" s="71">
        <f t="shared" si="1713"/>
        <v>180</v>
      </c>
      <c r="CD240" s="72">
        <f t="shared" si="1714"/>
        <v>187</v>
      </c>
      <c r="CE240" s="71">
        <f t="shared" si="1715"/>
        <v>404</v>
      </c>
      <c r="CF240" s="72">
        <f t="shared" si="1716"/>
        <v>446</v>
      </c>
      <c r="CG240" s="71">
        <f t="shared" si="1717"/>
        <v>472</v>
      </c>
      <c r="CH240" s="70">
        <f t="shared" si="1718"/>
        <v>55</v>
      </c>
      <c r="CI240" s="71">
        <f t="shared" si="1719"/>
        <v>59</v>
      </c>
      <c r="CJ240" s="72">
        <f t="shared" si="1720"/>
        <v>90</v>
      </c>
      <c r="CK240" s="72">
        <f t="shared" si="1721"/>
        <v>95</v>
      </c>
      <c r="CL240" s="72">
        <f t="shared" si="1722"/>
        <v>131</v>
      </c>
      <c r="CM240" s="72">
        <f t="shared" si="1723"/>
        <v>139</v>
      </c>
      <c r="CN240" s="72">
        <f t="shared" si="1724"/>
        <v>164</v>
      </c>
      <c r="CO240" s="72">
        <f t="shared" si="1725"/>
        <v>182</v>
      </c>
      <c r="CP240" s="72">
        <f t="shared" si="1726"/>
        <v>228</v>
      </c>
      <c r="CQ240" s="72">
        <f t="shared" si="1727"/>
        <v>441</v>
      </c>
      <c r="CR240" s="72">
        <f t="shared" si="1728"/>
        <v>471</v>
      </c>
      <c r="CS240" s="72">
        <f t="shared" si="1729"/>
        <v>484</v>
      </c>
      <c r="CT240" s="23">
        <f t="shared" si="1730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 t="shared" si="1007"/>
        <v>hrh1_human_3RZE</v>
      </c>
      <c r="B241" s="3" t="s">
        <v>278</v>
      </c>
      <c r="C241" s="3" t="s">
        <v>73</v>
      </c>
      <c r="D241" s="3" t="str">
        <f>IFERROR(MID(VLOOKUP($B241,Seqs!$A:$B,2,0),E241,1),"")</f>
        <v>V</v>
      </c>
      <c r="E241" s="3">
        <v>33</v>
      </c>
      <c r="F241" s="3" t="str">
        <f>IFERROR(MID(VLOOKUP($B241,Seqs!$A:$B,2,0),G241,1),"")</f>
        <v>E</v>
      </c>
      <c r="G241" s="3">
        <v>55</v>
      </c>
      <c r="H241" s="3" t="str">
        <f>IFERROR(MID(VLOOKUP($B241,Seqs!$A:$B,2,0),I241,1),"")</f>
        <v>R</v>
      </c>
      <c r="I241" s="23">
        <v>56</v>
      </c>
      <c r="J241" s="3" t="str">
        <f>IFERROR(MID(VLOOKUP($B241,Seqs!$A:$B,2,0),K241,1),"")</f>
        <v>H</v>
      </c>
      <c r="K241" s="23">
        <v>59</v>
      </c>
      <c r="L241" s="3" t="str">
        <f>IFERROR(MID(VLOOKUP($B241,Seqs!$A:$B,2,0),M241,1),"")</f>
        <v>T</v>
      </c>
      <c r="M241" s="3">
        <v>60</v>
      </c>
      <c r="N241" s="3" t="str">
        <f>IFERROR(MID(VLOOKUP($B241,Seqs!$A:$B,2,0),O241,1),"")</f>
        <v>M</v>
      </c>
      <c r="O241" s="3">
        <v>90</v>
      </c>
      <c r="P241" s="3" t="str">
        <f>IFERROR(MID(VLOOKUP($B241,Seqs!$A:$B,2,0),Q241,1),"")</f>
        <v>K</v>
      </c>
      <c r="Q241" s="3">
        <v>92</v>
      </c>
      <c r="R241" s="3" t="str">
        <f>IFERROR(MID(VLOOKUP($B241,Seqs!$A:$B,2,0),S241,1),"")</f>
        <v>L</v>
      </c>
      <c r="S241" s="3">
        <v>95</v>
      </c>
      <c r="T241" s="3" t="str">
        <f>IFERROR(MID(VLOOKUP($B241,Seqs!$A:$B,2,0),U241,1),"")</f>
        <v>G</v>
      </c>
      <c r="U241" s="3">
        <v>96</v>
      </c>
      <c r="V241" s="3" t="str">
        <f>IFERROR(MID(VLOOKUP($B241,Seqs!$A:$B,2,0),W241,1),"")</f>
        <v>Q</v>
      </c>
      <c r="W241" s="3">
        <v>131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T</v>
      </c>
      <c r="AC241" s="9">
        <v>140</v>
      </c>
      <c r="AD241" s="3" t="str">
        <f>IFERROR(MID(VLOOKUP($B241,Seqs!$A:$B,2,0),AE241,1),"")</f>
        <v>G</v>
      </c>
      <c r="AE241" s="3">
        <v>164</v>
      </c>
      <c r="AF241" s="3" t="str">
        <f>IFERROR(MID(VLOOKUP($B241,Seqs!$A:$B,2,0),AG241,1),"")</f>
        <v>C</v>
      </c>
      <c r="AG241" s="3">
        <v>180</v>
      </c>
      <c r="AH241" s="3" t="str">
        <f>IFERROR(MID(VLOOKUP($B241,Seqs!$A:$B,2,0),AI241,1),"")</f>
        <v>T</v>
      </c>
      <c r="AI241" s="3">
        <v>182</v>
      </c>
      <c r="AJ241" s="3" t="str">
        <f>IFERROR(MID(VLOOKUP($B241,Seqs!$A:$B,2,0),AK241,1),"")</f>
        <v>V</v>
      </c>
      <c r="AK241" s="3">
        <v>187</v>
      </c>
      <c r="AL241" s="3" t="str">
        <f>IFERROR(MID(VLOOKUP($B241,Seqs!$A:$B,2,0),AM241,1),"")</f>
        <v>V</v>
      </c>
      <c r="AM241" s="3">
        <v>217</v>
      </c>
      <c r="AN241" s="3" t="str">
        <f>IFERROR(MID(VLOOKUP($B241,Seqs!$A:$B,2,0),AO241,1),"")</f>
        <v>N</v>
      </c>
      <c r="AO241" s="3">
        <v>408</v>
      </c>
      <c r="AP241" s="3" t="str">
        <f>IFERROR(MID(VLOOKUP($B241,Seqs!$A:$B,2,0),AQ241,1),"")</f>
        <v>C</v>
      </c>
      <c r="AQ241" s="3">
        <v>441</v>
      </c>
      <c r="AR241" s="3" t="str">
        <f>IFERROR(MID(VLOOKUP($B241,Seqs!$A:$B,2,0),AS241,1),"")</f>
        <v>N</v>
      </c>
      <c r="AS241" s="3">
        <v>446</v>
      </c>
      <c r="AT241" s="3" t="str">
        <f>IFERROR(MID(VLOOKUP($B241,Seqs!$A:$B,2,0),AU241,1),"")</f>
        <v>C</v>
      </c>
      <c r="AU241" s="3">
        <v>471</v>
      </c>
      <c r="AV241" s="3" t="str">
        <f>IFERROR(MID(VLOOKUP($B241,Seqs!$A:$B,2,0),AW241,1),"")</f>
        <v>N</v>
      </c>
      <c r="AW241" s="3">
        <v>472</v>
      </c>
      <c r="AX241" s="3" t="str">
        <f>IFERROR(MID(VLOOKUP($B241,Seqs!$A:$B,2,0),AY241,1),"")</f>
        <v>H</v>
      </c>
      <c r="AY241" s="3">
        <v>484</v>
      </c>
      <c r="AZ241" s="77" t="str">
        <f>VLOOKUP(B241,Classification!A:D,2,0)</f>
        <v>A</v>
      </c>
      <c r="BA241" s="94" t="str">
        <f>VLOOKUP(B241,Classification!A:D,4,0)</f>
        <v>Histamine</v>
      </c>
      <c r="BB241" s="27" t="b">
        <f t="shared" si="1008"/>
        <v>1</v>
      </c>
      <c r="BC241" s="23">
        <f t="shared" si="1705"/>
        <v>231</v>
      </c>
      <c r="BD241" s="16" t="s">
        <v>1376</v>
      </c>
      <c r="BE241" s="3" t="s">
        <v>1374</v>
      </c>
      <c r="BF241" s="118">
        <v>3.1</v>
      </c>
      <c r="BG241" s="49" t="s">
        <v>1377</v>
      </c>
      <c r="BH241" s="49" t="s">
        <v>1377</v>
      </c>
      <c r="BI241" s="1"/>
      <c r="BJ241" s="70" t="s">
        <v>1287</v>
      </c>
      <c r="BK241" s="57" t="s">
        <v>1287</v>
      </c>
      <c r="BL241" s="57" t="s">
        <v>1287</v>
      </c>
      <c r="BM241" s="57" t="s">
        <v>1287</v>
      </c>
      <c r="BN241" s="57" t="s">
        <v>1287</v>
      </c>
      <c r="BO241" s="57" t="s">
        <v>1287</v>
      </c>
      <c r="BP241" s="57" t="s">
        <v>1287</v>
      </c>
      <c r="BQ241" s="57" t="s">
        <v>1287</v>
      </c>
      <c r="BR241" s="57" t="s">
        <v>1287</v>
      </c>
      <c r="BS241" s="57" t="s">
        <v>1287</v>
      </c>
      <c r="BT241" s="57" t="s">
        <v>1287</v>
      </c>
      <c r="BU241" s="57" t="s">
        <v>1287</v>
      </c>
      <c r="BV241" s="70">
        <f t="shared" si="1706"/>
        <v>33</v>
      </c>
      <c r="BW241" s="71">
        <f t="shared" si="1707"/>
        <v>56</v>
      </c>
      <c r="BX241" s="72">
        <f t="shared" si="1708"/>
        <v>60</v>
      </c>
      <c r="BY241" s="71">
        <f t="shared" si="1709"/>
        <v>92</v>
      </c>
      <c r="BZ241" s="72">
        <f t="shared" si="1710"/>
        <v>96</v>
      </c>
      <c r="CA241" s="71" t="str">
        <f t="shared" si="1711"/>
        <v>-</v>
      </c>
      <c r="CB241" s="72">
        <f t="shared" si="1712"/>
        <v>140</v>
      </c>
      <c r="CC241" s="71">
        <f t="shared" si="1713"/>
        <v>180</v>
      </c>
      <c r="CD241" s="72">
        <f t="shared" si="1714"/>
        <v>187</v>
      </c>
      <c r="CE241" s="71">
        <f t="shared" si="1715"/>
        <v>408</v>
      </c>
      <c r="CF241" s="72">
        <f t="shared" si="1716"/>
        <v>446</v>
      </c>
      <c r="CG241" s="71">
        <f t="shared" si="1717"/>
        <v>472</v>
      </c>
      <c r="CH241" s="70">
        <f t="shared" si="1718"/>
        <v>55</v>
      </c>
      <c r="CI241" s="71">
        <f t="shared" si="1719"/>
        <v>59</v>
      </c>
      <c r="CJ241" s="72">
        <f t="shared" si="1720"/>
        <v>90</v>
      </c>
      <c r="CK241" s="72">
        <f t="shared" si="1721"/>
        <v>95</v>
      </c>
      <c r="CL241" s="72">
        <f t="shared" si="1722"/>
        <v>131</v>
      </c>
      <c r="CM241" s="72" t="str">
        <f t="shared" si="1723"/>
        <v>-</v>
      </c>
      <c r="CN241" s="72">
        <f t="shared" si="1724"/>
        <v>164</v>
      </c>
      <c r="CO241" s="72">
        <f t="shared" si="1725"/>
        <v>182</v>
      </c>
      <c r="CP241" s="72">
        <f t="shared" si="1726"/>
        <v>217</v>
      </c>
      <c r="CQ241" s="72">
        <f t="shared" si="1727"/>
        <v>441</v>
      </c>
      <c r="CR241" s="72">
        <f t="shared" si="1728"/>
        <v>471</v>
      </c>
      <c r="CS241" s="72">
        <f t="shared" si="1729"/>
        <v>484</v>
      </c>
      <c r="CT241" s="23">
        <f t="shared" si="1730"/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 t="shared" ref="A242:A304" si="1955">CONCATENATE(B242,"_",C242)</f>
        <v>lpar1_human__wt</v>
      </c>
      <c r="B242" s="3" t="s">
        <v>103</v>
      </c>
      <c r="C242" s="3" t="s">
        <v>100</v>
      </c>
      <c r="D242" s="3" t="str">
        <f>IFERROR(MID(VLOOKUP($B242,Seqs!$A:$B,2,0),E242,1),"")</f>
        <v>T</v>
      </c>
      <c r="E242" s="3">
        <v>47</v>
      </c>
      <c r="F242" s="3" t="str">
        <f>IFERROR(MID(VLOOKUP($B242,Seqs!$A:$B,2,0),G242,1),"")</f>
        <v>N</v>
      </c>
      <c r="G242" s="3">
        <v>77</v>
      </c>
      <c r="H242" s="3" t="str">
        <f>IFERROR(MID(VLOOKUP($B242,Seqs!$A:$B,2,0),I242,1),"")</f>
        <v>R</v>
      </c>
      <c r="I242" s="23">
        <v>78</v>
      </c>
      <c r="J242" s="3" t="str">
        <f>IFERROR(MID(VLOOKUP($B242,Seqs!$A:$B,2,0),K242,1),"")</f>
        <v>H</v>
      </c>
      <c r="K242" s="23">
        <v>81</v>
      </c>
      <c r="L242" s="3" t="str">
        <f>IFERROR(MID(VLOOKUP($B242,Seqs!$A:$B,2,0),M242,1),"")</f>
        <v>F</v>
      </c>
      <c r="M242" s="3">
        <v>82</v>
      </c>
      <c r="N242" s="3" t="str">
        <f>IFERROR(MID(VLOOKUP($B242,Seqs!$A:$B,2,0),O242,1),"")</f>
        <v>N</v>
      </c>
      <c r="O242" s="3">
        <v>108</v>
      </c>
      <c r="P242" s="3" t="str">
        <f>IFERROR(MID(VLOOKUP($B242,Seqs!$A:$B,2,0),Q242,1),"")</f>
        <v>G</v>
      </c>
      <c r="Q242" s="3">
        <v>110</v>
      </c>
      <c r="R242" s="3" t="str">
        <f>IFERROR(MID(VLOOKUP($B242,Seqs!$A:$B,2,0),S242,1),"")</f>
        <v>L</v>
      </c>
      <c r="S242" s="3">
        <v>116</v>
      </c>
      <c r="T242" s="3" t="str">
        <f>IFERROR(MID(VLOOKUP($B242,Seqs!$A:$B,2,0),U242,1),"")</f>
        <v>T</v>
      </c>
      <c r="U242" s="3">
        <v>117</v>
      </c>
      <c r="V242" s="3" t="str">
        <f>IFERROR(MID(VLOOKUP($B242,Seqs!$A:$B,2,0),W242,1),"")</f>
        <v>R</v>
      </c>
      <c r="W242" s="3">
        <v>152</v>
      </c>
      <c r="X242" s="3" t="str">
        <f>IFERROR(MID(VLOOKUP($B242,Seqs!$A:$B,2,0),Y242,1),"")</f>
        <v>M</v>
      </c>
      <c r="Y242" s="105">
        <v>153</v>
      </c>
      <c r="Z242" s="3" t="str">
        <f>IFERROR(MID(VLOOKUP($B242,Seqs!$A:$B,2,0),AA242,1),"")</f>
        <v>M</v>
      </c>
      <c r="AA242" s="105">
        <v>159</v>
      </c>
      <c r="AB242" s="3" t="str">
        <f>IFERROR(MID(VLOOKUP($B242,Seqs!$A:$B,2,0),AC242,1),"")</f>
        <v>S</v>
      </c>
      <c r="AC242" s="105">
        <v>160</v>
      </c>
      <c r="AD242" s="3" t="str">
        <f>IFERROR(MID(VLOOKUP($B242,Seqs!$A:$B,2,0),AE242,1),"")</f>
        <v>G</v>
      </c>
      <c r="AE242" s="3">
        <v>185</v>
      </c>
      <c r="AF242" s="3" t="str">
        <f>IFERROR(MID(VLOOKUP($B242,Seqs!$A:$B,2,0),AG242,1),"")</f>
        <v/>
      </c>
      <c r="AG242" s="3" t="s">
        <v>23</v>
      </c>
      <c r="AH242" s="3" t="str">
        <f>IFERROR(MID(VLOOKUP($B242,Seqs!$A:$B,2,0),AI242,1),"")</f>
        <v/>
      </c>
      <c r="AI242" s="3" t="s">
        <v>23</v>
      </c>
      <c r="AJ242" s="3" t="str">
        <f>IFERROR(MID(VLOOKUP($B242,Seqs!$A:$B,2,0),AK242,1),"")</f>
        <v>S</v>
      </c>
      <c r="AK242" s="3">
        <v>203</v>
      </c>
      <c r="AL242" s="3" t="str">
        <f>IFERROR(MID(VLOOKUP($B242,Seqs!$A:$B,2,0),AM242,1),"")</f>
        <v>S</v>
      </c>
      <c r="AM242" s="3">
        <v>240</v>
      </c>
      <c r="AN242" s="3" t="str">
        <f>IFERROR(MID(VLOOKUP($B242,Seqs!$A:$B,2,0),AO242,1),"")</f>
        <v>G</v>
      </c>
      <c r="AO242" s="3">
        <v>245</v>
      </c>
      <c r="AP242" s="3" t="str">
        <f>IFERROR(MID(VLOOKUP($B242,Seqs!$A:$B,2,0),AQ242,1),"")</f>
        <v>C</v>
      </c>
      <c r="AQ242" s="3">
        <v>284</v>
      </c>
      <c r="AR242" s="3" t="str">
        <f>IFERROR(MID(VLOOKUP($B242,Seqs!$A:$B,2,0),AS242,1),"")</f>
        <v>D</v>
      </c>
      <c r="AS242" s="3">
        <v>288</v>
      </c>
      <c r="AT242" s="3" t="str">
        <f>IFERROR(MID(VLOOKUP($B242,Seqs!$A:$B,2,0),AU242,1),"")</f>
        <v>R</v>
      </c>
      <c r="AU242" s="3">
        <v>314</v>
      </c>
      <c r="AV242" s="3" t="str">
        <f>IFERROR(MID(VLOOKUP($B242,Seqs!$A:$B,2,0),AW242,1),"")</f>
        <v>D</v>
      </c>
      <c r="AW242" s="3">
        <v>315</v>
      </c>
      <c r="AX242" s="3" t="str">
        <f>IFERROR(MID(VLOOKUP($B242,Seqs!$A:$B,2,0),AY242,1),"")</f>
        <v>C</v>
      </c>
      <c r="AY242" s="3">
        <v>327</v>
      </c>
      <c r="AZ242" s="77" t="str">
        <f>VLOOKUP(B242,Classification!A:D,2,0)</f>
        <v>A</v>
      </c>
      <c r="BA242" s="94" t="str">
        <f>VLOOKUP(B242,Classification!A:D,4,0)</f>
        <v>Lysophospholipid(LPA)</v>
      </c>
      <c r="BB242" s="27" t="b">
        <f t="shared" ref="BB242:BB304" si="1956"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23">
        <f t="shared" si="1705"/>
        <v>257</v>
      </c>
      <c r="BD242" s="56" t="s">
        <v>23</v>
      </c>
      <c r="BE242" s="3" t="s">
        <v>23</v>
      </c>
      <c r="BF242" s="118" t="s">
        <v>23</v>
      </c>
      <c r="BG242" s="49" t="s">
        <v>1372</v>
      </c>
      <c r="BH242" s="49" t="s">
        <v>1377</v>
      </c>
      <c r="BI242" s="1"/>
      <c r="BJ242" s="70" t="s">
        <v>1287</v>
      </c>
      <c r="BK242" s="57" t="s">
        <v>1287</v>
      </c>
      <c r="BL242" s="57" t="s">
        <v>1287</v>
      </c>
      <c r="BM242" s="57" t="s">
        <v>1287</v>
      </c>
      <c r="BN242" s="57" t="s">
        <v>1287</v>
      </c>
      <c r="BO242" s="57" t="s">
        <v>1287</v>
      </c>
      <c r="BP242" s="57" t="s">
        <v>1287</v>
      </c>
      <c r="BQ242" s="57" t="s">
        <v>1287</v>
      </c>
      <c r="BR242" s="57" t="s">
        <v>1287</v>
      </c>
      <c r="BS242" s="57" t="s">
        <v>1287</v>
      </c>
      <c r="BT242" s="57" t="s">
        <v>1287</v>
      </c>
      <c r="BU242" s="57" t="s">
        <v>1287</v>
      </c>
      <c r="BV242" s="70">
        <f t="shared" si="1706"/>
        <v>47</v>
      </c>
      <c r="BW242" s="71">
        <f t="shared" si="1707"/>
        <v>78</v>
      </c>
      <c r="BX242" s="72">
        <f t="shared" si="1708"/>
        <v>82</v>
      </c>
      <c r="BY242" s="71">
        <f t="shared" si="1709"/>
        <v>110</v>
      </c>
      <c r="BZ242" s="72">
        <f t="shared" si="1710"/>
        <v>117</v>
      </c>
      <c r="CA242" s="71">
        <f t="shared" si="1711"/>
        <v>153</v>
      </c>
      <c r="CB242" s="72">
        <f t="shared" si="1712"/>
        <v>160</v>
      </c>
      <c r="CC242" s="71" t="str">
        <f t="shared" si="1713"/>
        <v>-</v>
      </c>
      <c r="CD242" s="72">
        <f t="shared" si="1714"/>
        <v>203</v>
      </c>
      <c r="CE242" s="71">
        <f t="shared" si="1715"/>
        <v>245</v>
      </c>
      <c r="CF242" s="72">
        <f t="shared" si="1716"/>
        <v>288</v>
      </c>
      <c r="CG242" s="71">
        <f t="shared" si="1717"/>
        <v>315</v>
      </c>
      <c r="CH242" s="70">
        <f t="shared" si="1718"/>
        <v>77</v>
      </c>
      <c r="CI242" s="71">
        <f t="shared" si="1719"/>
        <v>81</v>
      </c>
      <c r="CJ242" s="72">
        <f t="shared" si="1720"/>
        <v>108</v>
      </c>
      <c r="CK242" s="72">
        <f t="shared" si="1721"/>
        <v>116</v>
      </c>
      <c r="CL242" s="72">
        <f t="shared" si="1722"/>
        <v>152</v>
      </c>
      <c r="CM242" s="72">
        <f t="shared" si="1723"/>
        <v>159</v>
      </c>
      <c r="CN242" s="72">
        <f t="shared" si="1724"/>
        <v>185</v>
      </c>
      <c r="CO242" s="72" t="str">
        <f t="shared" si="1725"/>
        <v>-</v>
      </c>
      <c r="CP242" s="72">
        <f t="shared" si="1726"/>
        <v>240</v>
      </c>
      <c r="CQ242" s="72">
        <f t="shared" si="1727"/>
        <v>284</v>
      </c>
      <c r="CR242" s="72">
        <f t="shared" si="1728"/>
        <v>314</v>
      </c>
      <c r="CS242" s="72">
        <f t="shared" si="1729"/>
        <v>327</v>
      </c>
      <c r="CT242" s="23">
        <f t="shared" si="1730"/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 t="shared" si="1955"/>
        <v>lpar1_human_4Z34</v>
      </c>
      <c r="B243" s="3" t="s">
        <v>103</v>
      </c>
      <c r="C243" s="3" t="s">
        <v>1056</v>
      </c>
      <c r="D243" s="3" t="str">
        <f>IFERROR(MID(VLOOKUP($B243,Seqs!$A:$B,2,0),E243,1),"")</f>
        <v>T</v>
      </c>
      <c r="E243" s="3">
        <v>47</v>
      </c>
      <c r="F243" s="3" t="str">
        <f>IFERROR(MID(VLOOKUP($B243,Seqs!$A:$B,2,0),G243,1),"")</f>
        <v>N</v>
      </c>
      <c r="G243" s="3">
        <v>77</v>
      </c>
      <c r="H243" s="3" t="str">
        <f>IFERROR(MID(VLOOKUP($B243,Seqs!$A:$B,2,0),I243,1),"")</f>
        <v>R</v>
      </c>
      <c r="I243" s="23">
        <v>78</v>
      </c>
      <c r="J243" s="3" t="str">
        <f>IFERROR(MID(VLOOKUP($B243,Seqs!$A:$B,2,0),K243,1),"")</f>
        <v>H</v>
      </c>
      <c r="K243" s="23">
        <v>81</v>
      </c>
      <c r="L243" s="3" t="str">
        <f>IFERROR(MID(VLOOKUP($B243,Seqs!$A:$B,2,0),M243,1),"")</f>
        <v>F</v>
      </c>
      <c r="M243" s="3">
        <v>82</v>
      </c>
      <c r="N243" s="3" t="str">
        <f>IFERROR(MID(VLOOKUP($B243,Seqs!$A:$B,2,0),O243,1),"")</f>
        <v>N</v>
      </c>
      <c r="O243" s="3">
        <v>108</v>
      </c>
      <c r="P243" s="3" t="str">
        <f>IFERROR(MID(VLOOKUP($B243,Seqs!$A:$B,2,0),Q243,1),"")</f>
        <v>G</v>
      </c>
      <c r="Q243" s="3">
        <v>110</v>
      </c>
      <c r="R243" s="3" t="str">
        <f>IFERROR(MID(VLOOKUP($B243,Seqs!$A:$B,2,0),S243,1),"")</f>
        <v>L</v>
      </c>
      <c r="S243" s="3">
        <v>116</v>
      </c>
      <c r="T243" s="3" t="str">
        <f>IFERROR(MID(VLOOKUP($B243,Seqs!$A:$B,2,0),U243,1),"")</f>
        <v>T</v>
      </c>
      <c r="U243" s="3">
        <v>117</v>
      </c>
      <c r="V243" s="3" t="str">
        <f>IFERROR(MID(VLOOKUP($B243,Seqs!$A:$B,2,0),W243,1),"")</f>
        <v>R</v>
      </c>
      <c r="W243" s="3">
        <v>152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T</v>
      </c>
      <c r="AC243" s="9">
        <v>157</v>
      </c>
      <c r="AD243" s="3" t="str">
        <f>IFERROR(MID(VLOOKUP($B243,Seqs!$A:$B,2,0),AE243,1),"")</f>
        <v>G</v>
      </c>
      <c r="AE243" s="3">
        <v>185</v>
      </c>
      <c r="AF243" s="3" t="str">
        <f>IFERROR(MID(VLOOKUP($B243,Seqs!$A:$B,2,0),AG243,1),"")</f>
        <v/>
      </c>
      <c r="AG243" s="3" t="s">
        <v>23</v>
      </c>
      <c r="AH243" s="3" t="str">
        <f>IFERROR(MID(VLOOKUP($B243,Seqs!$A:$B,2,0),AI243,1),"")</f>
        <v/>
      </c>
      <c r="AI243" s="3" t="s">
        <v>23</v>
      </c>
      <c r="AJ243" s="3" t="str">
        <f>IFERROR(MID(VLOOKUP($B243,Seqs!$A:$B,2,0),AK243,1),"")</f>
        <v>S</v>
      </c>
      <c r="AK243" s="3">
        <v>203</v>
      </c>
      <c r="AL243" s="3" t="str">
        <f>IFERROR(MID(VLOOKUP($B243,Seqs!$A:$B,2,0),AM243,1),"")</f>
        <v>R</v>
      </c>
      <c r="AM243" s="3">
        <v>235</v>
      </c>
      <c r="AN243" s="3" t="str">
        <f>IFERROR(MID(VLOOKUP($B243,Seqs!$A:$B,2,0),AO243,1),"")</f>
        <v>G</v>
      </c>
      <c r="AO243" s="3">
        <v>245</v>
      </c>
      <c r="AP243" s="3" t="str">
        <f>IFERROR(MID(VLOOKUP($B243,Seqs!$A:$B,2,0),AQ243,1),"")</f>
        <v>C</v>
      </c>
      <c r="AQ243" s="3">
        <v>284</v>
      </c>
      <c r="AR243" s="3" t="str">
        <f>IFERROR(MID(VLOOKUP($B243,Seqs!$A:$B,2,0),AS243,1),"")</f>
        <v>E</v>
      </c>
      <c r="AS243" s="3">
        <v>293</v>
      </c>
      <c r="AT243" s="3" t="str">
        <f>IFERROR(MID(VLOOKUP($B243,Seqs!$A:$B,2,0),AU243,1),"")</f>
        <v>R</v>
      </c>
      <c r="AU243" s="3">
        <v>314</v>
      </c>
      <c r="AV243" s="3" t="str">
        <f>IFERROR(MID(VLOOKUP($B243,Seqs!$A:$B,2,0),AW243,1),"")</f>
        <v>D</v>
      </c>
      <c r="AW243" s="3">
        <v>315</v>
      </c>
      <c r="AX243" s="3" t="str">
        <f>IFERROR(MID(VLOOKUP($B243,Seqs!$A:$B,2,0),AY243,1),"")</f>
        <v>C</v>
      </c>
      <c r="AY243" s="3">
        <v>327</v>
      </c>
      <c r="AZ243" s="77" t="str">
        <f>VLOOKUP(B243,Classification!A:D,2,0)</f>
        <v>A</v>
      </c>
      <c r="BA243" s="94" t="str">
        <f>VLOOKUP(B243,Classification!A:D,4,0)</f>
        <v>Lysophospholipid(LPA)</v>
      </c>
      <c r="BB243" s="27" t="b">
        <f t="shared" si="1956"/>
        <v>1</v>
      </c>
      <c r="BC243" s="23">
        <f t="shared" si="1705"/>
        <v>244</v>
      </c>
      <c r="BD243" s="16" t="s">
        <v>23</v>
      </c>
      <c r="BE243" s="3" t="s">
        <v>1374</v>
      </c>
      <c r="BF243" s="118">
        <v>3</v>
      </c>
      <c r="BG243" s="49" t="s">
        <v>1377</v>
      </c>
      <c r="BH243" s="49" t="s">
        <v>1377</v>
      </c>
      <c r="BI243" s="1"/>
      <c r="BJ243" s="70" t="s">
        <v>1287</v>
      </c>
      <c r="BK243" s="57" t="s">
        <v>1287</v>
      </c>
      <c r="BL243" s="57" t="s">
        <v>1287</v>
      </c>
      <c r="BM243" s="57" t="s">
        <v>1287</v>
      </c>
      <c r="BN243" s="57" t="s">
        <v>1287</v>
      </c>
      <c r="BO243" s="57" t="s">
        <v>1287</v>
      </c>
      <c r="BP243" s="57" t="s">
        <v>1287</v>
      </c>
      <c r="BQ243" s="57" t="s">
        <v>1287</v>
      </c>
      <c r="BR243" s="57" t="s">
        <v>1287</v>
      </c>
      <c r="BS243" s="57" t="s">
        <v>1287</v>
      </c>
      <c r="BT243" s="57" t="s">
        <v>1287</v>
      </c>
      <c r="BU243" s="57" t="s">
        <v>1287</v>
      </c>
      <c r="BV243" s="70">
        <f t="shared" si="1706"/>
        <v>47</v>
      </c>
      <c r="BW243" s="71">
        <f t="shared" si="1707"/>
        <v>78</v>
      </c>
      <c r="BX243" s="72">
        <f t="shared" si="1708"/>
        <v>82</v>
      </c>
      <c r="BY243" s="71">
        <f t="shared" si="1709"/>
        <v>110</v>
      </c>
      <c r="BZ243" s="72">
        <f t="shared" si="1710"/>
        <v>117</v>
      </c>
      <c r="CA243" s="71" t="str">
        <f t="shared" si="1711"/>
        <v>-</v>
      </c>
      <c r="CB243" s="72">
        <f t="shared" si="1712"/>
        <v>157</v>
      </c>
      <c r="CC243" s="71" t="str">
        <f t="shared" si="1713"/>
        <v>-</v>
      </c>
      <c r="CD243" s="72">
        <f t="shared" si="1714"/>
        <v>203</v>
      </c>
      <c r="CE243" s="71">
        <f t="shared" si="1715"/>
        <v>245</v>
      </c>
      <c r="CF243" s="72">
        <f t="shared" si="1716"/>
        <v>293</v>
      </c>
      <c r="CG243" s="71">
        <f t="shared" si="1717"/>
        <v>315</v>
      </c>
      <c r="CH243" s="70">
        <f t="shared" si="1718"/>
        <v>77</v>
      </c>
      <c r="CI243" s="71">
        <f t="shared" si="1719"/>
        <v>81</v>
      </c>
      <c r="CJ243" s="72">
        <f t="shared" si="1720"/>
        <v>108</v>
      </c>
      <c r="CK243" s="72">
        <f t="shared" si="1721"/>
        <v>116</v>
      </c>
      <c r="CL243" s="72">
        <f t="shared" si="1722"/>
        <v>152</v>
      </c>
      <c r="CM243" s="72" t="str">
        <f t="shared" si="1723"/>
        <v>-</v>
      </c>
      <c r="CN243" s="72">
        <f t="shared" si="1724"/>
        <v>185</v>
      </c>
      <c r="CO243" s="72" t="str">
        <f t="shared" si="1725"/>
        <v>-</v>
      </c>
      <c r="CP243" s="72">
        <f t="shared" si="1726"/>
        <v>235</v>
      </c>
      <c r="CQ243" s="72">
        <f t="shared" si="1727"/>
        <v>284</v>
      </c>
      <c r="CR243" s="72">
        <f t="shared" si="1728"/>
        <v>314</v>
      </c>
      <c r="CS243" s="72">
        <f t="shared" si="1729"/>
        <v>327</v>
      </c>
      <c r="CT243" s="23">
        <f t="shared" si="1730"/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 t="shared" si="1955"/>
        <v>lpar1_human_4Z35</v>
      </c>
      <c r="B244" s="3" t="s">
        <v>103</v>
      </c>
      <c r="C244" s="3" t="s">
        <v>89</v>
      </c>
      <c r="D244" s="3" t="str">
        <f>IFERROR(MID(VLOOKUP($B244,Seqs!$A:$B,2,0),E244,1),"")</f>
        <v>T</v>
      </c>
      <c r="E244" s="3">
        <v>47</v>
      </c>
      <c r="F244" s="3" t="str">
        <f>IFERROR(MID(VLOOKUP($B244,Seqs!$A:$B,2,0),G244,1),"")</f>
        <v>N</v>
      </c>
      <c r="G244" s="3">
        <v>77</v>
      </c>
      <c r="H244" s="3" t="str">
        <f>IFERROR(MID(VLOOKUP($B244,Seqs!$A:$B,2,0),I244,1),"")</f>
        <v>R</v>
      </c>
      <c r="I244" s="23">
        <v>78</v>
      </c>
      <c r="J244" s="3" t="str">
        <f>IFERROR(MID(VLOOKUP($B244,Seqs!$A:$B,2,0),K244,1),"")</f>
        <v>H</v>
      </c>
      <c r="K244" s="23">
        <v>81</v>
      </c>
      <c r="L244" s="3" t="str">
        <f>IFERROR(MID(VLOOKUP($B244,Seqs!$A:$B,2,0),M244,1),"")</f>
        <v>F</v>
      </c>
      <c r="M244" s="3">
        <v>82</v>
      </c>
      <c r="N244" s="3" t="str">
        <f>IFERROR(MID(VLOOKUP($B244,Seqs!$A:$B,2,0),O244,1),"")</f>
        <v>N</v>
      </c>
      <c r="O244" s="3">
        <v>108</v>
      </c>
      <c r="P244" s="3" t="str">
        <f>IFERROR(MID(VLOOKUP($B244,Seqs!$A:$B,2,0),Q244,1),"")</f>
        <v>G</v>
      </c>
      <c r="Q244" s="3">
        <v>110</v>
      </c>
      <c r="R244" s="3" t="str">
        <f>IFERROR(MID(VLOOKUP($B244,Seqs!$A:$B,2,0),S244,1),"")</f>
        <v>L</v>
      </c>
      <c r="S244" s="3">
        <v>116</v>
      </c>
      <c r="T244" s="3" t="str">
        <f>IFERROR(MID(VLOOKUP($B244,Seqs!$A:$B,2,0),U244,1),"")</f>
        <v>T</v>
      </c>
      <c r="U244" s="3">
        <v>117</v>
      </c>
      <c r="V244" s="3" t="str">
        <f>IFERROR(MID(VLOOKUP($B244,Seqs!$A:$B,2,0),W244,1),"")</f>
        <v>R</v>
      </c>
      <c r="W244" s="3">
        <v>152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T</v>
      </c>
      <c r="AC244" s="9">
        <v>157</v>
      </c>
      <c r="AD244" s="3" t="str">
        <f>IFERROR(MID(VLOOKUP($B244,Seqs!$A:$B,2,0),AE244,1),"")</f>
        <v>G</v>
      </c>
      <c r="AE244" s="3">
        <v>185</v>
      </c>
      <c r="AF244" s="3" t="str">
        <f>IFERROR(MID(VLOOKUP($B244,Seqs!$A:$B,2,0),AG244,1),"")</f>
        <v/>
      </c>
      <c r="AG244" s="3" t="s">
        <v>23</v>
      </c>
      <c r="AH244" s="3" t="str">
        <f>IFERROR(MID(VLOOKUP($B244,Seqs!$A:$B,2,0),AI244,1),"")</f>
        <v/>
      </c>
      <c r="AI244" s="3" t="s">
        <v>23</v>
      </c>
      <c r="AJ244" s="3" t="str">
        <f>IFERROR(MID(VLOOKUP($B244,Seqs!$A:$B,2,0),AK244,1),"")</f>
        <v>S</v>
      </c>
      <c r="AK244" s="3">
        <v>203</v>
      </c>
      <c r="AL244" s="3" t="str">
        <f>IFERROR(MID(VLOOKUP($B244,Seqs!$A:$B,2,0),AM244,1),"")</f>
        <v>R</v>
      </c>
      <c r="AM244" s="3">
        <v>235</v>
      </c>
      <c r="AN244" s="3" t="str">
        <f>IFERROR(MID(VLOOKUP($B244,Seqs!$A:$B,2,0),AO244,1),"")</f>
        <v>G</v>
      </c>
      <c r="AO244" s="3">
        <v>245</v>
      </c>
      <c r="AP244" s="3" t="str">
        <f>IFERROR(MID(VLOOKUP($B244,Seqs!$A:$B,2,0),AQ244,1),"")</f>
        <v>C</v>
      </c>
      <c r="AQ244" s="3">
        <v>284</v>
      </c>
      <c r="AR244" s="3" t="str">
        <f>IFERROR(MID(VLOOKUP($B244,Seqs!$A:$B,2,0),AS244,1),"")</f>
        <v>E</v>
      </c>
      <c r="AS244" s="3">
        <v>293</v>
      </c>
      <c r="AT244" s="3" t="str">
        <f>IFERROR(MID(VLOOKUP($B244,Seqs!$A:$B,2,0),AU244,1),"")</f>
        <v>R</v>
      </c>
      <c r="AU244" s="3">
        <v>314</v>
      </c>
      <c r="AV244" s="3" t="str">
        <f>IFERROR(MID(VLOOKUP($B244,Seqs!$A:$B,2,0),AW244,1),"")</f>
        <v>D</v>
      </c>
      <c r="AW244" s="3">
        <v>315</v>
      </c>
      <c r="AX244" s="3" t="str">
        <f>IFERROR(MID(VLOOKUP($B244,Seqs!$A:$B,2,0),AY244,1),"")</f>
        <v>C</v>
      </c>
      <c r="AY244" s="3">
        <v>327</v>
      </c>
      <c r="AZ244" s="77" t="str">
        <f>VLOOKUP(B244,Classification!A:D,2,0)</f>
        <v>A</v>
      </c>
      <c r="BA244" s="94" t="str">
        <f>VLOOKUP(B244,Classification!A:D,4,0)</f>
        <v>Lysophospholipid(LPA)</v>
      </c>
      <c r="BB244" s="27" t="b">
        <f t="shared" si="1956"/>
        <v>1</v>
      </c>
      <c r="BC244" s="23">
        <f t="shared" si="1705"/>
        <v>244</v>
      </c>
      <c r="BD244" s="5" t="s">
        <v>1376</v>
      </c>
      <c r="BE244" s="3" t="s">
        <v>1374</v>
      </c>
      <c r="BF244" s="118">
        <v>2.9</v>
      </c>
      <c r="BG244" s="49" t="s">
        <v>1377</v>
      </c>
      <c r="BH244" s="49" t="s">
        <v>1377</v>
      </c>
      <c r="BI244" s="1"/>
      <c r="BJ244" s="70" t="s">
        <v>1287</v>
      </c>
      <c r="BK244" s="57" t="s">
        <v>1287</v>
      </c>
      <c r="BL244" s="57" t="s">
        <v>1287</v>
      </c>
      <c r="BM244" s="57" t="s">
        <v>1287</v>
      </c>
      <c r="BN244" s="57" t="s">
        <v>1287</v>
      </c>
      <c r="BO244" s="57" t="s">
        <v>1287</v>
      </c>
      <c r="BP244" s="57" t="s">
        <v>1287</v>
      </c>
      <c r="BQ244" s="57" t="s">
        <v>1287</v>
      </c>
      <c r="BR244" s="57" t="s">
        <v>1287</v>
      </c>
      <c r="BS244" s="57" t="s">
        <v>1287</v>
      </c>
      <c r="BT244" s="57" t="s">
        <v>1287</v>
      </c>
      <c r="BU244" s="57" t="s">
        <v>1287</v>
      </c>
      <c r="BV244" s="70">
        <f t="shared" si="1706"/>
        <v>47</v>
      </c>
      <c r="BW244" s="71">
        <f t="shared" si="1707"/>
        <v>78</v>
      </c>
      <c r="BX244" s="72">
        <f t="shared" si="1708"/>
        <v>82</v>
      </c>
      <c r="BY244" s="71">
        <f t="shared" si="1709"/>
        <v>110</v>
      </c>
      <c r="BZ244" s="72">
        <f t="shared" si="1710"/>
        <v>117</v>
      </c>
      <c r="CA244" s="71" t="str">
        <f t="shared" si="1711"/>
        <v>-</v>
      </c>
      <c r="CB244" s="72">
        <f t="shared" si="1712"/>
        <v>157</v>
      </c>
      <c r="CC244" s="71" t="str">
        <f t="shared" si="1713"/>
        <v>-</v>
      </c>
      <c r="CD244" s="72">
        <f t="shared" si="1714"/>
        <v>203</v>
      </c>
      <c r="CE244" s="71">
        <f t="shared" si="1715"/>
        <v>245</v>
      </c>
      <c r="CF244" s="72">
        <f t="shared" si="1716"/>
        <v>293</v>
      </c>
      <c r="CG244" s="71">
        <f t="shared" si="1717"/>
        <v>315</v>
      </c>
      <c r="CH244" s="70">
        <f t="shared" si="1718"/>
        <v>77</v>
      </c>
      <c r="CI244" s="71">
        <f t="shared" si="1719"/>
        <v>81</v>
      </c>
      <c r="CJ244" s="72">
        <f t="shared" si="1720"/>
        <v>108</v>
      </c>
      <c r="CK244" s="72">
        <f t="shared" si="1721"/>
        <v>116</v>
      </c>
      <c r="CL244" s="72">
        <f t="shared" si="1722"/>
        <v>152</v>
      </c>
      <c r="CM244" s="72" t="str">
        <f t="shared" si="1723"/>
        <v>-</v>
      </c>
      <c r="CN244" s="72">
        <f t="shared" si="1724"/>
        <v>185</v>
      </c>
      <c r="CO244" s="72" t="str">
        <f t="shared" si="1725"/>
        <v>-</v>
      </c>
      <c r="CP244" s="72">
        <f t="shared" si="1726"/>
        <v>235</v>
      </c>
      <c r="CQ244" s="72">
        <f t="shared" si="1727"/>
        <v>284</v>
      </c>
      <c r="CR244" s="72">
        <f t="shared" si="1728"/>
        <v>314</v>
      </c>
      <c r="CS244" s="72">
        <f t="shared" si="1729"/>
        <v>327</v>
      </c>
      <c r="CT244" s="23">
        <f t="shared" si="1730"/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x14ac:dyDescent="0.2">
      <c r="A245" s="3" t="str">
        <f t="shared" si="1955"/>
        <v>lpar1_human_4Z36</v>
      </c>
      <c r="B245" s="3" t="s">
        <v>103</v>
      </c>
      <c r="C245" s="3" t="s">
        <v>1057</v>
      </c>
      <c r="D245" s="3" t="str">
        <f>IFERROR(MID(VLOOKUP($B245,Seqs!$A:$B,2,0),E245,1),"")</f>
        <v>T</v>
      </c>
      <c r="E245" s="3">
        <v>47</v>
      </c>
      <c r="F245" s="3" t="str">
        <f>IFERROR(MID(VLOOKUP($B245,Seqs!$A:$B,2,0),G245,1),"")</f>
        <v>N</v>
      </c>
      <c r="G245" s="3">
        <v>77</v>
      </c>
      <c r="H245" s="3" t="str">
        <f>IFERROR(MID(VLOOKUP($B245,Seqs!$A:$B,2,0),I245,1),"")</f>
        <v>R</v>
      </c>
      <c r="I245" s="23">
        <v>78</v>
      </c>
      <c r="J245" s="3" t="str">
        <f>IFERROR(MID(VLOOKUP($B245,Seqs!$A:$B,2,0),K245,1),"")</f>
        <v>H</v>
      </c>
      <c r="K245" s="23">
        <v>81</v>
      </c>
      <c r="L245" s="3" t="str">
        <f>IFERROR(MID(VLOOKUP($B245,Seqs!$A:$B,2,0),M245,1),"")</f>
        <v>F</v>
      </c>
      <c r="M245" s="3">
        <v>82</v>
      </c>
      <c r="N245" s="3" t="str">
        <f>IFERROR(MID(VLOOKUP($B245,Seqs!$A:$B,2,0),O245,1),"")</f>
        <v>N</v>
      </c>
      <c r="O245" s="3">
        <v>108</v>
      </c>
      <c r="P245" s="3" t="str">
        <f>IFERROR(MID(VLOOKUP($B245,Seqs!$A:$B,2,0),Q245,1),"")</f>
        <v>G</v>
      </c>
      <c r="Q245" s="3">
        <v>110</v>
      </c>
      <c r="R245" s="3" t="str">
        <f>IFERROR(MID(VLOOKUP($B245,Seqs!$A:$B,2,0),S245,1),"")</f>
        <v>L</v>
      </c>
      <c r="S245" s="3">
        <v>116</v>
      </c>
      <c r="T245" s="3" t="str">
        <f>IFERROR(MID(VLOOKUP($B245,Seqs!$A:$B,2,0),U245,1),"")</f>
        <v>T</v>
      </c>
      <c r="U245" s="3">
        <v>117</v>
      </c>
      <c r="V245" s="3" t="str">
        <f>IFERROR(MID(VLOOKUP($B245,Seqs!$A:$B,2,0),W245,1),"")</f>
        <v>R</v>
      </c>
      <c r="W245" s="3">
        <v>152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T</v>
      </c>
      <c r="AC245" s="9">
        <v>157</v>
      </c>
      <c r="AD245" s="3" t="str">
        <f>IFERROR(MID(VLOOKUP($B245,Seqs!$A:$B,2,0),AE245,1),"")</f>
        <v>G</v>
      </c>
      <c r="AE245" s="3">
        <v>185</v>
      </c>
      <c r="AF245" s="3" t="str">
        <f>IFERROR(MID(VLOOKUP($B245,Seqs!$A:$B,2,0),AG245,1),"")</f>
        <v/>
      </c>
      <c r="AG245" s="3" t="s">
        <v>23</v>
      </c>
      <c r="AH245" s="3" t="str">
        <f>IFERROR(MID(VLOOKUP($B245,Seqs!$A:$B,2,0),AI245,1),"")</f>
        <v/>
      </c>
      <c r="AI245" s="3" t="s">
        <v>23</v>
      </c>
      <c r="AJ245" s="3" t="str">
        <f>IFERROR(MID(VLOOKUP($B245,Seqs!$A:$B,2,0),AK245,1),"")</f>
        <v>S</v>
      </c>
      <c r="AK245" s="3">
        <v>203</v>
      </c>
      <c r="AL245" s="3" t="str">
        <f>IFERROR(MID(VLOOKUP($B245,Seqs!$A:$B,2,0),AM245,1),"")</f>
        <v>R</v>
      </c>
      <c r="AM245" s="3">
        <v>235</v>
      </c>
      <c r="AN245" s="3" t="str">
        <f>IFERROR(MID(VLOOKUP($B245,Seqs!$A:$B,2,0),AO245,1),"")</f>
        <v>G</v>
      </c>
      <c r="AO245" s="3">
        <v>245</v>
      </c>
      <c r="AP245" s="3" t="str">
        <f>IFERROR(MID(VLOOKUP($B245,Seqs!$A:$B,2,0),AQ245,1),"")</f>
        <v>C</v>
      </c>
      <c r="AQ245" s="3">
        <v>284</v>
      </c>
      <c r="AR245" s="3" t="str">
        <f>IFERROR(MID(VLOOKUP($B245,Seqs!$A:$B,2,0),AS245,1),"")</f>
        <v>E</v>
      </c>
      <c r="AS245" s="3">
        <v>293</v>
      </c>
      <c r="AT245" s="3" t="str">
        <f>IFERROR(MID(VLOOKUP($B245,Seqs!$A:$B,2,0),AU245,1),"")</f>
        <v>R</v>
      </c>
      <c r="AU245" s="3">
        <v>314</v>
      </c>
      <c r="AV245" s="3" t="str">
        <f>IFERROR(MID(VLOOKUP($B245,Seqs!$A:$B,2,0),AW245,1),"")</f>
        <v>D</v>
      </c>
      <c r="AW245" s="3">
        <v>315</v>
      </c>
      <c r="AX245" s="3" t="str">
        <f>IFERROR(MID(VLOOKUP($B245,Seqs!$A:$B,2,0),AY245,1),"")</f>
        <v>C</v>
      </c>
      <c r="AY245" s="3">
        <v>327</v>
      </c>
      <c r="AZ245" s="77" t="str">
        <f>VLOOKUP(B245,Classification!A:D,2,0)</f>
        <v>A</v>
      </c>
      <c r="BA245" s="94" t="str">
        <f>VLOOKUP(B245,Classification!A:D,4,0)</f>
        <v>Lysophospholipid(LPA)</v>
      </c>
      <c r="BB245" s="27" t="b">
        <f t="shared" si="1956"/>
        <v>1</v>
      </c>
      <c r="BC245" s="23">
        <f t="shared" si="1705"/>
        <v>244</v>
      </c>
      <c r="BD245" s="5" t="s">
        <v>23</v>
      </c>
      <c r="BE245" s="3" t="s">
        <v>1374</v>
      </c>
      <c r="BF245" s="118">
        <v>2.9</v>
      </c>
      <c r="BG245" s="49" t="s">
        <v>1377</v>
      </c>
      <c r="BH245" s="49" t="s">
        <v>1377</v>
      </c>
      <c r="BI245" s="1"/>
      <c r="BJ245" s="70" t="s">
        <v>1287</v>
      </c>
      <c r="BK245" s="57" t="s">
        <v>1287</v>
      </c>
      <c r="BL245" s="57" t="s">
        <v>1287</v>
      </c>
      <c r="BM245" s="57" t="s">
        <v>1287</v>
      </c>
      <c r="BN245" s="57" t="s">
        <v>1287</v>
      </c>
      <c r="BO245" s="57" t="s">
        <v>1287</v>
      </c>
      <c r="BP245" s="57" t="s">
        <v>1287</v>
      </c>
      <c r="BQ245" s="57" t="s">
        <v>1287</v>
      </c>
      <c r="BR245" s="57" t="s">
        <v>1287</v>
      </c>
      <c r="BS245" s="57" t="s">
        <v>1287</v>
      </c>
      <c r="BT245" s="57" t="s">
        <v>1287</v>
      </c>
      <c r="BU245" s="57" t="s">
        <v>1287</v>
      </c>
      <c r="BV245" s="70">
        <f t="shared" si="1706"/>
        <v>47</v>
      </c>
      <c r="BW245" s="71">
        <f t="shared" si="1707"/>
        <v>78</v>
      </c>
      <c r="BX245" s="72">
        <f t="shared" si="1708"/>
        <v>82</v>
      </c>
      <c r="BY245" s="71">
        <f t="shared" si="1709"/>
        <v>110</v>
      </c>
      <c r="BZ245" s="72">
        <f t="shared" si="1710"/>
        <v>117</v>
      </c>
      <c r="CA245" s="71" t="str">
        <f t="shared" si="1711"/>
        <v>-</v>
      </c>
      <c r="CB245" s="72">
        <f t="shared" si="1712"/>
        <v>157</v>
      </c>
      <c r="CC245" s="71" t="str">
        <f t="shared" si="1713"/>
        <v>-</v>
      </c>
      <c r="CD245" s="72">
        <f t="shared" si="1714"/>
        <v>203</v>
      </c>
      <c r="CE245" s="71">
        <f t="shared" si="1715"/>
        <v>245</v>
      </c>
      <c r="CF245" s="72">
        <f t="shared" si="1716"/>
        <v>293</v>
      </c>
      <c r="CG245" s="71">
        <f t="shared" si="1717"/>
        <v>315</v>
      </c>
      <c r="CH245" s="70">
        <f t="shared" si="1718"/>
        <v>77</v>
      </c>
      <c r="CI245" s="71">
        <f t="shared" si="1719"/>
        <v>81</v>
      </c>
      <c r="CJ245" s="72">
        <f t="shared" si="1720"/>
        <v>108</v>
      </c>
      <c r="CK245" s="72">
        <f t="shared" si="1721"/>
        <v>116</v>
      </c>
      <c r="CL245" s="72">
        <f t="shared" si="1722"/>
        <v>152</v>
      </c>
      <c r="CM245" s="72" t="str">
        <f t="shared" si="1723"/>
        <v>-</v>
      </c>
      <c r="CN245" s="72">
        <f t="shared" si="1724"/>
        <v>185</v>
      </c>
      <c r="CO245" s="72" t="str">
        <f t="shared" si="1725"/>
        <v>-</v>
      </c>
      <c r="CP245" s="72">
        <f t="shared" si="1726"/>
        <v>235</v>
      </c>
      <c r="CQ245" s="72">
        <f t="shared" si="1727"/>
        <v>284</v>
      </c>
      <c r="CR245" s="72">
        <f t="shared" si="1728"/>
        <v>314</v>
      </c>
      <c r="CS245" s="72">
        <f t="shared" si="1729"/>
        <v>327</v>
      </c>
      <c r="CT245" s="23">
        <f t="shared" si="1730"/>
        <v>1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29" x14ac:dyDescent="0.2">
      <c r="A246" s="3" t="str">
        <f t="shared" ref="A246:A247" si="1957">CONCATENATE(B246,"_",C246)</f>
        <v>mtr1a_human__wt</v>
      </c>
      <c r="B246" s="3" t="s">
        <v>311</v>
      </c>
      <c r="C246" s="3" t="s">
        <v>100</v>
      </c>
      <c r="D246" s="3" t="str">
        <f>IFERROR(MID(VLOOKUP($B246,Seqs!$A:$B,2,0),E246,1),"")</f>
        <v>P</v>
      </c>
      <c r="E246" s="3">
        <v>23</v>
      </c>
      <c r="F246" s="3" t="str">
        <f>IFERROR(MID(VLOOKUP($B246,Seqs!$A:$B,2,0),G246,1),"")</f>
        <v>N</v>
      </c>
      <c r="G246" s="3">
        <v>55</v>
      </c>
      <c r="H246" s="3" t="str">
        <f>IFERROR(MID(VLOOKUP($B246,Seqs!$A:$B,2,0),I246,1),"")</f>
        <v>K</v>
      </c>
      <c r="I246" s="23">
        <v>56</v>
      </c>
      <c r="J246" s="3" t="str">
        <f>IFERROR(MID(VLOOKUP($B246,Seqs!$A:$B,2,0),K246,1),"")</f>
        <v>R</v>
      </c>
      <c r="K246" s="23">
        <v>59</v>
      </c>
      <c r="L246" s="3" t="str">
        <f>IFERROR(MID(VLOOKUP($B246,Seqs!$A:$B,2,0),M246,1),"")</f>
        <v>N</v>
      </c>
      <c r="M246" s="3">
        <v>60</v>
      </c>
      <c r="N246" s="3" t="str">
        <f>IFERROR(MID(VLOOKUP($B246,Seqs!$A:$B,2,0),O246,1),"")</f>
        <v>N</v>
      </c>
      <c r="O246" s="3">
        <v>91</v>
      </c>
      <c r="P246" s="3" t="str">
        <f>IFERROR(MID(VLOOKUP($B246,Seqs!$A:$B,2,0),Q246,1),"")</f>
        <v>G</v>
      </c>
      <c r="Q246" s="3">
        <v>92</v>
      </c>
      <c r="R246" s="3" t="str">
        <f>IFERROR(MID(VLOOKUP($B246,Seqs!$A:$B,2,0),S246,1),"")</f>
        <v>L</v>
      </c>
      <c r="S246" s="3">
        <v>95</v>
      </c>
      <c r="T246" s="3" t="str">
        <f>IFERROR(MID(VLOOKUP($B246,Seqs!$A:$B,2,0),U246,1),"")</f>
        <v>G</v>
      </c>
      <c r="U246" s="3">
        <v>96</v>
      </c>
      <c r="V246" s="3" t="str">
        <f>IFERROR(MID(VLOOKUP($B246,Seqs!$A:$B,2,0),W246,1),"")</f>
        <v>H</v>
      </c>
      <c r="W246" s="3">
        <v>131</v>
      </c>
      <c r="X246" s="3" t="str">
        <f>IFERROR(MID(VLOOKUP($B246,Seqs!$A:$B,2,0),Y246,1),"")</f>
        <v>S</v>
      </c>
      <c r="Y246" s="3">
        <v>132</v>
      </c>
      <c r="Z246" s="3" t="str">
        <f>IFERROR(MID(VLOOKUP($B246,Seqs!$A:$B,2,0),AA246,1),"")</f>
        <v>Y</v>
      </c>
      <c r="AA246" s="3">
        <v>139</v>
      </c>
      <c r="AB246" s="3" t="str">
        <f>IFERROR(MID(VLOOKUP($B246,Seqs!$A:$B,2,0),AC246,1),"")</f>
        <v>S</v>
      </c>
      <c r="AC246" s="3">
        <v>140</v>
      </c>
      <c r="AD246" s="3" t="str">
        <f>IFERROR(MID(VLOOKUP($B246,Seqs!$A:$B,2,0),AE246,1),"")</f>
        <v>G</v>
      </c>
      <c r="AE246" s="3">
        <v>166</v>
      </c>
      <c r="AF246" s="3" t="str">
        <f>IFERROR(MID(VLOOKUP($B246,Seqs!$A:$B,2,0),AG246,1),"")</f>
        <v>C</v>
      </c>
      <c r="AG246" s="3">
        <v>177</v>
      </c>
      <c r="AH246" s="3" t="str">
        <f>IFERROR(MID(VLOOKUP($B246,Seqs!$A:$B,2,0),AI246,1),"")</f>
        <v>F</v>
      </c>
      <c r="AI246" s="3">
        <v>179</v>
      </c>
      <c r="AJ246" s="3" t="str">
        <f>IFERROR(MID(VLOOKUP($B246,Seqs!$A:$B,2,0),AK246,1),"")</f>
        <v>S</v>
      </c>
      <c r="AK246" s="3">
        <v>184</v>
      </c>
      <c r="AL246" s="3" t="str">
        <f>IFERROR(MID(VLOOKUP($B246,Seqs!$A:$B,2,0),AM246,1),"")</f>
        <v>V</v>
      </c>
      <c r="AM246" s="3">
        <v>221</v>
      </c>
      <c r="AN246" s="3" t="str">
        <f>IFERROR(MID(VLOOKUP($B246,Seqs!$A:$B,2,0),AO246,1),"")</f>
        <v>P</v>
      </c>
      <c r="AO246" s="3">
        <v>227</v>
      </c>
      <c r="AP246" s="3" t="str">
        <f>IFERROR(MID(VLOOKUP($B246,Seqs!$A:$B,2,0),AQ246,1),"")</f>
        <v>D</v>
      </c>
      <c r="AQ246" s="3">
        <v>264</v>
      </c>
      <c r="AR246" s="3" t="str">
        <f>IFERROR(MID(VLOOKUP($B246,Seqs!$A:$B,2,0),AS246,1),"")</f>
        <v>P</v>
      </c>
      <c r="AS246" s="3">
        <v>273</v>
      </c>
      <c r="AT246" s="3" t="str">
        <f>IFERROR(MID(VLOOKUP($B246,Seqs!$A:$B,2,0),AU246,1),"")</f>
        <v>L</v>
      </c>
      <c r="AU246" s="3">
        <v>298</v>
      </c>
      <c r="AV246" s="3" t="str">
        <f>IFERROR(MID(VLOOKUP($B246,Seqs!$A:$B,2,0),AW246,1),"")</f>
        <v>N</v>
      </c>
      <c r="AW246" s="3">
        <v>299</v>
      </c>
      <c r="AX246" s="3" t="str">
        <f>IFERROR(MID(VLOOKUP($B246,Seqs!$A:$B,2,0),AY246,1),"")</f>
        <v>T</v>
      </c>
      <c r="AY246" s="3">
        <v>315</v>
      </c>
      <c r="AZ246" s="77" t="str">
        <f>VLOOKUP(B246,Classification!A:D,2,0)</f>
        <v>A</v>
      </c>
      <c r="BA246" s="94" t="str">
        <f>VLOOKUP(B246,Classification!A:D,4,0)</f>
        <v>Melatonin</v>
      </c>
      <c r="BB246" s="27" t="b">
        <f t="shared" ref="BB246:BB247" si="1958"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23">
        <f t="shared" ref="BC246:BC248" si="1959">_xlfn.AGGREGATE(9,6,CH246:CS246)-_xlfn.AGGREGATE(9,6,BV246:CG246)+12</f>
        <v>266</v>
      </c>
      <c r="BD246" s="5" t="s">
        <v>23</v>
      </c>
      <c r="BE246" s="3" t="s">
        <v>23</v>
      </c>
      <c r="BF246" s="118" t="s">
        <v>23</v>
      </c>
      <c r="BG246" s="49" t="s">
        <v>1377</v>
      </c>
      <c r="BH246" s="49" t="s">
        <v>1377</v>
      </c>
      <c r="BI246" s="1"/>
      <c r="BJ246" s="70" t="s">
        <v>1287</v>
      </c>
      <c r="BK246" s="57" t="s">
        <v>1287</v>
      </c>
      <c r="BL246" s="57" t="s">
        <v>1287</v>
      </c>
      <c r="BM246" s="57" t="s">
        <v>1287</v>
      </c>
      <c r="BN246" s="57" t="s">
        <v>1287</v>
      </c>
      <c r="BO246" s="57" t="s">
        <v>1287</v>
      </c>
      <c r="BP246" s="57" t="s">
        <v>1287</v>
      </c>
      <c r="BQ246" s="57" t="s">
        <v>1287</v>
      </c>
      <c r="BR246" s="57" t="s">
        <v>1287</v>
      </c>
      <c r="BS246" s="57" t="s">
        <v>1287</v>
      </c>
      <c r="BT246" s="57" t="s">
        <v>1287</v>
      </c>
      <c r="BU246" s="57" t="s">
        <v>1287</v>
      </c>
      <c r="BV246" s="70">
        <f t="shared" ref="BV246:BV247" si="1960">E246</f>
        <v>23</v>
      </c>
      <c r="BW246" s="71">
        <f t="shared" ref="BW246:BW247" si="1961">I246</f>
        <v>56</v>
      </c>
      <c r="BX246" s="72">
        <f t="shared" ref="BX246:BX247" si="1962">M246</f>
        <v>60</v>
      </c>
      <c r="BY246" s="71">
        <f t="shared" ref="BY246:BY247" si="1963">Q246</f>
        <v>92</v>
      </c>
      <c r="BZ246" s="72">
        <f t="shared" ref="BZ246:BZ247" si="1964">U246</f>
        <v>96</v>
      </c>
      <c r="CA246" s="71">
        <f t="shared" ref="CA246:CA247" si="1965">Y246</f>
        <v>132</v>
      </c>
      <c r="CB246" s="72">
        <f t="shared" ref="CB246:CB247" si="1966">AC246</f>
        <v>140</v>
      </c>
      <c r="CC246" s="71">
        <f t="shared" ref="CC246:CC247" si="1967">AG246</f>
        <v>177</v>
      </c>
      <c r="CD246" s="72">
        <f t="shared" ref="CD246:CD247" si="1968">AK246</f>
        <v>184</v>
      </c>
      <c r="CE246" s="71">
        <f t="shared" ref="CE246:CE247" si="1969">AO246</f>
        <v>227</v>
      </c>
      <c r="CF246" s="72">
        <f t="shared" ref="CF246:CF247" si="1970">AS246</f>
        <v>273</v>
      </c>
      <c r="CG246" s="71">
        <f t="shared" ref="CG246:CG247" si="1971">AW246</f>
        <v>299</v>
      </c>
      <c r="CH246" s="70">
        <f t="shared" ref="CH246:CH247" si="1972">G246</f>
        <v>55</v>
      </c>
      <c r="CI246" s="71">
        <f t="shared" ref="CI246:CI247" si="1973">K246</f>
        <v>59</v>
      </c>
      <c r="CJ246" s="72">
        <f t="shared" ref="CJ246:CJ247" si="1974">O246</f>
        <v>91</v>
      </c>
      <c r="CK246" s="72">
        <f t="shared" ref="CK246:CK247" si="1975">S246</f>
        <v>95</v>
      </c>
      <c r="CL246" s="72">
        <f t="shared" ref="CL246:CL247" si="1976">W246</f>
        <v>131</v>
      </c>
      <c r="CM246" s="72">
        <f t="shared" ref="CM246:CM247" si="1977">AA246</f>
        <v>139</v>
      </c>
      <c r="CN246" s="72">
        <f t="shared" ref="CN246:CN247" si="1978">AE246</f>
        <v>166</v>
      </c>
      <c r="CO246" s="72">
        <f t="shared" ref="CO246:CO247" si="1979">AI246</f>
        <v>179</v>
      </c>
      <c r="CP246" s="72">
        <f t="shared" ref="CP246:CP247" si="1980">AM246</f>
        <v>221</v>
      </c>
      <c r="CQ246" s="72">
        <f t="shared" ref="CQ246:CQ247" si="1981">AQ246</f>
        <v>264</v>
      </c>
      <c r="CR246" s="72">
        <f t="shared" ref="CR246:CR247" si="1982">AU246</f>
        <v>298</v>
      </c>
      <c r="CS246" s="72">
        <f t="shared" ref="CS246:CS247" si="1983">AY246</f>
        <v>315</v>
      </c>
      <c r="CT246" s="23">
        <f t="shared" ref="CT246:CT247" si="1984">M246-K246</f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29" x14ac:dyDescent="0.2">
      <c r="A247" s="3" t="str">
        <f t="shared" si="1957"/>
        <v>mtr1a_human_6ME2</v>
      </c>
      <c r="B247" s="3" t="s">
        <v>311</v>
      </c>
      <c r="C247" s="3" t="s">
        <v>1564</v>
      </c>
      <c r="D247" s="3" t="str">
        <f>IFERROR(MID(VLOOKUP($B247,Seqs!$A:$B,2,0),E247,1),"")</f>
        <v>P</v>
      </c>
      <c r="E247" s="3">
        <v>23</v>
      </c>
      <c r="F247" s="3" t="str">
        <f>IFERROR(MID(VLOOKUP($B247,Seqs!$A:$B,2,0),G247,1),"")</f>
        <v>N</v>
      </c>
      <c r="G247" s="3">
        <v>55</v>
      </c>
      <c r="H247" s="3" t="str">
        <f>IFERROR(MID(VLOOKUP($B247,Seqs!$A:$B,2,0),I247,1),"")</f>
        <v>K</v>
      </c>
      <c r="I247" s="23">
        <v>56</v>
      </c>
      <c r="J247" s="3" t="str">
        <f>IFERROR(MID(VLOOKUP($B247,Seqs!$A:$B,2,0),K247,1),"")</f>
        <v>R</v>
      </c>
      <c r="K247" s="23">
        <v>59</v>
      </c>
      <c r="L247" s="3" t="str">
        <f>IFERROR(MID(VLOOKUP($B247,Seqs!$A:$B,2,0),M247,1),"")</f>
        <v>N</v>
      </c>
      <c r="M247" s="3">
        <v>60</v>
      </c>
      <c r="N247" s="3" t="str">
        <f>IFERROR(MID(VLOOKUP($B247,Seqs!$A:$B,2,0),O247,1),"")</f>
        <v>N</v>
      </c>
      <c r="O247" s="3">
        <v>91</v>
      </c>
      <c r="P247" s="3" t="str">
        <f>IFERROR(MID(VLOOKUP($B247,Seqs!$A:$B,2,0),Q247,1),"")</f>
        <v>G</v>
      </c>
      <c r="Q247" s="3">
        <v>92</v>
      </c>
      <c r="R247" s="3" t="str">
        <f>IFERROR(MID(VLOOKUP($B247,Seqs!$A:$B,2,0),S247,1),"")</f>
        <v>L</v>
      </c>
      <c r="S247" s="3">
        <v>95</v>
      </c>
      <c r="T247" s="3" t="str">
        <f>IFERROR(MID(VLOOKUP($B247,Seqs!$A:$B,2,0),U247,1),"")</f>
        <v>G</v>
      </c>
      <c r="U247" s="3">
        <v>96</v>
      </c>
      <c r="V247" s="3" t="str">
        <f>IFERROR(MID(VLOOKUP($B247,Seqs!$A:$B,2,0),W247,1),"")</f>
        <v>Y</v>
      </c>
      <c r="W247" s="3">
        <v>135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N</v>
      </c>
      <c r="AC247" s="3">
        <v>143</v>
      </c>
      <c r="AD247" s="3" t="str">
        <f>IFERROR(MID(VLOOKUP($B247,Seqs!$A:$B,2,0),AE247,1),"")</f>
        <v>G</v>
      </c>
      <c r="AE247" s="3">
        <v>166</v>
      </c>
      <c r="AF247" s="3" t="str">
        <f>IFERROR(MID(VLOOKUP($B247,Seqs!$A:$B,2,0),AG247,1),"")</f>
        <v>C</v>
      </c>
      <c r="AG247" s="3">
        <v>177</v>
      </c>
      <c r="AH247" s="3" t="str">
        <f>IFERROR(MID(VLOOKUP($B247,Seqs!$A:$B,2,0),AI247,1),"")</f>
        <v>F</v>
      </c>
      <c r="AI247" s="3">
        <v>179</v>
      </c>
      <c r="AJ247" s="3" t="str">
        <f>IFERROR(MID(VLOOKUP($B247,Seqs!$A:$B,2,0),AK247,1),"")</f>
        <v>S</v>
      </c>
      <c r="AK247" s="3">
        <v>184</v>
      </c>
      <c r="AL247" s="3" t="str">
        <f>IFERROR(MID(VLOOKUP($B247,Seqs!$A:$B,2,0),AM247,1),"")</f>
        <v>R</v>
      </c>
      <c r="AM247" s="3">
        <v>218</v>
      </c>
      <c r="AN247" s="3" t="str">
        <f>IFERROR(MID(VLOOKUP($B247,Seqs!$A:$B,2,0),AO247,1),"")</f>
        <v>R</v>
      </c>
      <c r="AO247" s="3">
        <v>235</v>
      </c>
      <c r="AP247" s="3" t="str">
        <f>IFERROR(MID(VLOOKUP($B247,Seqs!$A:$B,2,0),AQ247,1),"")</f>
        <v>D</v>
      </c>
      <c r="AQ247" s="3">
        <v>264</v>
      </c>
      <c r="AR247" s="3" t="str">
        <f>IFERROR(MID(VLOOKUP($B247,Seqs!$A:$B,2,0),AS247,1),"")</f>
        <v>P</v>
      </c>
      <c r="AS247" s="3">
        <v>273</v>
      </c>
      <c r="AT247" s="3" t="str">
        <f>IFERROR(MID(VLOOKUP($B247,Seqs!$A:$B,2,0),AU247,1),"")</f>
        <v>L</v>
      </c>
      <c r="AU247" s="3">
        <v>298</v>
      </c>
      <c r="AV247" s="3" t="str">
        <f>IFERROR(MID(VLOOKUP($B247,Seqs!$A:$B,2,0),AW247,1),"")</f>
        <v>N</v>
      </c>
      <c r="AW247" s="3">
        <v>299</v>
      </c>
      <c r="AX247" s="3" t="str">
        <f>IFERROR(MID(VLOOKUP($B247,Seqs!$A:$B,2,0),AY247,1),"")</f>
        <v>T</v>
      </c>
      <c r="AY247" s="3">
        <v>315</v>
      </c>
      <c r="AZ247" s="77" t="str">
        <f>VLOOKUP(B247,Classification!A:D,2,0)</f>
        <v>A</v>
      </c>
      <c r="BA247" s="94" t="str">
        <f>VLOOKUP(B247,Classification!A:D,4,0)</f>
        <v>Melatonin</v>
      </c>
      <c r="BB247" s="27" t="b">
        <f t="shared" si="1958"/>
        <v>1</v>
      </c>
      <c r="BC247" s="23">
        <f t="shared" si="1959"/>
        <v>249</v>
      </c>
      <c r="BD247" s="5" t="s">
        <v>1376</v>
      </c>
      <c r="BE247" s="3" t="s">
        <v>1374</v>
      </c>
      <c r="BF247" s="118">
        <v>2.8</v>
      </c>
      <c r="BG247" s="49" t="s">
        <v>1</v>
      </c>
      <c r="BH247" s="49" t="s">
        <v>1</v>
      </c>
      <c r="BI247" s="1"/>
      <c r="BJ247" s="70" t="s">
        <v>1287</v>
      </c>
      <c r="BK247" s="57" t="s">
        <v>1287</v>
      </c>
      <c r="BL247" s="57" t="s">
        <v>1287</v>
      </c>
      <c r="BM247" s="57" t="s">
        <v>1287</v>
      </c>
      <c r="BN247" s="57" t="s">
        <v>1287</v>
      </c>
      <c r="BO247" s="57" t="s">
        <v>1287</v>
      </c>
      <c r="BP247" s="57" t="s">
        <v>1287</v>
      </c>
      <c r="BQ247" s="57" t="s">
        <v>1287</v>
      </c>
      <c r="BR247" s="57" t="s">
        <v>1287</v>
      </c>
      <c r="BS247" s="57" t="s">
        <v>1287</v>
      </c>
      <c r="BT247" s="57" t="s">
        <v>1287</v>
      </c>
      <c r="BU247" s="57" t="s">
        <v>1287</v>
      </c>
      <c r="BV247" s="70">
        <f t="shared" si="1960"/>
        <v>23</v>
      </c>
      <c r="BW247" s="71">
        <f t="shared" si="1961"/>
        <v>56</v>
      </c>
      <c r="BX247" s="72">
        <f t="shared" si="1962"/>
        <v>60</v>
      </c>
      <c r="BY247" s="71">
        <f t="shared" si="1963"/>
        <v>92</v>
      </c>
      <c r="BZ247" s="72">
        <f t="shared" si="1964"/>
        <v>96</v>
      </c>
      <c r="CA247" s="71" t="str">
        <f t="shared" si="1965"/>
        <v>-</v>
      </c>
      <c r="CB247" s="72">
        <f t="shared" si="1966"/>
        <v>143</v>
      </c>
      <c r="CC247" s="71">
        <f t="shared" si="1967"/>
        <v>177</v>
      </c>
      <c r="CD247" s="72">
        <f t="shared" si="1968"/>
        <v>184</v>
      </c>
      <c r="CE247" s="71">
        <f t="shared" si="1969"/>
        <v>235</v>
      </c>
      <c r="CF247" s="72">
        <f t="shared" si="1970"/>
        <v>273</v>
      </c>
      <c r="CG247" s="71">
        <f t="shared" si="1971"/>
        <v>299</v>
      </c>
      <c r="CH247" s="70">
        <f t="shared" si="1972"/>
        <v>55</v>
      </c>
      <c r="CI247" s="71">
        <f t="shared" si="1973"/>
        <v>59</v>
      </c>
      <c r="CJ247" s="72">
        <f t="shared" si="1974"/>
        <v>91</v>
      </c>
      <c r="CK247" s="72">
        <f t="shared" si="1975"/>
        <v>95</v>
      </c>
      <c r="CL247" s="72">
        <f t="shared" si="1976"/>
        <v>135</v>
      </c>
      <c r="CM247" s="72" t="str">
        <f t="shared" si="1977"/>
        <v>-</v>
      </c>
      <c r="CN247" s="72">
        <f t="shared" si="1978"/>
        <v>166</v>
      </c>
      <c r="CO247" s="72">
        <f t="shared" si="1979"/>
        <v>179</v>
      </c>
      <c r="CP247" s="72">
        <f t="shared" si="1980"/>
        <v>218</v>
      </c>
      <c r="CQ247" s="72">
        <f t="shared" si="1981"/>
        <v>264</v>
      </c>
      <c r="CR247" s="72">
        <f t="shared" si="1982"/>
        <v>298</v>
      </c>
      <c r="CS247" s="72">
        <f t="shared" si="1983"/>
        <v>315</v>
      </c>
      <c r="CT247" s="23">
        <f t="shared" si="1984"/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29" x14ac:dyDescent="0.2">
      <c r="A248" s="3" t="str">
        <f t="shared" ref="A248" si="1985">CONCATENATE(B248,"_",C248)</f>
        <v>mtr1a_human_6ME3</v>
      </c>
      <c r="B248" s="3" t="s">
        <v>311</v>
      </c>
      <c r="C248" s="3" t="s">
        <v>1565</v>
      </c>
      <c r="D248" s="3" t="str">
        <f>IFERROR(MID(VLOOKUP($B248,Seqs!$A:$B,2,0),E248,1),"")</f>
        <v>P</v>
      </c>
      <c r="E248" s="3">
        <v>23</v>
      </c>
      <c r="F248" s="3" t="str">
        <f>IFERROR(MID(VLOOKUP($B248,Seqs!$A:$B,2,0),G248,1),"")</f>
        <v>N</v>
      </c>
      <c r="G248" s="3">
        <v>55</v>
      </c>
      <c r="H248" s="3" t="str">
        <f>IFERROR(MID(VLOOKUP($B248,Seqs!$A:$B,2,0),I248,1),"")</f>
        <v>K</v>
      </c>
      <c r="I248" s="23">
        <v>56</v>
      </c>
      <c r="J248" s="3" t="str">
        <f>IFERROR(MID(VLOOKUP($B248,Seqs!$A:$B,2,0),K248,1),"")</f>
        <v>R</v>
      </c>
      <c r="K248" s="23">
        <v>59</v>
      </c>
      <c r="L248" s="3" t="str">
        <f>IFERROR(MID(VLOOKUP($B248,Seqs!$A:$B,2,0),M248,1),"")</f>
        <v>N</v>
      </c>
      <c r="M248" s="3">
        <v>60</v>
      </c>
      <c r="N248" s="3" t="str">
        <f>IFERROR(MID(VLOOKUP($B248,Seqs!$A:$B,2,0),O248,1),"")</f>
        <v>N</v>
      </c>
      <c r="O248" s="3">
        <v>91</v>
      </c>
      <c r="P248" s="3" t="str">
        <f>IFERROR(MID(VLOOKUP($B248,Seqs!$A:$B,2,0),Q248,1),"")</f>
        <v>G</v>
      </c>
      <c r="Q248" s="3">
        <v>92</v>
      </c>
      <c r="R248" s="3" t="str">
        <f>IFERROR(MID(VLOOKUP($B248,Seqs!$A:$B,2,0),S248,1),"")</f>
        <v>L</v>
      </c>
      <c r="S248" s="3">
        <v>95</v>
      </c>
      <c r="T248" s="3" t="str">
        <f>IFERROR(MID(VLOOKUP($B248,Seqs!$A:$B,2,0),U248,1),"")</f>
        <v>G</v>
      </c>
      <c r="U248" s="3">
        <v>96</v>
      </c>
      <c r="V248" s="3" t="str">
        <f>IFERROR(MID(VLOOKUP($B248,Seqs!$A:$B,2,0),W248,1),"")</f>
        <v>Y</v>
      </c>
      <c r="W248" s="3">
        <v>135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N</v>
      </c>
      <c r="AC248" s="3">
        <v>143</v>
      </c>
      <c r="AD248" s="3" t="str">
        <f>IFERROR(MID(VLOOKUP($B248,Seqs!$A:$B,2,0),AE248,1),"")</f>
        <v>G</v>
      </c>
      <c r="AE248" s="3">
        <v>166</v>
      </c>
      <c r="AF248" s="3" t="str">
        <f>IFERROR(MID(VLOOKUP($B248,Seqs!$A:$B,2,0),AG248,1),"")</f>
        <v>C</v>
      </c>
      <c r="AG248" s="3">
        <v>177</v>
      </c>
      <c r="AH248" s="3" t="str">
        <f>IFERROR(MID(VLOOKUP($B248,Seqs!$A:$B,2,0),AI248,1),"")</f>
        <v>F</v>
      </c>
      <c r="AI248" s="3">
        <v>179</v>
      </c>
      <c r="AJ248" s="3" t="str">
        <f>IFERROR(MID(VLOOKUP($B248,Seqs!$A:$B,2,0),AK248,1),"")</f>
        <v>S</v>
      </c>
      <c r="AK248" s="3">
        <v>184</v>
      </c>
      <c r="AL248" s="3" t="str">
        <f>IFERROR(MID(VLOOKUP($B248,Seqs!$A:$B,2,0),AM248,1),"")</f>
        <v>R</v>
      </c>
      <c r="AM248" s="3">
        <v>218</v>
      </c>
      <c r="AN248" s="3" t="str">
        <f>IFERROR(MID(VLOOKUP($B248,Seqs!$A:$B,2,0),AO248,1),"")</f>
        <v>R</v>
      </c>
      <c r="AO248" s="3">
        <v>235</v>
      </c>
      <c r="AP248" s="3" t="str">
        <f>IFERROR(MID(VLOOKUP($B248,Seqs!$A:$B,2,0),AQ248,1),"")</f>
        <v>D</v>
      </c>
      <c r="AQ248" s="3">
        <v>264</v>
      </c>
      <c r="AR248" s="3" t="str">
        <f>IFERROR(MID(VLOOKUP($B248,Seqs!$A:$B,2,0),AS248,1),"")</f>
        <v>P</v>
      </c>
      <c r="AS248" s="3">
        <v>273</v>
      </c>
      <c r="AT248" s="3" t="str">
        <f>IFERROR(MID(VLOOKUP($B248,Seqs!$A:$B,2,0),AU248,1),"")</f>
        <v>L</v>
      </c>
      <c r="AU248" s="3">
        <v>298</v>
      </c>
      <c r="AV248" s="3" t="str">
        <f>IFERROR(MID(VLOOKUP($B248,Seqs!$A:$B,2,0),AW248,1),"")</f>
        <v>N</v>
      </c>
      <c r="AW248" s="3">
        <v>299</v>
      </c>
      <c r="AX248" s="3" t="str">
        <f>IFERROR(MID(VLOOKUP($B248,Seqs!$A:$B,2,0),AY248,1),"")</f>
        <v>T</v>
      </c>
      <c r="AY248" s="3">
        <v>315</v>
      </c>
      <c r="AZ248" s="77" t="str">
        <f>VLOOKUP(B248,Classification!A:D,2,0)</f>
        <v>A</v>
      </c>
      <c r="BA248" s="94" t="str">
        <f>VLOOKUP(B248,Classification!A:D,4,0)</f>
        <v>Melatonin</v>
      </c>
      <c r="BB248" s="27" t="b">
        <f t="shared" ref="BB248" si="1986"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23">
        <f t="shared" si="1959"/>
        <v>249</v>
      </c>
      <c r="BD248" s="5" t="s">
        <v>23</v>
      </c>
      <c r="BE248" s="3" t="s">
        <v>1374</v>
      </c>
      <c r="BF248" s="118">
        <v>2.9</v>
      </c>
      <c r="BG248" s="49" t="s">
        <v>1</v>
      </c>
      <c r="BH248" s="49" t="s">
        <v>1</v>
      </c>
      <c r="BI248" s="1"/>
      <c r="BJ248" s="70" t="s">
        <v>1287</v>
      </c>
      <c r="BK248" s="57" t="s">
        <v>1287</v>
      </c>
      <c r="BL248" s="57" t="s">
        <v>1287</v>
      </c>
      <c r="BM248" s="57" t="s">
        <v>1287</v>
      </c>
      <c r="BN248" s="57" t="s">
        <v>1287</v>
      </c>
      <c r="BO248" s="57" t="s">
        <v>1287</v>
      </c>
      <c r="BP248" s="57" t="s">
        <v>1287</v>
      </c>
      <c r="BQ248" s="57" t="s">
        <v>1287</v>
      </c>
      <c r="BR248" s="57" t="s">
        <v>1287</v>
      </c>
      <c r="BS248" s="57" t="s">
        <v>1287</v>
      </c>
      <c r="BT248" s="57" t="s">
        <v>1287</v>
      </c>
      <c r="BU248" s="57" t="s">
        <v>1287</v>
      </c>
      <c r="BV248" s="70">
        <f t="shared" ref="BV248" si="1987">E248</f>
        <v>23</v>
      </c>
      <c r="BW248" s="71">
        <f t="shared" ref="BW248" si="1988">I248</f>
        <v>56</v>
      </c>
      <c r="BX248" s="72">
        <f t="shared" ref="BX248" si="1989">M248</f>
        <v>60</v>
      </c>
      <c r="BY248" s="71">
        <f t="shared" ref="BY248" si="1990">Q248</f>
        <v>92</v>
      </c>
      <c r="BZ248" s="72">
        <f t="shared" ref="BZ248" si="1991">U248</f>
        <v>96</v>
      </c>
      <c r="CA248" s="71" t="str">
        <f t="shared" ref="CA248" si="1992">Y248</f>
        <v>-</v>
      </c>
      <c r="CB248" s="72">
        <f t="shared" ref="CB248" si="1993">AC248</f>
        <v>143</v>
      </c>
      <c r="CC248" s="71">
        <f t="shared" ref="CC248" si="1994">AG248</f>
        <v>177</v>
      </c>
      <c r="CD248" s="72">
        <f t="shared" ref="CD248" si="1995">AK248</f>
        <v>184</v>
      </c>
      <c r="CE248" s="71">
        <f t="shared" ref="CE248" si="1996">AO248</f>
        <v>235</v>
      </c>
      <c r="CF248" s="72">
        <f t="shared" ref="CF248" si="1997">AS248</f>
        <v>273</v>
      </c>
      <c r="CG248" s="71">
        <f t="shared" ref="CG248" si="1998">AW248</f>
        <v>299</v>
      </c>
      <c r="CH248" s="70">
        <f t="shared" ref="CH248" si="1999">G248</f>
        <v>55</v>
      </c>
      <c r="CI248" s="71">
        <f t="shared" ref="CI248" si="2000">K248</f>
        <v>59</v>
      </c>
      <c r="CJ248" s="72">
        <f t="shared" ref="CJ248" si="2001">O248</f>
        <v>91</v>
      </c>
      <c r="CK248" s="72">
        <f t="shared" ref="CK248" si="2002">S248</f>
        <v>95</v>
      </c>
      <c r="CL248" s="72">
        <f t="shared" ref="CL248" si="2003">W248</f>
        <v>135</v>
      </c>
      <c r="CM248" s="72" t="str">
        <f t="shared" ref="CM248" si="2004">AA248</f>
        <v>-</v>
      </c>
      <c r="CN248" s="72">
        <f t="shared" ref="CN248" si="2005">AE248</f>
        <v>166</v>
      </c>
      <c r="CO248" s="72">
        <f t="shared" ref="CO248" si="2006">AI248</f>
        <v>179</v>
      </c>
      <c r="CP248" s="72">
        <f t="shared" ref="CP248" si="2007">AM248</f>
        <v>218</v>
      </c>
      <c r="CQ248" s="72">
        <f t="shared" ref="CQ248" si="2008">AQ248</f>
        <v>264</v>
      </c>
      <c r="CR248" s="72">
        <f t="shared" ref="CR248" si="2009">AU248</f>
        <v>298</v>
      </c>
      <c r="CS248" s="72">
        <f t="shared" ref="CS248" si="2010">AY248</f>
        <v>315</v>
      </c>
      <c r="CT248" s="23">
        <f t="shared" ref="CT248" si="2011">M248-K248</f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29" x14ac:dyDescent="0.2">
      <c r="A249" s="3" t="str">
        <f t="shared" ref="A249" si="2012">CONCATENATE(B249,"_",C249)</f>
        <v>mtr1a_human_6ME4</v>
      </c>
      <c r="B249" s="3" t="s">
        <v>311</v>
      </c>
      <c r="C249" s="3" t="s">
        <v>1566</v>
      </c>
      <c r="D249" s="3" t="str">
        <f>IFERROR(MID(VLOOKUP($B249,Seqs!$A:$B,2,0),E249,1),"")</f>
        <v>P</v>
      </c>
      <c r="E249" s="3">
        <v>23</v>
      </c>
      <c r="F249" s="3" t="str">
        <f>IFERROR(MID(VLOOKUP($B249,Seqs!$A:$B,2,0),G249,1),"")</f>
        <v>N</v>
      </c>
      <c r="G249" s="3">
        <v>55</v>
      </c>
      <c r="H249" s="3" t="str">
        <f>IFERROR(MID(VLOOKUP($B249,Seqs!$A:$B,2,0),I249,1),"")</f>
        <v>K</v>
      </c>
      <c r="I249" s="23">
        <v>56</v>
      </c>
      <c r="J249" s="3" t="str">
        <f>IFERROR(MID(VLOOKUP($B249,Seqs!$A:$B,2,0),K249,1),"")</f>
        <v>R</v>
      </c>
      <c r="K249" s="23">
        <v>59</v>
      </c>
      <c r="L249" s="3" t="str">
        <f>IFERROR(MID(VLOOKUP($B249,Seqs!$A:$B,2,0),M249,1),"")</f>
        <v>N</v>
      </c>
      <c r="M249" s="3">
        <v>60</v>
      </c>
      <c r="N249" s="3" t="str">
        <f>IFERROR(MID(VLOOKUP($B249,Seqs!$A:$B,2,0),O249,1),"")</f>
        <v>N</v>
      </c>
      <c r="O249" s="3">
        <v>91</v>
      </c>
      <c r="P249" s="3" t="str">
        <f>IFERROR(MID(VLOOKUP($B249,Seqs!$A:$B,2,0),Q249,1),"")</f>
        <v>G</v>
      </c>
      <c r="Q249" s="3">
        <v>92</v>
      </c>
      <c r="R249" s="3" t="str">
        <f>IFERROR(MID(VLOOKUP($B249,Seqs!$A:$B,2,0),S249,1),"")</f>
        <v>L</v>
      </c>
      <c r="S249" s="3">
        <v>95</v>
      </c>
      <c r="T249" s="3" t="str">
        <f>IFERROR(MID(VLOOKUP($B249,Seqs!$A:$B,2,0),U249,1),"")</f>
        <v>G</v>
      </c>
      <c r="U249" s="3">
        <v>96</v>
      </c>
      <c r="V249" s="3" t="str">
        <f>IFERROR(MID(VLOOKUP($B249,Seqs!$A:$B,2,0),W249,1),"")</f>
        <v>Y</v>
      </c>
      <c r="W249" s="3">
        <v>135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N</v>
      </c>
      <c r="AC249" s="3">
        <v>143</v>
      </c>
      <c r="AD249" s="3" t="str">
        <f>IFERROR(MID(VLOOKUP($B249,Seqs!$A:$B,2,0),AE249,1),"")</f>
        <v>G</v>
      </c>
      <c r="AE249" s="3">
        <v>166</v>
      </c>
      <c r="AF249" s="3" t="str">
        <f>IFERROR(MID(VLOOKUP($B249,Seqs!$A:$B,2,0),AG249,1),"")</f>
        <v>C</v>
      </c>
      <c r="AG249" s="3">
        <v>177</v>
      </c>
      <c r="AH249" s="3" t="str">
        <f>IFERROR(MID(VLOOKUP($B249,Seqs!$A:$B,2,0),AI249,1),"")</f>
        <v>F</v>
      </c>
      <c r="AI249" s="3">
        <v>179</v>
      </c>
      <c r="AJ249" s="3" t="str">
        <f>IFERROR(MID(VLOOKUP($B249,Seqs!$A:$B,2,0),AK249,1),"")</f>
        <v>S</v>
      </c>
      <c r="AK249" s="3">
        <v>184</v>
      </c>
      <c r="AL249" s="3" t="str">
        <f>IFERROR(MID(VLOOKUP($B249,Seqs!$A:$B,2,0),AM249,1),"")</f>
        <v>R</v>
      </c>
      <c r="AM249" s="3">
        <v>218</v>
      </c>
      <c r="AN249" s="3" t="str">
        <f>IFERROR(MID(VLOOKUP($B249,Seqs!$A:$B,2,0),AO249,1),"")</f>
        <v>R</v>
      </c>
      <c r="AO249" s="3">
        <v>235</v>
      </c>
      <c r="AP249" s="3" t="str">
        <f>IFERROR(MID(VLOOKUP($B249,Seqs!$A:$B,2,0),AQ249,1),"")</f>
        <v>D</v>
      </c>
      <c r="AQ249" s="3">
        <v>264</v>
      </c>
      <c r="AR249" s="3" t="str">
        <f>IFERROR(MID(VLOOKUP($B249,Seqs!$A:$B,2,0),AS249,1),"")</f>
        <v>P</v>
      </c>
      <c r="AS249" s="3">
        <v>273</v>
      </c>
      <c r="AT249" s="3" t="str">
        <f>IFERROR(MID(VLOOKUP($B249,Seqs!$A:$B,2,0),AU249,1),"")</f>
        <v>L</v>
      </c>
      <c r="AU249" s="3">
        <v>298</v>
      </c>
      <c r="AV249" s="3" t="str">
        <f>IFERROR(MID(VLOOKUP($B249,Seqs!$A:$B,2,0),AW249,1),"")</f>
        <v>N</v>
      </c>
      <c r="AW249" s="3">
        <v>299</v>
      </c>
      <c r="AX249" s="3" t="str">
        <f>IFERROR(MID(VLOOKUP($B249,Seqs!$A:$B,2,0),AY249,1),"")</f>
        <v>T</v>
      </c>
      <c r="AY249" s="3">
        <v>315</v>
      </c>
      <c r="AZ249" s="77" t="str">
        <f>VLOOKUP(B249,Classification!A:D,2,0)</f>
        <v>A</v>
      </c>
      <c r="BA249" s="94" t="str">
        <f>VLOOKUP(B249,Classification!A:D,4,0)</f>
        <v>Melatonin</v>
      </c>
      <c r="BB249" s="27" t="b">
        <f t="shared" ref="BB249" si="2013"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23">
        <f t="shared" ref="BC249" si="2014">_xlfn.AGGREGATE(9,6,CH249:CS249)-_xlfn.AGGREGATE(9,6,BV249:CG249)+12</f>
        <v>249</v>
      </c>
      <c r="BD249" s="5" t="s">
        <v>23</v>
      </c>
      <c r="BE249" s="3" t="s">
        <v>1374</v>
      </c>
      <c r="BF249" s="118">
        <v>3.2</v>
      </c>
      <c r="BG249" s="49" t="s">
        <v>1</v>
      </c>
      <c r="BH249" s="49" t="s">
        <v>1</v>
      </c>
      <c r="BI249" s="1"/>
      <c r="BJ249" s="70" t="s">
        <v>1287</v>
      </c>
      <c r="BK249" s="57" t="s">
        <v>1287</v>
      </c>
      <c r="BL249" s="57" t="s">
        <v>1287</v>
      </c>
      <c r="BM249" s="57" t="s">
        <v>1287</v>
      </c>
      <c r="BN249" s="57" t="s">
        <v>1287</v>
      </c>
      <c r="BO249" s="57" t="s">
        <v>1287</v>
      </c>
      <c r="BP249" s="57" t="s">
        <v>1287</v>
      </c>
      <c r="BQ249" s="57" t="s">
        <v>1287</v>
      </c>
      <c r="BR249" s="57" t="s">
        <v>1287</v>
      </c>
      <c r="BS249" s="57" t="s">
        <v>1287</v>
      </c>
      <c r="BT249" s="57" t="s">
        <v>1287</v>
      </c>
      <c r="BU249" s="57" t="s">
        <v>1287</v>
      </c>
      <c r="BV249" s="70">
        <f t="shared" ref="BV249" si="2015">E249</f>
        <v>23</v>
      </c>
      <c r="BW249" s="71">
        <f t="shared" ref="BW249" si="2016">I249</f>
        <v>56</v>
      </c>
      <c r="BX249" s="72">
        <f t="shared" ref="BX249" si="2017">M249</f>
        <v>60</v>
      </c>
      <c r="BY249" s="71">
        <f t="shared" ref="BY249" si="2018">Q249</f>
        <v>92</v>
      </c>
      <c r="BZ249" s="72">
        <f t="shared" ref="BZ249" si="2019">U249</f>
        <v>96</v>
      </c>
      <c r="CA249" s="71" t="str">
        <f t="shared" ref="CA249" si="2020">Y249</f>
        <v>-</v>
      </c>
      <c r="CB249" s="72">
        <f t="shared" ref="CB249" si="2021">AC249</f>
        <v>143</v>
      </c>
      <c r="CC249" s="71">
        <f t="shared" ref="CC249" si="2022">AG249</f>
        <v>177</v>
      </c>
      <c r="CD249" s="72">
        <f t="shared" ref="CD249" si="2023">AK249</f>
        <v>184</v>
      </c>
      <c r="CE249" s="71">
        <f t="shared" ref="CE249" si="2024">AO249</f>
        <v>235</v>
      </c>
      <c r="CF249" s="72">
        <f t="shared" ref="CF249" si="2025">AS249</f>
        <v>273</v>
      </c>
      <c r="CG249" s="71">
        <f t="shared" ref="CG249" si="2026">AW249</f>
        <v>299</v>
      </c>
      <c r="CH249" s="70">
        <f t="shared" ref="CH249" si="2027">G249</f>
        <v>55</v>
      </c>
      <c r="CI249" s="71">
        <f t="shared" ref="CI249" si="2028">K249</f>
        <v>59</v>
      </c>
      <c r="CJ249" s="72">
        <f t="shared" ref="CJ249" si="2029">O249</f>
        <v>91</v>
      </c>
      <c r="CK249" s="72">
        <f t="shared" ref="CK249" si="2030">S249</f>
        <v>95</v>
      </c>
      <c r="CL249" s="72">
        <f t="shared" ref="CL249" si="2031">W249</f>
        <v>135</v>
      </c>
      <c r="CM249" s="72" t="str">
        <f t="shared" ref="CM249" si="2032">AA249</f>
        <v>-</v>
      </c>
      <c r="CN249" s="72">
        <f t="shared" ref="CN249" si="2033">AE249</f>
        <v>166</v>
      </c>
      <c r="CO249" s="72">
        <f t="shared" ref="CO249" si="2034">AI249</f>
        <v>179</v>
      </c>
      <c r="CP249" s="72">
        <f t="shared" ref="CP249" si="2035">AM249</f>
        <v>218</v>
      </c>
      <c r="CQ249" s="72">
        <f t="shared" ref="CQ249" si="2036">AQ249</f>
        <v>264</v>
      </c>
      <c r="CR249" s="72">
        <f t="shared" ref="CR249" si="2037">AU249</f>
        <v>298</v>
      </c>
      <c r="CS249" s="72">
        <f t="shared" ref="CS249" si="2038">AY249</f>
        <v>315</v>
      </c>
      <c r="CT249" s="23">
        <f t="shared" ref="CT249" si="2039">M249-K249</f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29" x14ac:dyDescent="0.2">
      <c r="A250" s="3" t="str">
        <f t="shared" ref="A250" si="2040">CONCATENATE(B250,"_",C250)</f>
        <v>mtr1a_human_6ME5</v>
      </c>
      <c r="B250" s="3" t="s">
        <v>311</v>
      </c>
      <c r="C250" s="3" t="s">
        <v>1567</v>
      </c>
      <c r="D250" s="3" t="str">
        <f>IFERROR(MID(VLOOKUP($B250,Seqs!$A:$B,2,0),E250,1),"")</f>
        <v>P</v>
      </c>
      <c r="E250" s="3">
        <v>23</v>
      </c>
      <c r="F250" s="3" t="str">
        <f>IFERROR(MID(VLOOKUP($B250,Seqs!$A:$B,2,0),G250,1),"")</f>
        <v>N</v>
      </c>
      <c r="G250" s="3">
        <v>55</v>
      </c>
      <c r="H250" s="3" t="str">
        <f>IFERROR(MID(VLOOKUP($B250,Seqs!$A:$B,2,0),I250,1),"")</f>
        <v>K</v>
      </c>
      <c r="I250" s="23">
        <v>56</v>
      </c>
      <c r="J250" s="3" t="str">
        <f>IFERROR(MID(VLOOKUP($B250,Seqs!$A:$B,2,0),K250,1),"")</f>
        <v>R</v>
      </c>
      <c r="K250" s="23">
        <v>59</v>
      </c>
      <c r="L250" s="3" t="str">
        <f>IFERROR(MID(VLOOKUP($B250,Seqs!$A:$B,2,0),M250,1),"")</f>
        <v>N</v>
      </c>
      <c r="M250" s="3">
        <v>60</v>
      </c>
      <c r="N250" s="3" t="str">
        <f>IFERROR(MID(VLOOKUP($B250,Seqs!$A:$B,2,0),O250,1),"")</f>
        <v>N</v>
      </c>
      <c r="O250" s="3">
        <v>91</v>
      </c>
      <c r="P250" s="3" t="str">
        <f>IFERROR(MID(VLOOKUP($B250,Seqs!$A:$B,2,0),Q250,1),"")</f>
        <v>G</v>
      </c>
      <c r="Q250" s="3">
        <v>92</v>
      </c>
      <c r="R250" s="3" t="str">
        <f>IFERROR(MID(VLOOKUP($B250,Seqs!$A:$B,2,0),S250,1),"")</f>
        <v>L</v>
      </c>
      <c r="S250" s="3">
        <v>95</v>
      </c>
      <c r="T250" s="3" t="str">
        <f>IFERROR(MID(VLOOKUP($B250,Seqs!$A:$B,2,0),U250,1),"")</f>
        <v>G</v>
      </c>
      <c r="U250" s="3">
        <v>96</v>
      </c>
      <c r="V250" s="3" t="str">
        <f>IFERROR(MID(VLOOKUP($B250,Seqs!$A:$B,2,0),W250,1),"")</f>
        <v>Y</v>
      </c>
      <c r="W250" s="3">
        <v>135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N</v>
      </c>
      <c r="AC250" s="3">
        <v>143</v>
      </c>
      <c r="AD250" s="3" t="str">
        <f>IFERROR(MID(VLOOKUP($B250,Seqs!$A:$B,2,0),AE250,1),"")</f>
        <v>G</v>
      </c>
      <c r="AE250" s="3">
        <v>166</v>
      </c>
      <c r="AF250" s="3" t="str">
        <f>IFERROR(MID(VLOOKUP($B250,Seqs!$A:$B,2,0),AG250,1),"")</f>
        <v>C</v>
      </c>
      <c r="AG250" s="3">
        <v>177</v>
      </c>
      <c r="AH250" s="3" t="str">
        <f>IFERROR(MID(VLOOKUP($B250,Seqs!$A:$B,2,0),AI250,1),"")</f>
        <v>F</v>
      </c>
      <c r="AI250" s="3">
        <v>179</v>
      </c>
      <c r="AJ250" s="3" t="str">
        <f>IFERROR(MID(VLOOKUP($B250,Seqs!$A:$B,2,0),AK250,1),"")</f>
        <v>S</v>
      </c>
      <c r="AK250" s="3">
        <v>184</v>
      </c>
      <c r="AL250" s="3" t="str">
        <f>IFERROR(MID(VLOOKUP($B250,Seqs!$A:$B,2,0),AM250,1),"")</f>
        <v>R</v>
      </c>
      <c r="AM250" s="3">
        <v>218</v>
      </c>
      <c r="AN250" s="3" t="str">
        <f>IFERROR(MID(VLOOKUP($B250,Seqs!$A:$B,2,0),AO250,1),"")</f>
        <v>R</v>
      </c>
      <c r="AO250" s="3">
        <v>235</v>
      </c>
      <c r="AP250" s="3" t="str">
        <f>IFERROR(MID(VLOOKUP($B250,Seqs!$A:$B,2,0),AQ250,1),"")</f>
        <v>D</v>
      </c>
      <c r="AQ250" s="3">
        <v>264</v>
      </c>
      <c r="AR250" s="3" t="str">
        <f>IFERROR(MID(VLOOKUP($B250,Seqs!$A:$B,2,0),AS250,1),"")</f>
        <v>P</v>
      </c>
      <c r="AS250" s="3">
        <v>273</v>
      </c>
      <c r="AT250" s="3" t="str">
        <f>IFERROR(MID(VLOOKUP($B250,Seqs!$A:$B,2,0),AU250,1),"")</f>
        <v>L</v>
      </c>
      <c r="AU250" s="3">
        <v>298</v>
      </c>
      <c r="AV250" s="3" t="str">
        <f>IFERROR(MID(VLOOKUP($B250,Seqs!$A:$B,2,0),AW250,1),"")</f>
        <v>N</v>
      </c>
      <c r="AW250" s="3">
        <v>299</v>
      </c>
      <c r="AX250" s="3" t="str">
        <f>IFERROR(MID(VLOOKUP($B250,Seqs!$A:$B,2,0),AY250,1),"")</f>
        <v>T</v>
      </c>
      <c r="AY250" s="3">
        <v>315</v>
      </c>
      <c r="AZ250" s="77" t="str">
        <f>VLOOKUP(B250,Classification!A:D,2,0)</f>
        <v>A</v>
      </c>
      <c r="BA250" s="94" t="str">
        <f>VLOOKUP(B250,Classification!A:D,4,0)</f>
        <v>Melatonin</v>
      </c>
      <c r="BB250" s="27" t="b">
        <f t="shared" ref="BB250" si="2041"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 t="shared" ref="BC250" si="2042">_xlfn.AGGREGATE(9,6,CH250:CS250)-_xlfn.AGGREGATE(9,6,BV250:CG250)+12</f>
        <v>249</v>
      </c>
      <c r="BD250" s="5" t="s">
        <v>23</v>
      </c>
      <c r="BE250" s="3" t="s">
        <v>1374</v>
      </c>
      <c r="BF250" s="118">
        <v>3.2</v>
      </c>
      <c r="BG250" s="49" t="s">
        <v>1</v>
      </c>
      <c r="BH250" s="49" t="s">
        <v>1</v>
      </c>
      <c r="BI250" s="1"/>
      <c r="BJ250" s="70" t="s">
        <v>1287</v>
      </c>
      <c r="BK250" s="57" t="s">
        <v>1287</v>
      </c>
      <c r="BL250" s="57" t="s">
        <v>1287</v>
      </c>
      <c r="BM250" s="57" t="s">
        <v>1287</v>
      </c>
      <c r="BN250" s="57" t="s">
        <v>1287</v>
      </c>
      <c r="BO250" s="57" t="s">
        <v>1287</v>
      </c>
      <c r="BP250" s="57" t="s">
        <v>1287</v>
      </c>
      <c r="BQ250" s="57" t="s">
        <v>1287</v>
      </c>
      <c r="BR250" s="57" t="s">
        <v>1287</v>
      </c>
      <c r="BS250" s="57" t="s">
        <v>1287</v>
      </c>
      <c r="BT250" s="57" t="s">
        <v>1287</v>
      </c>
      <c r="BU250" s="57" t="s">
        <v>1287</v>
      </c>
      <c r="BV250" s="70">
        <f t="shared" ref="BV250" si="2043">E250</f>
        <v>23</v>
      </c>
      <c r="BW250" s="71">
        <f t="shared" ref="BW250" si="2044">I250</f>
        <v>56</v>
      </c>
      <c r="BX250" s="72">
        <f t="shared" ref="BX250" si="2045">M250</f>
        <v>60</v>
      </c>
      <c r="BY250" s="71">
        <f t="shared" ref="BY250" si="2046">Q250</f>
        <v>92</v>
      </c>
      <c r="BZ250" s="72">
        <f t="shared" ref="BZ250" si="2047">U250</f>
        <v>96</v>
      </c>
      <c r="CA250" s="71" t="str">
        <f t="shared" ref="CA250" si="2048">Y250</f>
        <v>-</v>
      </c>
      <c r="CB250" s="72">
        <f t="shared" ref="CB250" si="2049">AC250</f>
        <v>143</v>
      </c>
      <c r="CC250" s="71">
        <f t="shared" ref="CC250" si="2050">AG250</f>
        <v>177</v>
      </c>
      <c r="CD250" s="72">
        <f t="shared" ref="CD250" si="2051">AK250</f>
        <v>184</v>
      </c>
      <c r="CE250" s="71">
        <f t="shared" ref="CE250" si="2052">AO250</f>
        <v>235</v>
      </c>
      <c r="CF250" s="72">
        <f t="shared" ref="CF250" si="2053">AS250</f>
        <v>273</v>
      </c>
      <c r="CG250" s="71">
        <f t="shared" ref="CG250" si="2054">AW250</f>
        <v>299</v>
      </c>
      <c r="CH250" s="70">
        <f t="shared" ref="CH250" si="2055">G250</f>
        <v>55</v>
      </c>
      <c r="CI250" s="71">
        <f t="shared" ref="CI250" si="2056">K250</f>
        <v>59</v>
      </c>
      <c r="CJ250" s="72">
        <f t="shared" ref="CJ250" si="2057">O250</f>
        <v>91</v>
      </c>
      <c r="CK250" s="72">
        <f t="shared" ref="CK250" si="2058">S250</f>
        <v>95</v>
      </c>
      <c r="CL250" s="72">
        <f t="shared" ref="CL250" si="2059">W250</f>
        <v>135</v>
      </c>
      <c r="CM250" s="72" t="str">
        <f t="shared" ref="CM250" si="2060">AA250</f>
        <v>-</v>
      </c>
      <c r="CN250" s="72">
        <f t="shared" ref="CN250" si="2061">AE250</f>
        <v>166</v>
      </c>
      <c r="CO250" s="72">
        <f t="shared" ref="CO250" si="2062">AI250</f>
        <v>179</v>
      </c>
      <c r="CP250" s="72">
        <f t="shared" ref="CP250" si="2063">AM250</f>
        <v>218</v>
      </c>
      <c r="CQ250" s="72">
        <f t="shared" ref="CQ250" si="2064">AQ250</f>
        <v>264</v>
      </c>
      <c r="CR250" s="72">
        <f t="shared" ref="CR250" si="2065">AU250</f>
        <v>298</v>
      </c>
      <c r="CS250" s="72">
        <f t="shared" ref="CS250" si="2066">AY250</f>
        <v>315</v>
      </c>
      <c r="CT250" s="23">
        <f t="shared" ref="CT250" si="2067">M250-K250</f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29" s="12" customFormat="1" x14ac:dyDescent="0.2">
      <c r="A251" s="9" t="str">
        <f>CONCATENATE(B251,"_",C251)</f>
        <v>mtr1a_human_6PS8</v>
      </c>
      <c r="B251" s="9" t="s">
        <v>311</v>
      </c>
      <c r="C251" s="9" t="s">
        <v>1616</v>
      </c>
      <c r="D251" s="9" t="str">
        <f>IFERROR(MID(VLOOKUP($B251,Seqs!$A:$B,2,0),E251,1),"")</f>
        <v>S</v>
      </c>
      <c r="E251" s="9">
        <v>24</v>
      </c>
      <c r="F251" s="9" t="str">
        <f>IFERROR(MID(VLOOKUP($B251,Seqs!$A:$B,2,0),G251,1),"")</f>
        <v>N</v>
      </c>
      <c r="G251" s="9">
        <v>55</v>
      </c>
      <c r="H251" s="9" t="str">
        <f>IFERROR(MID(VLOOKUP($B251,Seqs!$A:$B,2,0),I251,1),"")</f>
        <v>K</v>
      </c>
      <c r="I251" s="109">
        <v>56</v>
      </c>
      <c r="J251" s="9" t="str">
        <f>IFERROR(MID(VLOOKUP($B251,Seqs!$A:$B,2,0),K251,1),"")</f>
        <v>R</v>
      </c>
      <c r="K251" s="109">
        <v>59</v>
      </c>
      <c r="L251" s="9" t="str">
        <f>IFERROR(MID(VLOOKUP($B251,Seqs!$A:$B,2,0),M251,1),"")</f>
        <v>N</v>
      </c>
      <c r="M251" s="9">
        <v>60</v>
      </c>
      <c r="N251" s="9" t="str">
        <f>IFERROR(MID(VLOOKUP($B251,Seqs!$A:$B,2,0),O251,1),"")</f>
        <v>N</v>
      </c>
      <c r="O251" s="9">
        <v>91</v>
      </c>
      <c r="P251" s="9" t="str">
        <f>IFERROR(MID(VLOOKUP($B251,Seqs!$A:$B,2,0),Q251,1),"")</f>
        <v>G</v>
      </c>
      <c r="Q251" s="9">
        <v>92</v>
      </c>
      <c r="R251" s="9" t="str">
        <f>IFERROR(MID(VLOOKUP($B251,Seqs!$A:$B,2,0),S251,1),"")</f>
        <v>L</v>
      </c>
      <c r="S251" s="9">
        <v>95</v>
      </c>
      <c r="T251" s="9" t="str">
        <f>IFERROR(MID(VLOOKUP($B251,Seqs!$A:$B,2,0),U251,1),"")</f>
        <v>G</v>
      </c>
      <c r="U251" s="9">
        <v>96</v>
      </c>
      <c r="V251" s="9" t="str">
        <f>IFERROR(MID(VLOOKUP($B251,Seqs!$A:$B,2,0),W251,1),"")</f>
        <v>Y</v>
      </c>
      <c r="W251" s="9">
        <v>135</v>
      </c>
      <c r="X251" s="9" t="str">
        <f>IFERROR(MID(VLOOKUP($B251,Seqs!$A:$B,2,0),Y251,1),"")</f>
        <v/>
      </c>
      <c r="Y251" s="9" t="s">
        <v>23</v>
      </c>
      <c r="Z251" s="9" t="str">
        <f>IFERROR(MID(VLOOKUP($B251,Seqs!$A:$B,2,0),AA251,1),"")</f>
        <v/>
      </c>
      <c r="AA251" s="9" t="s">
        <v>23</v>
      </c>
      <c r="AB251" s="9" t="str">
        <f>IFERROR(MID(VLOOKUP($B251,Seqs!$A:$B,2,0),AC251,1),"")</f>
        <v>N</v>
      </c>
      <c r="AC251" s="9">
        <v>143</v>
      </c>
      <c r="AD251" s="9" t="str">
        <f>IFERROR(MID(VLOOKUP($B251,Seqs!$A:$B,2,0),AE251,1),"")</f>
        <v>G</v>
      </c>
      <c r="AE251" s="9">
        <v>166</v>
      </c>
      <c r="AF251" s="9" t="str">
        <f>IFERROR(MID(VLOOKUP($B251,Seqs!$A:$B,2,0),AG251,1),"")</f>
        <v>C</v>
      </c>
      <c r="AG251" s="9">
        <v>177</v>
      </c>
      <c r="AH251" s="9" t="str">
        <f>IFERROR(MID(VLOOKUP($B251,Seqs!$A:$B,2,0),AI251,1),"")</f>
        <v>F</v>
      </c>
      <c r="AI251" s="9">
        <v>179</v>
      </c>
      <c r="AJ251" s="9" t="str">
        <f>IFERROR(MID(VLOOKUP($B251,Seqs!$A:$B,2,0),AK251,1),"")</f>
        <v>S</v>
      </c>
      <c r="AK251" s="9">
        <v>184</v>
      </c>
      <c r="AL251" s="9" t="str">
        <f>IFERROR(MID(VLOOKUP($B251,Seqs!$A:$B,2,0),AM251,1),"")</f>
        <v>R</v>
      </c>
      <c r="AM251" s="9">
        <v>218</v>
      </c>
      <c r="AN251" s="9" t="str">
        <f>IFERROR(MID(VLOOKUP($B251,Seqs!$A:$B,2,0),AO251,1),"")</f>
        <v>F</v>
      </c>
      <c r="AO251" s="9">
        <v>234</v>
      </c>
      <c r="AP251" s="9" t="str">
        <f>IFERROR(MID(VLOOKUP($B251,Seqs!$A:$B,2,0),AQ251,1),"")</f>
        <v>S</v>
      </c>
      <c r="AQ251" s="9">
        <v>263</v>
      </c>
      <c r="AR251" s="9" t="str">
        <f>IFERROR(MID(VLOOKUP($B251,Seqs!$A:$B,2,0),AS251,1),"")</f>
        <v>P</v>
      </c>
      <c r="AS251" s="9">
        <v>273</v>
      </c>
      <c r="AT251" s="9" t="str">
        <f>IFERROR(MID(VLOOKUP($B251,Seqs!$A:$B,2,0),AU251,1),"")</f>
        <v>L</v>
      </c>
      <c r="AU251" s="9">
        <v>298</v>
      </c>
      <c r="AV251" s="9" t="str">
        <f>IFERROR(MID(VLOOKUP($B251,Seqs!$A:$B,2,0),AW251,1),"")</f>
        <v>N</v>
      </c>
      <c r="AW251" s="9">
        <v>299</v>
      </c>
      <c r="AX251" s="9" t="str">
        <f>IFERROR(MID(VLOOKUP($B251,Seqs!$A:$B,2,0),AY251,1),"")</f>
        <v>T</v>
      </c>
      <c r="AY251" s="9">
        <v>315</v>
      </c>
      <c r="AZ251" s="110" t="str">
        <f>VLOOKUP(B251,Classification!A:D,2,0)</f>
        <v>A</v>
      </c>
      <c r="BA251" s="98" t="str">
        <f>VLOOKUP(B251,Classification!A:D,4,0)</f>
        <v>Melatonin</v>
      </c>
      <c r="BB251" s="36" t="b">
        <f>AND(E251&lt;G251,OR(G251&lt;I251,I251="-"),OR(I251&lt;K251,I251="-"),OR(K251&lt;M251,K251="-"),M251&lt;O251,OR(O251&lt;Q251,Q251="-"),OR(Q251&lt;S251,Q251="-"),OR(S251&lt;U251,S251="-"),U251&lt;W251,OR(W251&lt;Y251,Y251="-"),OR(Y251&lt;AA251,Y251="-"),OR(AA251&lt;AC251,AA251="-"),AC251&lt;AE251,OR(AE251&lt;AG251,AG251="-"),OR(AG251&lt;AI251,AG251="-"),OR(AI251&lt;AK251,AI251="-"),AK251&lt;AM251,AM251&lt;AO251,AO251&lt;AQ251,AQ251&lt;AS251,AS251&lt;AU251,OR(AU251&lt;AW251,AW251="-"),OR(AW251&lt;AY251,AW251="-"))</f>
        <v>1</v>
      </c>
      <c r="BC251" s="109">
        <f>_xlfn.AGGREGATE(9,6,CH251:CS251)-_xlfn.AGGREGATE(9,6,BV251:CG251)+12</f>
        <v>248</v>
      </c>
      <c r="BD251" s="123" t="s">
        <v>23</v>
      </c>
      <c r="BE251" s="9" t="s">
        <v>1374</v>
      </c>
      <c r="BF251" s="119">
        <v>3.3</v>
      </c>
      <c r="BG251" s="51" t="s">
        <v>1</v>
      </c>
      <c r="BH251" s="51" t="s">
        <v>1</v>
      </c>
      <c r="BJ251" s="111" t="s">
        <v>1287</v>
      </c>
      <c r="BK251" s="112" t="s">
        <v>1287</v>
      </c>
      <c r="BL251" s="112" t="s">
        <v>1287</v>
      </c>
      <c r="BM251" s="112" t="s">
        <v>1287</v>
      </c>
      <c r="BN251" s="112" t="s">
        <v>1287</v>
      </c>
      <c r="BO251" s="112" t="s">
        <v>1287</v>
      </c>
      <c r="BP251" s="112" t="s">
        <v>1287</v>
      </c>
      <c r="BQ251" s="112" t="s">
        <v>1287</v>
      </c>
      <c r="BR251" s="112" t="s">
        <v>1287</v>
      </c>
      <c r="BS251" s="112" t="s">
        <v>1287</v>
      </c>
      <c r="BT251" s="112" t="s">
        <v>1287</v>
      </c>
      <c r="BU251" s="112" t="s">
        <v>1287</v>
      </c>
      <c r="BV251" s="111">
        <f>E251</f>
        <v>24</v>
      </c>
      <c r="BW251" s="113">
        <f>I251</f>
        <v>56</v>
      </c>
      <c r="BX251" s="114">
        <f>M251</f>
        <v>60</v>
      </c>
      <c r="BY251" s="113">
        <f>Q251</f>
        <v>92</v>
      </c>
      <c r="BZ251" s="114">
        <f>U251</f>
        <v>96</v>
      </c>
      <c r="CA251" s="113" t="str">
        <f>Y251</f>
        <v>-</v>
      </c>
      <c r="CB251" s="114">
        <f>AC251</f>
        <v>143</v>
      </c>
      <c r="CC251" s="113">
        <f>AG251</f>
        <v>177</v>
      </c>
      <c r="CD251" s="114">
        <f>AK251</f>
        <v>184</v>
      </c>
      <c r="CE251" s="113">
        <f>AO251</f>
        <v>234</v>
      </c>
      <c r="CF251" s="114">
        <f>AS251</f>
        <v>273</v>
      </c>
      <c r="CG251" s="113">
        <f>AW251</f>
        <v>299</v>
      </c>
      <c r="CH251" s="111">
        <f>G251</f>
        <v>55</v>
      </c>
      <c r="CI251" s="113">
        <f>K251</f>
        <v>59</v>
      </c>
      <c r="CJ251" s="114">
        <f>O251</f>
        <v>91</v>
      </c>
      <c r="CK251" s="114">
        <f>S251</f>
        <v>95</v>
      </c>
      <c r="CL251" s="114">
        <f>W251</f>
        <v>135</v>
      </c>
      <c r="CM251" s="114" t="str">
        <f>AA251</f>
        <v>-</v>
      </c>
      <c r="CN251" s="114">
        <f>AE251</f>
        <v>166</v>
      </c>
      <c r="CO251" s="114">
        <f>AI251</f>
        <v>179</v>
      </c>
      <c r="CP251" s="114">
        <f>AM251</f>
        <v>218</v>
      </c>
      <c r="CQ251" s="114">
        <f>AQ251</f>
        <v>263</v>
      </c>
      <c r="CR251" s="114">
        <f>AU251</f>
        <v>298</v>
      </c>
      <c r="CS251" s="114">
        <f>AY251</f>
        <v>315</v>
      </c>
      <c r="CT251" s="109">
        <f>M251-K251</f>
        <v>1</v>
      </c>
    </row>
    <row r="252" spans="1:1029" x14ac:dyDescent="0.2">
      <c r="A252" s="3" t="str">
        <f t="shared" ref="A252:A253" si="2068">CONCATENATE(B252,"_",C252)</f>
        <v>mtr1b_human__wt</v>
      </c>
      <c r="B252" s="3" t="s">
        <v>312</v>
      </c>
      <c r="C252" s="3" t="s">
        <v>100</v>
      </c>
      <c r="D252" s="3" t="str">
        <f>IFERROR(MID(VLOOKUP($B252,Seqs!$A:$B,2,0),E252,1),"")</f>
        <v>W</v>
      </c>
      <c r="E252" s="3">
        <v>38</v>
      </c>
      <c r="F252" s="3" t="str">
        <f>IFERROR(MID(VLOOKUP($B252,Seqs!$A:$B,2,0),G252,1),"")</f>
        <v>N</v>
      </c>
      <c r="G252" s="3">
        <v>68</v>
      </c>
      <c r="H252" s="3" t="str">
        <f>IFERROR(MID(VLOOKUP($B252,Seqs!$A:$B,2,0),I252,1),"")</f>
        <v>R</v>
      </c>
      <c r="I252" s="23">
        <v>69</v>
      </c>
      <c r="J252" s="3" t="str">
        <f>IFERROR(MID(VLOOKUP($B252,Seqs!$A:$B,2,0),K252,1),"")</f>
        <v>R</v>
      </c>
      <c r="K252" s="23">
        <v>72</v>
      </c>
      <c r="L252" s="3" t="str">
        <f>IFERROR(MID(VLOOKUP($B252,Seqs!$A:$B,2,0),M252,1),"")</f>
        <v>N</v>
      </c>
      <c r="M252" s="3">
        <v>73</v>
      </c>
      <c r="N252" s="3" t="str">
        <f>IFERROR(MID(VLOOKUP($B252,Seqs!$A:$B,2,0),O252,1),"")</f>
        <v>D</v>
      </c>
      <c r="O252" s="3">
        <v>104</v>
      </c>
      <c r="P252" s="3" t="str">
        <f>IFERROR(MID(VLOOKUP($B252,Seqs!$A:$B,2,0),Q252,1),"")</f>
        <v>G</v>
      </c>
      <c r="Q252" s="3">
        <v>105</v>
      </c>
      <c r="R252" s="3" t="str">
        <f>IFERROR(MID(VLOOKUP($B252,Seqs!$A:$B,2,0),S252,1),"")</f>
        <v>L</v>
      </c>
      <c r="S252" s="3">
        <v>108</v>
      </c>
      <c r="T252" s="3" t="str">
        <f>IFERROR(MID(VLOOKUP($B252,Seqs!$A:$B,2,0),U252,1),"")</f>
        <v>G</v>
      </c>
      <c r="U252" s="3">
        <v>109</v>
      </c>
      <c r="V252" s="3" t="str">
        <f>IFERROR(MID(VLOOKUP($B252,Seqs!$A:$B,2,0),W252,1),"")</f>
        <v>H</v>
      </c>
      <c r="W252" s="3">
        <v>144</v>
      </c>
      <c r="X252" s="3" t="str">
        <f>IFERROR(MID(VLOOKUP($B252,Seqs!$A:$B,2,0),Y252,1),"")</f>
        <v>S</v>
      </c>
      <c r="Y252" s="3">
        <v>145</v>
      </c>
      <c r="Z252" s="3" t="str">
        <f>IFERROR(MID(VLOOKUP($B252,Seqs!$A:$B,2,0),AA252,1),"")</f>
        <v>Y</v>
      </c>
      <c r="AA252" s="3">
        <v>152</v>
      </c>
      <c r="AB252" s="3" t="str">
        <f>IFERROR(MID(VLOOKUP($B252,Seqs!$A:$B,2,0),AC252,1),"")</f>
        <v>R</v>
      </c>
      <c r="AC252" s="3">
        <v>153</v>
      </c>
      <c r="AD252" s="3" t="str">
        <f>IFERROR(MID(VLOOKUP($B252,Seqs!$A:$B,2,0),AE252,1),"")</f>
        <v>G</v>
      </c>
      <c r="AE252" s="3">
        <v>179</v>
      </c>
      <c r="AF252" s="3" t="str">
        <f>IFERROR(MID(VLOOKUP($B252,Seqs!$A:$B,2,0),AG252,1),"")</f>
        <v>C</v>
      </c>
      <c r="AG252" s="3">
        <v>190</v>
      </c>
      <c r="AH252" s="3" t="str">
        <f>IFERROR(MID(VLOOKUP($B252,Seqs!$A:$B,2,0),AI252,1),"")</f>
        <v>F</v>
      </c>
      <c r="AI252" s="3">
        <v>192</v>
      </c>
      <c r="AJ252" s="3" t="str">
        <f>IFERROR(MID(VLOOKUP($B252,Seqs!$A:$B,2,0),AK252,1),"")</f>
        <v>S</v>
      </c>
      <c r="AK252" s="3">
        <v>197</v>
      </c>
      <c r="AL252" s="3" t="str">
        <f>IFERROR(MID(VLOOKUP($B252,Seqs!$A:$B,2,0),AM252,1),"")</f>
        <v>A</v>
      </c>
      <c r="AM252" s="3">
        <v>234</v>
      </c>
      <c r="AN252" s="3" t="str">
        <f>IFERROR(MID(VLOOKUP($B252,Seqs!$A:$B,2,0),AO252,1),"")</f>
        <v>L</v>
      </c>
      <c r="AO252" s="3">
        <v>240</v>
      </c>
      <c r="AP252" s="3" t="str">
        <f>IFERROR(MID(VLOOKUP($B252,Seqs!$A:$B,2,0),AQ252,1),"")</f>
        <v>N</v>
      </c>
      <c r="AQ252" s="3">
        <v>277</v>
      </c>
      <c r="AR252" s="3" t="str">
        <f>IFERROR(MID(VLOOKUP($B252,Seqs!$A:$B,2,0),AS252,1),"")</f>
        <v>P</v>
      </c>
      <c r="AS252" s="3">
        <v>286</v>
      </c>
      <c r="AT252" s="3" t="str">
        <f>IFERROR(MID(VLOOKUP($B252,Seqs!$A:$B,2,0),AU252,1),"")</f>
        <v>L</v>
      </c>
      <c r="AU252" s="3">
        <v>311</v>
      </c>
      <c r="AV252" s="3" t="str">
        <f>IFERROR(MID(VLOOKUP($B252,Seqs!$A:$B,2,0),AW252,1),"")</f>
        <v>N</v>
      </c>
      <c r="AW252" s="3">
        <v>312</v>
      </c>
      <c r="AX252" s="3" t="str">
        <f>IFERROR(MID(VLOOKUP($B252,Seqs!$A:$B,2,0),AY252,1),"")</f>
        <v>N</v>
      </c>
      <c r="AY252" s="3">
        <v>328</v>
      </c>
      <c r="AZ252" s="77" t="str">
        <f>VLOOKUP(B252,Classification!A:D,2,0)</f>
        <v>A</v>
      </c>
      <c r="BA252" s="94" t="str">
        <f>VLOOKUP(B252,Classification!A:D,4,0)</f>
        <v>Melatonin</v>
      </c>
      <c r="BB252" s="27" t="b">
        <f t="shared" ref="BB252:BB253" si="2069">AND(E252&lt;G252,OR(G252&lt;I252,I252="-"),OR(I252&lt;K252,I252="-"),OR(K252&lt;M252,K252="-"),M252&lt;O252,OR(O252&lt;Q252,Q252="-"),OR(Q252&lt;S252,Q252="-"),OR(S252&lt;U252,S252="-"),U252&lt;W252,OR(W252&lt;Y252,Y252="-"),OR(Y252&lt;AA252,Y252="-"),OR(AA252&lt;AC252,AA252="-"),AC252&lt;AE252,OR(AE252&lt;AG252,AG252="-"),OR(AG252&lt;AI252,AG252="-"),OR(AI252&lt;AK252,AI252="-"),AK252&lt;AM252,AM252&lt;AO252,AO252&lt;AQ252,AQ252&lt;AS252,AS252&lt;AU252,OR(AU252&lt;AW252,AW252="-"),OR(AW252&lt;AY252,AW252="-"))</f>
        <v>1</v>
      </c>
      <c r="BC252" s="23">
        <f t="shared" ref="BC252:BC253" si="2070">_xlfn.AGGREGATE(9,6,CH252:CS252)-_xlfn.AGGREGATE(9,6,BV252:CG252)+12</f>
        <v>264</v>
      </c>
      <c r="BD252" s="5" t="s">
        <v>23</v>
      </c>
      <c r="BE252" s="3" t="s">
        <v>23</v>
      </c>
      <c r="BF252" s="118" t="s">
        <v>23</v>
      </c>
      <c r="BI252" s="1"/>
      <c r="BJ252" s="70" t="s">
        <v>1287</v>
      </c>
      <c r="BK252" s="57" t="s">
        <v>1287</v>
      </c>
      <c r="BL252" s="57" t="s">
        <v>1287</v>
      </c>
      <c r="BM252" s="57" t="s">
        <v>1287</v>
      </c>
      <c r="BN252" s="57" t="s">
        <v>1287</v>
      </c>
      <c r="BO252" s="57" t="s">
        <v>1287</v>
      </c>
      <c r="BP252" s="57" t="s">
        <v>1287</v>
      </c>
      <c r="BQ252" s="57" t="s">
        <v>1287</v>
      </c>
      <c r="BR252" s="57" t="s">
        <v>1287</v>
      </c>
      <c r="BS252" s="57" t="s">
        <v>1287</v>
      </c>
      <c r="BT252" s="57" t="s">
        <v>1287</v>
      </c>
      <c r="BU252" s="57" t="s">
        <v>1287</v>
      </c>
      <c r="BV252" s="70">
        <f t="shared" ref="BV252:BV253" si="2071">E252</f>
        <v>38</v>
      </c>
      <c r="BW252" s="71">
        <f t="shared" ref="BW252:BW253" si="2072">I252</f>
        <v>69</v>
      </c>
      <c r="BX252" s="72">
        <f t="shared" ref="BX252:BX253" si="2073">M252</f>
        <v>73</v>
      </c>
      <c r="BY252" s="71">
        <f t="shared" ref="BY252:BY253" si="2074">Q252</f>
        <v>105</v>
      </c>
      <c r="BZ252" s="72">
        <f t="shared" ref="BZ252:BZ253" si="2075">U252</f>
        <v>109</v>
      </c>
      <c r="CA252" s="71">
        <f t="shared" ref="CA252:CA253" si="2076">Y252</f>
        <v>145</v>
      </c>
      <c r="CB252" s="72">
        <f t="shared" ref="CB252:CB253" si="2077">AC252</f>
        <v>153</v>
      </c>
      <c r="CC252" s="71">
        <f t="shared" ref="CC252:CC253" si="2078">AG252</f>
        <v>190</v>
      </c>
      <c r="CD252" s="72">
        <f t="shared" ref="CD252:CD253" si="2079">AK252</f>
        <v>197</v>
      </c>
      <c r="CE252" s="71">
        <f t="shared" ref="CE252:CE253" si="2080">AO252</f>
        <v>240</v>
      </c>
      <c r="CF252" s="72">
        <f t="shared" ref="CF252:CF253" si="2081">AS252</f>
        <v>286</v>
      </c>
      <c r="CG252" s="71">
        <f t="shared" ref="CG252:CG253" si="2082">AW252</f>
        <v>312</v>
      </c>
      <c r="CH252" s="70">
        <f t="shared" ref="CH252:CH253" si="2083">G252</f>
        <v>68</v>
      </c>
      <c r="CI252" s="71">
        <f t="shared" ref="CI252:CI253" si="2084">K252</f>
        <v>72</v>
      </c>
      <c r="CJ252" s="72">
        <f t="shared" ref="CJ252:CJ253" si="2085">O252</f>
        <v>104</v>
      </c>
      <c r="CK252" s="72">
        <f t="shared" ref="CK252:CK253" si="2086">S252</f>
        <v>108</v>
      </c>
      <c r="CL252" s="72">
        <f t="shared" ref="CL252:CL253" si="2087">W252</f>
        <v>144</v>
      </c>
      <c r="CM252" s="72">
        <f t="shared" ref="CM252:CM253" si="2088">AA252</f>
        <v>152</v>
      </c>
      <c r="CN252" s="72">
        <f t="shared" ref="CN252:CN253" si="2089">AE252</f>
        <v>179</v>
      </c>
      <c r="CO252" s="72">
        <f t="shared" ref="CO252:CO253" si="2090">AI252</f>
        <v>192</v>
      </c>
      <c r="CP252" s="72">
        <f t="shared" ref="CP252:CP253" si="2091">AM252</f>
        <v>234</v>
      </c>
      <c r="CQ252" s="72">
        <f t="shared" ref="CQ252:CQ253" si="2092">AQ252</f>
        <v>277</v>
      </c>
      <c r="CR252" s="72">
        <f t="shared" ref="CR252:CR253" si="2093">AU252</f>
        <v>311</v>
      </c>
      <c r="CS252" s="72">
        <f t="shared" ref="CS252:CS253" si="2094">AY252</f>
        <v>328</v>
      </c>
      <c r="CT252" s="23">
        <f t="shared" ref="CT252:CT253" si="2095">M252-K252</f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29" x14ac:dyDescent="0.2">
      <c r="A253" s="3" t="str">
        <f t="shared" si="2068"/>
        <v>mtr1b_human_6ME6</v>
      </c>
      <c r="B253" s="3" t="s">
        <v>312</v>
      </c>
      <c r="C253" s="3" t="s">
        <v>1568</v>
      </c>
      <c r="D253" s="3" t="str">
        <f>IFERROR(MID(VLOOKUP($B253,Seqs!$A:$B,2,0),E253,1),"")</f>
        <v>W</v>
      </c>
      <c r="E253" s="3">
        <v>38</v>
      </c>
      <c r="F253" s="3" t="str">
        <f>IFERROR(MID(VLOOKUP($B253,Seqs!$A:$B,2,0),G253,1),"")</f>
        <v>R</v>
      </c>
      <c r="G253" s="3">
        <v>67</v>
      </c>
      <c r="H253" s="3" t="str">
        <f>IFERROR(MID(VLOOKUP($B253,Seqs!$A:$B,2,0),I253,1),"")</f>
        <v>R</v>
      </c>
      <c r="I253" s="23">
        <v>69</v>
      </c>
      <c r="J253" s="3" t="str">
        <f>IFERROR(MID(VLOOKUP($B253,Seqs!$A:$B,2,0),K253,1),"")</f>
        <v>R</v>
      </c>
      <c r="K253" s="23">
        <v>72</v>
      </c>
      <c r="L253" s="3" t="str">
        <f>IFERROR(MID(VLOOKUP($B253,Seqs!$A:$B,2,0),M253,1),"")</f>
        <v>N</v>
      </c>
      <c r="M253" s="3">
        <v>73</v>
      </c>
      <c r="N253" s="3" t="str">
        <f>IFERROR(MID(VLOOKUP($B253,Seqs!$A:$B,2,0),O253,1),"")</f>
        <v>D</v>
      </c>
      <c r="O253" s="3">
        <v>104</v>
      </c>
      <c r="P253" s="3" t="str">
        <f>IFERROR(MID(VLOOKUP($B253,Seqs!$A:$B,2,0),Q253,1),"")</f>
        <v>G</v>
      </c>
      <c r="Q253" s="3">
        <v>105</v>
      </c>
      <c r="R253" s="3" t="str">
        <f>IFERROR(MID(VLOOKUP($B253,Seqs!$A:$B,2,0),S253,1),"")</f>
        <v>L</v>
      </c>
      <c r="S253" s="3">
        <v>108</v>
      </c>
      <c r="T253" s="3" t="str">
        <f>IFERROR(MID(VLOOKUP($B253,Seqs!$A:$B,2,0),U253,1),"")</f>
        <v>E</v>
      </c>
      <c r="U253" s="3">
        <v>110</v>
      </c>
      <c r="V253" s="3" t="str">
        <f>IFERROR(MID(VLOOKUP($B253,Seqs!$A:$B,2,0),W253,1),"")</f>
        <v>H</v>
      </c>
      <c r="W253" s="3">
        <v>144</v>
      </c>
      <c r="X253" s="3" t="str">
        <f>IFERROR(MID(VLOOKUP($B253,Seqs!$A:$B,2,0),Y253,1),"")</f>
        <v>S</v>
      </c>
      <c r="Y253" s="3">
        <v>145</v>
      </c>
      <c r="Z253" s="3" t="str">
        <f>IFERROR(MID(VLOOKUP($B253,Seqs!$A:$B,2,0),AA253,1),"")</f>
        <v>Y</v>
      </c>
      <c r="AA253" s="3">
        <v>152</v>
      </c>
      <c r="AB253" s="3" t="str">
        <f>IFERROR(MID(VLOOKUP($B253,Seqs!$A:$B,2,0),AC253,1),"")</f>
        <v>R</v>
      </c>
      <c r="AC253" s="3">
        <v>153</v>
      </c>
      <c r="AD253" s="3" t="str">
        <f>IFERROR(MID(VLOOKUP($B253,Seqs!$A:$B,2,0),AE253,1),"")</f>
        <v>V</v>
      </c>
      <c r="AE253" s="3">
        <v>178</v>
      </c>
      <c r="AF253" s="3" t="str">
        <f>IFERROR(MID(VLOOKUP($B253,Seqs!$A:$B,2,0),AG253,1),"")</f>
        <v>C</v>
      </c>
      <c r="AG253" s="3">
        <v>190</v>
      </c>
      <c r="AH253" s="3" t="str">
        <f>IFERROR(MID(VLOOKUP($B253,Seqs!$A:$B,2,0),AI253,1),"")</f>
        <v>F</v>
      </c>
      <c r="AI253" s="3">
        <v>192</v>
      </c>
      <c r="AJ253" s="3" t="str">
        <f>IFERROR(MID(VLOOKUP($B253,Seqs!$A:$B,2,0),AK253,1),"")</f>
        <v>S</v>
      </c>
      <c r="AK253" s="3">
        <v>197</v>
      </c>
      <c r="AL253" s="3" t="str">
        <f>IFERROR(MID(VLOOKUP($B253,Seqs!$A:$B,2,0),AM253,1),"")</f>
        <v>R</v>
      </c>
      <c r="AM253" s="3">
        <v>231</v>
      </c>
      <c r="AN253" s="3" t="str">
        <f>IFERROR(MID(VLOOKUP($B253,Seqs!$A:$B,2,0),AO253,1),"")</f>
        <v>F</v>
      </c>
      <c r="AO253" s="3">
        <v>250</v>
      </c>
      <c r="AP253" s="3" t="str">
        <f>IFERROR(MID(VLOOKUP($B253,Seqs!$A:$B,2,0),AQ253,1),"")</f>
        <v>N</v>
      </c>
      <c r="AQ253" s="3">
        <v>277</v>
      </c>
      <c r="AR253" s="3" t="str">
        <f>IFERROR(MID(VLOOKUP($B253,Seqs!$A:$B,2,0),AS253,1),"")</f>
        <v>P</v>
      </c>
      <c r="AS253" s="3">
        <v>286</v>
      </c>
      <c r="AT253" s="3" t="str">
        <f>IFERROR(MID(VLOOKUP($B253,Seqs!$A:$B,2,0),AU253,1),"")</f>
        <v>L</v>
      </c>
      <c r="AU253" s="3">
        <v>311</v>
      </c>
      <c r="AV253" s="3" t="str">
        <f>IFERROR(MID(VLOOKUP($B253,Seqs!$A:$B,2,0),AW253,1),"")</f>
        <v>N</v>
      </c>
      <c r="AW253" s="3">
        <v>312</v>
      </c>
      <c r="AX253" s="3" t="str">
        <f>IFERROR(MID(VLOOKUP($B253,Seqs!$A:$B,2,0),AY253,1),"")</f>
        <v>N</v>
      </c>
      <c r="AY253" s="3">
        <v>328</v>
      </c>
      <c r="AZ253" s="77" t="str">
        <f>VLOOKUP(B253,Classification!A:D,2,0)</f>
        <v>A</v>
      </c>
      <c r="BA253" s="94" t="str">
        <f>VLOOKUP(B253,Classification!A:D,4,0)</f>
        <v>Melatonin</v>
      </c>
      <c r="BB253" s="27" t="b">
        <f t="shared" si="2069"/>
        <v>1</v>
      </c>
      <c r="BC253" s="23">
        <f t="shared" si="2070"/>
        <v>248</v>
      </c>
      <c r="BD253" s="5" t="s">
        <v>23</v>
      </c>
      <c r="BE253" s="3" t="s">
        <v>1374</v>
      </c>
      <c r="BF253" s="118">
        <v>2.8</v>
      </c>
      <c r="BG253" s="49" t="s">
        <v>1281</v>
      </c>
      <c r="BH253" s="49" t="s">
        <v>1281</v>
      </c>
      <c r="BI253" s="1"/>
      <c r="BJ253" s="70" t="s">
        <v>1287</v>
      </c>
      <c r="BK253" s="57" t="s">
        <v>1287</v>
      </c>
      <c r="BL253" s="57" t="s">
        <v>1287</v>
      </c>
      <c r="BM253" s="57" t="s">
        <v>1287</v>
      </c>
      <c r="BN253" s="57" t="s">
        <v>1287</v>
      </c>
      <c r="BO253" s="57" t="s">
        <v>1287</v>
      </c>
      <c r="BP253" s="57" t="s">
        <v>1287</v>
      </c>
      <c r="BQ253" s="57" t="s">
        <v>1287</v>
      </c>
      <c r="BR253" s="57" t="s">
        <v>1287</v>
      </c>
      <c r="BS253" s="57" t="s">
        <v>1287</v>
      </c>
      <c r="BT253" s="57" t="s">
        <v>1287</v>
      </c>
      <c r="BU253" s="57" t="s">
        <v>1287</v>
      </c>
      <c r="BV253" s="70">
        <f t="shared" si="2071"/>
        <v>38</v>
      </c>
      <c r="BW253" s="71">
        <f t="shared" si="2072"/>
        <v>69</v>
      </c>
      <c r="BX253" s="72">
        <f t="shared" si="2073"/>
        <v>73</v>
      </c>
      <c r="BY253" s="71">
        <f t="shared" si="2074"/>
        <v>105</v>
      </c>
      <c r="BZ253" s="72">
        <f t="shared" si="2075"/>
        <v>110</v>
      </c>
      <c r="CA253" s="71">
        <f t="shared" si="2076"/>
        <v>145</v>
      </c>
      <c r="CB253" s="72">
        <f t="shared" si="2077"/>
        <v>153</v>
      </c>
      <c r="CC253" s="71">
        <f t="shared" si="2078"/>
        <v>190</v>
      </c>
      <c r="CD253" s="72">
        <f t="shared" si="2079"/>
        <v>197</v>
      </c>
      <c r="CE253" s="71">
        <f t="shared" si="2080"/>
        <v>250</v>
      </c>
      <c r="CF253" s="72">
        <f t="shared" si="2081"/>
        <v>286</v>
      </c>
      <c r="CG253" s="71">
        <f t="shared" si="2082"/>
        <v>312</v>
      </c>
      <c r="CH253" s="70">
        <f t="shared" si="2083"/>
        <v>67</v>
      </c>
      <c r="CI253" s="71">
        <f t="shared" si="2084"/>
        <v>72</v>
      </c>
      <c r="CJ253" s="72">
        <f t="shared" si="2085"/>
        <v>104</v>
      </c>
      <c r="CK253" s="72">
        <f t="shared" si="2086"/>
        <v>108</v>
      </c>
      <c r="CL253" s="72">
        <f t="shared" si="2087"/>
        <v>144</v>
      </c>
      <c r="CM253" s="72">
        <f t="shared" si="2088"/>
        <v>152</v>
      </c>
      <c r="CN253" s="72">
        <f t="shared" si="2089"/>
        <v>178</v>
      </c>
      <c r="CO253" s="72">
        <f t="shared" si="2090"/>
        <v>192</v>
      </c>
      <c r="CP253" s="72">
        <f t="shared" si="2091"/>
        <v>231</v>
      </c>
      <c r="CQ253" s="72">
        <f t="shared" si="2092"/>
        <v>277</v>
      </c>
      <c r="CR253" s="72">
        <f t="shared" si="2093"/>
        <v>311</v>
      </c>
      <c r="CS253" s="72">
        <f t="shared" si="2094"/>
        <v>328</v>
      </c>
      <c r="CT253" s="23">
        <f t="shared" si="2095"/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29" x14ac:dyDescent="0.2">
      <c r="A254" s="3" t="str">
        <f t="shared" ref="A254" si="2096">CONCATENATE(B254,"_",C254)</f>
        <v>mtr1b_human_6ME7</v>
      </c>
      <c r="B254" s="3" t="s">
        <v>312</v>
      </c>
      <c r="C254" s="3" t="s">
        <v>1569</v>
      </c>
      <c r="D254" s="3" t="str">
        <f>IFERROR(MID(VLOOKUP($B254,Seqs!$A:$B,2,0),E254,1),"")</f>
        <v>W</v>
      </c>
      <c r="E254" s="3">
        <v>38</v>
      </c>
      <c r="F254" s="3" t="str">
        <f>IFERROR(MID(VLOOKUP($B254,Seqs!$A:$B,2,0),G254,1),"")</f>
        <v>N</v>
      </c>
      <c r="G254" s="3">
        <v>68</v>
      </c>
      <c r="H254" s="3" t="str">
        <f>IFERROR(MID(VLOOKUP($B254,Seqs!$A:$B,2,0),I254,1),"")</f>
        <v>R</v>
      </c>
      <c r="I254" s="23">
        <v>69</v>
      </c>
      <c r="J254" s="3" t="str">
        <f>IFERROR(MID(VLOOKUP($B254,Seqs!$A:$B,2,0),K254,1),"")</f>
        <v>R</v>
      </c>
      <c r="K254" s="23">
        <v>72</v>
      </c>
      <c r="L254" s="3" t="str">
        <f>IFERROR(MID(VLOOKUP($B254,Seqs!$A:$B,2,0),M254,1),"")</f>
        <v>G</v>
      </c>
      <c r="M254" s="3">
        <v>75</v>
      </c>
      <c r="N254" s="3" t="str">
        <f>IFERROR(MID(VLOOKUP($B254,Seqs!$A:$B,2,0),O254,1),"")</f>
        <v>D</v>
      </c>
      <c r="O254" s="3">
        <v>104</v>
      </c>
      <c r="P254" s="3" t="str">
        <f>IFERROR(MID(VLOOKUP($B254,Seqs!$A:$B,2,0),Q254,1),"")</f>
        <v>G</v>
      </c>
      <c r="Q254" s="3">
        <v>105</v>
      </c>
      <c r="R254" s="3" t="str">
        <f>IFERROR(MID(VLOOKUP($B254,Seqs!$A:$B,2,0),S254,1),"")</f>
        <v>L</v>
      </c>
      <c r="S254" s="3">
        <v>108</v>
      </c>
      <c r="T254" s="3" t="str">
        <f>IFERROR(MID(VLOOKUP($B254,Seqs!$A:$B,2,0),U254,1),"")</f>
        <v>G</v>
      </c>
      <c r="U254" s="3">
        <v>109</v>
      </c>
      <c r="V254" s="3" t="str">
        <f>IFERROR(MID(VLOOKUP($B254,Seqs!$A:$B,2,0),W254,1),"")</f>
        <v>H</v>
      </c>
      <c r="W254" s="3">
        <v>144</v>
      </c>
      <c r="X254" s="3" t="str">
        <f>IFERROR(MID(VLOOKUP($B254,Seqs!$A:$B,2,0),Y254,1),"")</f>
        <v>S</v>
      </c>
      <c r="Y254" s="3">
        <v>145</v>
      </c>
      <c r="Z254" s="3" t="str">
        <f>IFERROR(MID(VLOOKUP($B254,Seqs!$A:$B,2,0),AA254,1),"")</f>
        <v>Y</v>
      </c>
      <c r="AA254" s="3">
        <v>152</v>
      </c>
      <c r="AB254" s="3" t="str">
        <f>IFERROR(MID(VLOOKUP($B254,Seqs!$A:$B,2,0),AC254,1),"")</f>
        <v>R</v>
      </c>
      <c r="AC254" s="3">
        <v>153</v>
      </c>
      <c r="AD254" s="3" t="str">
        <f>IFERROR(MID(VLOOKUP($B254,Seqs!$A:$B,2,0),AE254,1),"")</f>
        <v>G</v>
      </c>
      <c r="AE254" s="3">
        <v>179</v>
      </c>
      <c r="AF254" s="3" t="str">
        <f>IFERROR(MID(VLOOKUP($B254,Seqs!$A:$B,2,0),AG254,1),"")</f>
        <v>C</v>
      </c>
      <c r="AG254" s="3">
        <v>190</v>
      </c>
      <c r="AH254" s="3" t="str">
        <f>IFERROR(MID(VLOOKUP($B254,Seqs!$A:$B,2,0),AI254,1),"")</f>
        <v>F</v>
      </c>
      <c r="AI254" s="3">
        <v>192</v>
      </c>
      <c r="AJ254" s="3" t="str">
        <f>IFERROR(MID(VLOOKUP($B254,Seqs!$A:$B,2,0),AK254,1),"")</f>
        <v>S</v>
      </c>
      <c r="AK254" s="3">
        <v>197</v>
      </c>
      <c r="AL254" s="3" t="str">
        <f>IFERROR(MID(VLOOKUP($B254,Seqs!$A:$B,2,0),AM254,1),"")</f>
        <v>A</v>
      </c>
      <c r="AM254" s="3">
        <v>230</v>
      </c>
      <c r="AN254" s="3" t="str">
        <f>IFERROR(MID(VLOOKUP($B254,Seqs!$A:$B,2,0),AO254,1),"")</f>
        <v>S</v>
      </c>
      <c r="AO254" s="3">
        <v>249</v>
      </c>
      <c r="AP254" s="3" t="str">
        <f>IFERROR(MID(VLOOKUP($B254,Seqs!$A:$B,2,0),AQ254,1),"")</f>
        <v>N</v>
      </c>
      <c r="AQ254" s="3">
        <v>277</v>
      </c>
      <c r="AR254" s="3" t="str">
        <f>IFERROR(MID(VLOOKUP($B254,Seqs!$A:$B,2,0),AS254,1),"")</f>
        <v>P</v>
      </c>
      <c r="AS254" s="3">
        <v>286</v>
      </c>
      <c r="AT254" s="3" t="str">
        <f>IFERROR(MID(VLOOKUP($B254,Seqs!$A:$B,2,0),AU254,1),"")</f>
        <v>L</v>
      </c>
      <c r="AU254" s="3">
        <v>311</v>
      </c>
      <c r="AV254" s="3" t="str">
        <f>IFERROR(MID(VLOOKUP($B254,Seqs!$A:$B,2,0),AW254,1),"")</f>
        <v>N</v>
      </c>
      <c r="AW254" s="3">
        <v>312</v>
      </c>
      <c r="AX254" s="3" t="str">
        <f>IFERROR(MID(VLOOKUP($B254,Seqs!$A:$B,2,0),AY254,1),"")</f>
        <v>N</v>
      </c>
      <c r="AY254" s="3">
        <v>328</v>
      </c>
      <c r="AZ254" s="77" t="str">
        <f>VLOOKUP(B254,Classification!A:D,2,0)</f>
        <v>A</v>
      </c>
      <c r="BA254" s="94" t="str">
        <f>VLOOKUP(B254,Classification!A:D,4,0)</f>
        <v>Melatonin</v>
      </c>
      <c r="BB254" s="27" t="b">
        <f t="shared" ref="BB254" si="2097">AND(E254&lt;G254,OR(G254&lt;I254,I254="-"),OR(I254&lt;K254,I254="-"),OR(K254&lt;M254,K254="-"),M254&lt;O254,OR(O254&lt;Q254,Q254="-"),OR(Q254&lt;S254,Q254="-"),OR(S254&lt;U254,S254="-"),U254&lt;W254,OR(W254&lt;Y254,Y254="-"),OR(Y254&lt;AA254,Y254="-"),OR(AA254&lt;AC254,AA254="-"),AC254&lt;AE254,OR(AE254&lt;AG254,AG254="-"),OR(AG254&lt;AI254,AG254="-"),OR(AI254&lt;AK254,AI254="-"),AK254&lt;AM254,AM254&lt;AO254,AO254&lt;AQ254,AQ254&lt;AS254,AS254&lt;AU254,OR(AU254&lt;AW254,AW254="-"),OR(AW254&lt;AY254,AW254="-"))</f>
        <v>1</v>
      </c>
      <c r="BC254" s="23">
        <f t="shared" ref="BC254" si="2098">_xlfn.AGGREGATE(9,6,CH254:CS254)-_xlfn.AGGREGATE(9,6,BV254:CG254)+12</f>
        <v>249</v>
      </c>
      <c r="BD254" s="5" t="s">
        <v>1376</v>
      </c>
      <c r="BE254" s="3" t="s">
        <v>1374</v>
      </c>
      <c r="BF254" s="118">
        <v>3.2</v>
      </c>
      <c r="BG254" s="49" t="s">
        <v>1</v>
      </c>
      <c r="BH254" s="49" t="s">
        <v>1</v>
      </c>
      <c r="BI254" s="1"/>
      <c r="BJ254" s="70" t="s">
        <v>1287</v>
      </c>
      <c r="BK254" s="57" t="s">
        <v>1287</v>
      </c>
      <c r="BL254" s="57" t="s">
        <v>1287</v>
      </c>
      <c r="BM254" s="57" t="s">
        <v>1287</v>
      </c>
      <c r="BN254" s="57" t="s">
        <v>1287</v>
      </c>
      <c r="BO254" s="57" t="s">
        <v>1287</v>
      </c>
      <c r="BP254" s="57" t="s">
        <v>1287</v>
      </c>
      <c r="BQ254" s="57" t="s">
        <v>1287</v>
      </c>
      <c r="BR254" s="57" t="s">
        <v>1287</v>
      </c>
      <c r="BS254" s="57" t="s">
        <v>1287</v>
      </c>
      <c r="BT254" s="57" t="s">
        <v>1287</v>
      </c>
      <c r="BU254" s="57" t="s">
        <v>1287</v>
      </c>
      <c r="BV254" s="70">
        <f t="shared" ref="BV254" si="2099">E254</f>
        <v>38</v>
      </c>
      <c r="BW254" s="71">
        <f t="shared" ref="BW254" si="2100">I254</f>
        <v>69</v>
      </c>
      <c r="BX254" s="72">
        <f t="shared" ref="BX254" si="2101">M254</f>
        <v>75</v>
      </c>
      <c r="BY254" s="71">
        <f t="shared" ref="BY254" si="2102">Q254</f>
        <v>105</v>
      </c>
      <c r="BZ254" s="72">
        <f t="shared" ref="BZ254" si="2103">U254</f>
        <v>109</v>
      </c>
      <c r="CA254" s="71">
        <f t="shared" ref="CA254" si="2104">Y254</f>
        <v>145</v>
      </c>
      <c r="CB254" s="72">
        <f t="shared" ref="CB254" si="2105">AC254</f>
        <v>153</v>
      </c>
      <c r="CC254" s="71">
        <f t="shared" ref="CC254" si="2106">AG254</f>
        <v>190</v>
      </c>
      <c r="CD254" s="72">
        <f t="shared" ref="CD254" si="2107">AK254</f>
        <v>197</v>
      </c>
      <c r="CE254" s="71">
        <f t="shared" ref="CE254" si="2108">AO254</f>
        <v>249</v>
      </c>
      <c r="CF254" s="72">
        <f t="shared" ref="CF254" si="2109">AS254</f>
        <v>286</v>
      </c>
      <c r="CG254" s="71">
        <f t="shared" ref="CG254" si="2110">AW254</f>
        <v>312</v>
      </c>
      <c r="CH254" s="70">
        <f t="shared" ref="CH254" si="2111">G254</f>
        <v>68</v>
      </c>
      <c r="CI254" s="71">
        <f t="shared" ref="CI254" si="2112">K254</f>
        <v>72</v>
      </c>
      <c r="CJ254" s="72">
        <f t="shared" ref="CJ254" si="2113">O254</f>
        <v>104</v>
      </c>
      <c r="CK254" s="72">
        <f t="shared" ref="CK254" si="2114">S254</f>
        <v>108</v>
      </c>
      <c r="CL254" s="72">
        <f t="shared" ref="CL254" si="2115">W254</f>
        <v>144</v>
      </c>
      <c r="CM254" s="72">
        <f t="shared" ref="CM254" si="2116">AA254</f>
        <v>152</v>
      </c>
      <c r="CN254" s="72">
        <f t="shared" ref="CN254" si="2117">AE254</f>
        <v>179</v>
      </c>
      <c r="CO254" s="72">
        <f t="shared" ref="CO254" si="2118">AI254</f>
        <v>192</v>
      </c>
      <c r="CP254" s="72">
        <f t="shared" ref="CP254" si="2119">AM254</f>
        <v>230</v>
      </c>
      <c r="CQ254" s="72">
        <f t="shared" ref="CQ254" si="2120">AQ254</f>
        <v>277</v>
      </c>
      <c r="CR254" s="72">
        <f t="shared" ref="CR254" si="2121">AU254</f>
        <v>311</v>
      </c>
      <c r="CS254" s="72">
        <f t="shared" ref="CS254" si="2122">AY254</f>
        <v>328</v>
      </c>
      <c r="CT254" s="23">
        <f t="shared" ref="CT254" si="2123">M254-K254</f>
        <v>3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29" x14ac:dyDescent="0.2">
      <c r="A255" s="3" t="str">
        <f t="shared" ref="A255" si="2124">CONCATENATE(B255,"_",C255)</f>
        <v>mtr1b_human_6ME8</v>
      </c>
      <c r="B255" s="3" t="s">
        <v>312</v>
      </c>
      <c r="C255" s="3" t="s">
        <v>1570</v>
      </c>
      <c r="D255" s="3" t="str">
        <f>IFERROR(MID(VLOOKUP($B255,Seqs!$A:$B,2,0),E255,1),"")</f>
        <v>W</v>
      </c>
      <c r="E255" s="3">
        <v>38</v>
      </c>
      <c r="F255" s="3" t="str">
        <f>IFERROR(MID(VLOOKUP($B255,Seqs!$A:$B,2,0),G255,1),"")</f>
        <v>R</v>
      </c>
      <c r="G255" s="3">
        <v>67</v>
      </c>
      <c r="H255" s="3" t="str">
        <f>IFERROR(MID(VLOOKUP($B255,Seqs!$A:$B,2,0),I255,1),"")</f>
        <v>R</v>
      </c>
      <c r="I255" s="23">
        <v>69</v>
      </c>
      <c r="J255" s="3" t="str">
        <f>IFERROR(MID(VLOOKUP($B255,Seqs!$A:$B,2,0),K255,1),"")</f>
        <v>R</v>
      </c>
      <c r="K255" s="23">
        <v>72</v>
      </c>
      <c r="L255" s="3" t="str">
        <f>IFERROR(MID(VLOOKUP($B255,Seqs!$A:$B,2,0),M255,1),"")</f>
        <v>N</v>
      </c>
      <c r="M255" s="3">
        <v>73</v>
      </c>
      <c r="N255" s="3" t="str">
        <f>IFERROR(MID(VLOOKUP($B255,Seqs!$A:$B,2,0),O255,1),"")</f>
        <v>D</v>
      </c>
      <c r="O255" s="3">
        <v>104</v>
      </c>
      <c r="P255" s="3" t="str">
        <f>IFERROR(MID(VLOOKUP($B255,Seqs!$A:$B,2,0),Q255,1),"")</f>
        <v>G</v>
      </c>
      <c r="Q255" s="3">
        <v>105</v>
      </c>
      <c r="R255" s="3" t="str">
        <f>IFERROR(MID(VLOOKUP($B255,Seqs!$A:$B,2,0),S255,1),"")</f>
        <v>L</v>
      </c>
      <c r="S255" s="3">
        <v>108</v>
      </c>
      <c r="T255" s="3" t="str">
        <f>IFERROR(MID(VLOOKUP($B255,Seqs!$A:$B,2,0),U255,1),"")</f>
        <v>G</v>
      </c>
      <c r="U255" s="3">
        <v>109</v>
      </c>
      <c r="V255" s="3" t="str">
        <f>IFERROR(MID(VLOOKUP($B255,Seqs!$A:$B,2,0),W255,1),"")</f>
        <v>C</v>
      </c>
      <c r="W255" s="3">
        <v>143</v>
      </c>
      <c r="X255" s="3" t="str">
        <f>IFERROR(MID(VLOOKUP($B255,Seqs!$A:$B,2,0),Y255,1),"")</f>
        <v>S</v>
      </c>
      <c r="Y255" s="3">
        <v>145</v>
      </c>
      <c r="Z255" s="3" t="str">
        <f>IFERROR(MID(VLOOKUP($B255,Seqs!$A:$B,2,0),AA255,1),"")</f>
        <v>Y</v>
      </c>
      <c r="AA255" s="3">
        <v>152</v>
      </c>
      <c r="AB255" s="3" t="str">
        <f>IFERROR(MID(VLOOKUP($B255,Seqs!$A:$B,2,0),AC255,1),"")</f>
        <v>H</v>
      </c>
      <c r="AC255" s="3">
        <v>156</v>
      </c>
      <c r="AD255" s="3" t="str">
        <f>IFERROR(MID(VLOOKUP($B255,Seqs!$A:$B,2,0),AE255,1),"")</f>
        <v>G</v>
      </c>
      <c r="AE255" s="3">
        <v>179</v>
      </c>
      <c r="AF255" s="3" t="str">
        <f>IFERROR(MID(VLOOKUP($B255,Seqs!$A:$B,2,0),AG255,1),"")</f>
        <v>C</v>
      </c>
      <c r="AG255" s="3">
        <v>190</v>
      </c>
      <c r="AH255" s="3" t="str">
        <f>IFERROR(MID(VLOOKUP($B255,Seqs!$A:$B,2,0),AI255,1),"")</f>
        <v>F</v>
      </c>
      <c r="AI255" s="3">
        <v>192</v>
      </c>
      <c r="AJ255" s="3" t="str">
        <f>IFERROR(MID(VLOOKUP($B255,Seqs!$A:$B,2,0),AK255,1),"")</f>
        <v>S</v>
      </c>
      <c r="AK255" s="3">
        <v>197</v>
      </c>
      <c r="AL255" s="3" t="str">
        <f>IFERROR(MID(VLOOKUP($B255,Seqs!$A:$B,2,0),AM255,1),"")</f>
        <v>A</v>
      </c>
      <c r="AM255" s="3">
        <v>230</v>
      </c>
      <c r="AN255" s="3" t="str">
        <f>IFERROR(MID(VLOOKUP($B255,Seqs!$A:$B,2,0),AO255,1),"")</f>
        <v>F</v>
      </c>
      <c r="AO255" s="3">
        <v>250</v>
      </c>
      <c r="AP255" s="3" t="str">
        <f>IFERROR(MID(VLOOKUP($B255,Seqs!$A:$B,2,0),AQ255,1),"")</f>
        <v>N</v>
      </c>
      <c r="AQ255" s="3">
        <v>277</v>
      </c>
      <c r="AR255" s="3" t="str">
        <f>IFERROR(MID(VLOOKUP($B255,Seqs!$A:$B,2,0),AS255,1),"")</f>
        <v>P</v>
      </c>
      <c r="AS255" s="3">
        <v>286</v>
      </c>
      <c r="AT255" s="3" t="str">
        <f>IFERROR(MID(VLOOKUP($B255,Seqs!$A:$B,2,0),AU255,1),"")</f>
        <v>L</v>
      </c>
      <c r="AU255" s="3">
        <v>311</v>
      </c>
      <c r="AV255" s="3" t="str">
        <f>IFERROR(MID(VLOOKUP($B255,Seqs!$A:$B,2,0),AW255,1),"")</f>
        <v>N</v>
      </c>
      <c r="AW255" s="3">
        <v>312</v>
      </c>
      <c r="AX255" s="3" t="str">
        <f>IFERROR(MID(VLOOKUP($B255,Seqs!$A:$B,2,0),AY255,1),"")</f>
        <v>N</v>
      </c>
      <c r="AY255" s="3">
        <v>328</v>
      </c>
      <c r="AZ255" s="77" t="str">
        <f>VLOOKUP(B255,Classification!A:D,2,0)</f>
        <v>A</v>
      </c>
      <c r="BA255" s="94" t="str">
        <f>VLOOKUP(B255,Classification!A:D,4,0)</f>
        <v>Melatonin</v>
      </c>
      <c r="BB255" s="27" t="b">
        <f t="shared" ref="BB255" si="2125"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23">
        <f t="shared" ref="BC255" si="2126">_xlfn.AGGREGATE(9,6,CH255:CS255)-_xlfn.AGGREGATE(9,6,BV255:CG255)+12</f>
        <v>245</v>
      </c>
      <c r="BD255" s="5" t="s">
        <v>23</v>
      </c>
      <c r="BE255" s="3" t="s">
        <v>1374</v>
      </c>
      <c r="BF255" s="118">
        <v>3.1</v>
      </c>
      <c r="BG255" s="49" t="s">
        <v>1281</v>
      </c>
      <c r="BH255" s="49" t="s">
        <v>1281</v>
      </c>
      <c r="BI255" s="1"/>
      <c r="BJ255" s="70" t="s">
        <v>1287</v>
      </c>
      <c r="BK255" s="57" t="s">
        <v>1287</v>
      </c>
      <c r="BL255" s="57" t="s">
        <v>1287</v>
      </c>
      <c r="BM255" s="57" t="s">
        <v>1287</v>
      </c>
      <c r="BN255" s="57" t="s">
        <v>1287</v>
      </c>
      <c r="BO255" s="57" t="s">
        <v>1287</v>
      </c>
      <c r="BP255" s="57" t="s">
        <v>1287</v>
      </c>
      <c r="BQ255" s="57" t="s">
        <v>1287</v>
      </c>
      <c r="BR255" s="57" t="s">
        <v>1287</v>
      </c>
      <c r="BS255" s="57" t="s">
        <v>1287</v>
      </c>
      <c r="BT255" s="57" t="s">
        <v>1287</v>
      </c>
      <c r="BU255" s="57" t="s">
        <v>1287</v>
      </c>
      <c r="BV255" s="70">
        <f t="shared" ref="BV255" si="2127">E255</f>
        <v>38</v>
      </c>
      <c r="BW255" s="71">
        <f t="shared" ref="BW255" si="2128">I255</f>
        <v>69</v>
      </c>
      <c r="BX255" s="72">
        <f t="shared" ref="BX255" si="2129">M255</f>
        <v>73</v>
      </c>
      <c r="BY255" s="71">
        <f t="shared" ref="BY255" si="2130">Q255</f>
        <v>105</v>
      </c>
      <c r="BZ255" s="72">
        <f t="shared" ref="BZ255" si="2131">U255</f>
        <v>109</v>
      </c>
      <c r="CA255" s="71">
        <f t="shared" ref="CA255" si="2132">Y255</f>
        <v>145</v>
      </c>
      <c r="CB255" s="72">
        <f t="shared" ref="CB255" si="2133">AC255</f>
        <v>156</v>
      </c>
      <c r="CC255" s="71">
        <f t="shared" ref="CC255" si="2134">AG255</f>
        <v>190</v>
      </c>
      <c r="CD255" s="72">
        <f t="shared" ref="CD255" si="2135">AK255</f>
        <v>197</v>
      </c>
      <c r="CE255" s="71">
        <f t="shared" ref="CE255" si="2136">AO255</f>
        <v>250</v>
      </c>
      <c r="CF255" s="72">
        <f t="shared" ref="CF255" si="2137">AS255</f>
        <v>286</v>
      </c>
      <c r="CG255" s="71">
        <f t="shared" ref="CG255" si="2138">AW255</f>
        <v>312</v>
      </c>
      <c r="CH255" s="70">
        <f t="shared" ref="CH255" si="2139">G255</f>
        <v>67</v>
      </c>
      <c r="CI255" s="71">
        <f t="shared" ref="CI255" si="2140">K255</f>
        <v>72</v>
      </c>
      <c r="CJ255" s="72">
        <f t="shared" ref="CJ255" si="2141">O255</f>
        <v>104</v>
      </c>
      <c r="CK255" s="72">
        <f t="shared" ref="CK255" si="2142">S255</f>
        <v>108</v>
      </c>
      <c r="CL255" s="72">
        <f t="shared" ref="CL255" si="2143">W255</f>
        <v>143</v>
      </c>
      <c r="CM255" s="72">
        <f t="shared" ref="CM255" si="2144">AA255</f>
        <v>152</v>
      </c>
      <c r="CN255" s="72">
        <f t="shared" ref="CN255" si="2145">AE255</f>
        <v>179</v>
      </c>
      <c r="CO255" s="72">
        <f t="shared" ref="CO255" si="2146">AI255</f>
        <v>192</v>
      </c>
      <c r="CP255" s="72">
        <f t="shared" ref="CP255" si="2147">AM255</f>
        <v>230</v>
      </c>
      <c r="CQ255" s="72">
        <f t="shared" ref="CQ255" si="2148">AQ255</f>
        <v>277</v>
      </c>
      <c r="CR255" s="72">
        <f t="shared" ref="CR255" si="2149">AU255</f>
        <v>311</v>
      </c>
      <c r="CS255" s="72">
        <f t="shared" ref="CS255" si="2150">AY255</f>
        <v>328</v>
      </c>
      <c r="CT255" s="23">
        <f t="shared" ref="CT255" si="2151">M255-K255</f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29" x14ac:dyDescent="0.2">
      <c r="A256" s="3" t="str">
        <f t="shared" ref="A256" si="2152">CONCATENATE(B256,"_",C256)</f>
        <v>mtr1b_human_6ME9</v>
      </c>
      <c r="B256" s="3" t="s">
        <v>312</v>
      </c>
      <c r="C256" s="3" t="s">
        <v>1571</v>
      </c>
      <c r="D256" s="3" t="str">
        <f>IFERROR(MID(VLOOKUP($B256,Seqs!$A:$B,2,0),E256,1),"")</f>
        <v>W</v>
      </c>
      <c r="E256" s="3">
        <v>38</v>
      </c>
      <c r="F256" s="3" t="str">
        <f>IFERROR(MID(VLOOKUP($B256,Seqs!$A:$B,2,0),G256,1),"")</f>
        <v>R</v>
      </c>
      <c r="G256" s="3">
        <v>67</v>
      </c>
      <c r="H256" s="3" t="str">
        <f>IFERROR(MID(VLOOKUP($B256,Seqs!$A:$B,2,0),I256,1),"")</f>
        <v>R</v>
      </c>
      <c r="I256" s="23">
        <v>69</v>
      </c>
      <c r="J256" s="3" t="str">
        <f>IFERROR(MID(VLOOKUP($B256,Seqs!$A:$B,2,0),K256,1),"")</f>
        <v>R</v>
      </c>
      <c r="K256" s="23">
        <v>72</v>
      </c>
      <c r="L256" s="3" t="str">
        <f>IFERROR(MID(VLOOKUP($B256,Seqs!$A:$B,2,0),M256,1),"")</f>
        <v>N</v>
      </c>
      <c r="M256" s="3">
        <v>73</v>
      </c>
      <c r="N256" s="3" t="str">
        <f>IFERROR(MID(VLOOKUP($B256,Seqs!$A:$B,2,0),O256,1),"")</f>
        <v>D</v>
      </c>
      <c r="O256" s="3">
        <v>104</v>
      </c>
      <c r="P256" s="3" t="str">
        <f>IFERROR(MID(VLOOKUP($B256,Seqs!$A:$B,2,0),Q256,1),"")</f>
        <v>G</v>
      </c>
      <c r="Q256" s="3">
        <v>105</v>
      </c>
      <c r="R256" s="3" t="str">
        <f>IFERROR(MID(VLOOKUP($B256,Seqs!$A:$B,2,0),S256,1),"")</f>
        <v>L</v>
      </c>
      <c r="S256" s="3">
        <v>108</v>
      </c>
      <c r="T256" s="3" t="str">
        <f>IFERROR(MID(VLOOKUP($B256,Seqs!$A:$B,2,0),U256,1),"")</f>
        <v>G</v>
      </c>
      <c r="U256" s="3">
        <v>109</v>
      </c>
      <c r="V256" s="3" t="str">
        <f>IFERROR(MID(VLOOKUP($B256,Seqs!$A:$B,2,0),W256,1),"")</f>
        <v>C</v>
      </c>
      <c r="W256" s="3">
        <v>143</v>
      </c>
      <c r="X256" s="3" t="str">
        <f>IFERROR(MID(VLOOKUP($B256,Seqs!$A:$B,2,0),Y256,1),"")</f>
        <v>S</v>
      </c>
      <c r="Y256" s="3">
        <v>145</v>
      </c>
      <c r="Z256" s="3" t="str">
        <f>IFERROR(MID(VLOOKUP($B256,Seqs!$A:$B,2,0),AA256,1),"")</f>
        <v>Y</v>
      </c>
      <c r="AA256" s="3">
        <v>152</v>
      </c>
      <c r="AB256" s="3" t="str">
        <f>IFERROR(MID(VLOOKUP($B256,Seqs!$A:$B,2,0),AC256,1),"")</f>
        <v>H</v>
      </c>
      <c r="AC256" s="3">
        <v>156</v>
      </c>
      <c r="AD256" s="3" t="str">
        <f>IFERROR(MID(VLOOKUP($B256,Seqs!$A:$B,2,0),AE256,1),"")</f>
        <v>G</v>
      </c>
      <c r="AE256" s="3">
        <v>179</v>
      </c>
      <c r="AF256" s="3" t="str">
        <f>IFERROR(MID(VLOOKUP($B256,Seqs!$A:$B,2,0),AG256,1),"")</f>
        <v>C</v>
      </c>
      <c r="AG256" s="3">
        <v>190</v>
      </c>
      <c r="AH256" s="3" t="str">
        <f>IFERROR(MID(VLOOKUP($B256,Seqs!$A:$B,2,0),AI256,1),"")</f>
        <v>F</v>
      </c>
      <c r="AI256" s="3">
        <v>192</v>
      </c>
      <c r="AJ256" s="3" t="str">
        <f>IFERROR(MID(VLOOKUP($B256,Seqs!$A:$B,2,0),AK256,1),"")</f>
        <v>S</v>
      </c>
      <c r="AK256" s="3">
        <v>197</v>
      </c>
      <c r="AL256" s="3" t="str">
        <f>IFERROR(MID(VLOOKUP($B256,Seqs!$A:$B,2,0),AM256,1),"")</f>
        <v>A</v>
      </c>
      <c r="AM256" s="3">
        <v>230</v>
      </c>
      <c r="AN256" s="3" t="str">
        <f>IFERROR(MID(VLOOKUP($B256,Seqs!$A:$B,2,0),AO256,1),"")</f>
        <v>F</v>
      </c>
      <c r="AO256" s="3">
        <v>250</v>
      </c>
      <c r="AP256" s="3" t="str">
        <f>IFERROR(MID(VLOOKUP($B256,Seqs!$A:$B,2,0),AQ256,1),"")</f>
        <v>N</v>
      </c>
      <c r="AQ256" s="3">
        <v>277</v>
      </c>
      <c r="AR256" s="3" t="str">
        <f>IFERROR(MID(VLOOKUP($B256,Seqs!$A:$B,2,0),AS256,1),"")</f>
        <v>P</v>
      </c>
      <c r="AS256" s="3">
        <v>286</v>
      </c>
      <c r="AT256" s="3" t="str">
        <f>IFERROR(MID(VLOOKUP($B256,Seqs!$A:$B,2,0),AU256,1),"")</f>
        <v>L</v>
      </c>
      <c r="AU256" s="3">
        <v>311</v>
      </c>
      <c r="AV256" s="3" t="str">
        <f>IFERROR(MID(VLOOKUP($B256,Seqs!$A:$B,2,0),AW256,1),"")</f>
        <v>N</v>
      </c>
      <c r="AW256" s="3">
        <v>312</v>
      </c>
      <c r="AX256" s="3" t="str">
        <f>IFERROR(MID(VLOOKUP($B256,Seqs!$A:$B,2,0),AY256,1),"")</f>
        <v>N</v>
      </c>
      <c r="AY256" s="3">
        <v>328</v>
      </c>
      <c r="AZ256" s="77" t="str">
        <f>VLOOKUP(B256,Classification!A:D,2,0)</f>
        <v>A</v>
      </c>
      <c r="BA256" s="94" t="str">
        <f>VLOOKUP(B256,Classification!A:D,4,0)</f>
        <v>Melatonin</v>
      </c>
      <c r="BB256" s="27" t="b">
        <f t="shared" ref="BB256" si="2153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ref="BC256" si="2154">_xlfn.AGGREGATE(9,6,CH256:CS256)-_xlfn.AGGREGATE(9,6,BV256:CG256)+12</f>
        <v>245</v>
      </c>
      <c r="BD256" s="5" t="s">
        <v>23</v>
      </c>
      <c r="BE256" s="3" t="s">
        <v>1374</v>
      </c>
      <c r="BF256" s="118">
        <v>3.3</v>
      </c>
      <c r="BG256" s="49" t="s">
        <v>1281</v>
      </c>
      <c r="BH256" s="49" t="s">
        <v>1281</v>
      </c>
      <c r="BI256" s="1"/>
      <c r="BJ256" s="70" t="s">
        <v>1287</v>
      </c>
      <c r="BK256" s="57" t="s">
        <v>1287</v>
      </c>
      <c r="BL256" s="57" t="s">
        <v>1287</v>
      </c>
      <c r="BM256" s="57" t="s">
        <v>1287</v>
      </c>
      <c r="BN256" s="57" t="s">
        <v>1287</v>
      </c>
      <c r="BO256" s="57" t="s">
        <v>1287</v>
      </c>
      <c r="BP256" s="57" t="s">
        <v>1287</v>
      </c>
      <c r="BQ256" s="57" t="s">
        <v>1287</v>
      </c>
      <c r="BR256" s="57" t="s">
        <v>1287</v>
      </c>
      <c r="BS256" s="57" t="s">
        <v>1287</v>
      </c>
      <c r="BT256" s="57" t="s">
        <v>1287</v>
      </c>
      <c r="BU256" s="57" t="s">
        <v>1287</v>
      </c>
      <c r="BV256" s="70">
        <f t="shared" ref="BV256" si="2155">E256</f>
        <v>38</v>
      </c>
      <c r="BW256" s="71">
        <f t="shared" ref="BW256" si="2156">I256</f>
        <v>69</v>
      </c>
      <c r="BX256" s="72">
        <f t="shared" ref="BX256" si="2157">M256</f>
        <v>73</v>
      </c>
      <c r="BY256" s="71">
        <f t="shared" ref="BY256" si="2158">Q256</f>
        <v>105</v>
      </c>
      <c r="BZ256" s="72">
        <f t="shared" ref="BZ256" si="2159">U256</f>
        <v>109</v>
      </c>
      <c r="CA256" s="71">
        <f t="shared" ref="CA256" si="2160">Y256</f>
        <v>145</v>
      </c>
      <c r="CB256" s="72">
        <f t="shared" ref="CB256" si="2161">AC256</f>
        <v>156</v>
      </c>
      <c r="CC256" s="71">
        <f t="shared" ref="CC256" si="2162">AG256</f>
        <v>190</v>
      </c>
      <c r="CD256" s="72">
        <f t="shared" ref="CD256" si="2163">AK256</f>
        <v>197</v>
      </c>
      <c r="CE256" s="71">
        <f t="shared" ref="CE256" si="2164">AO256</f>
        <v>250</v>
      </c>
      <c r="CF256" s="72">
        <f t="shared" ref="CF256" si="2165">AS256</f>
        <v>286</v>
      </c>
      <c r="CG256" s="71">
        <f t="shared" ref="CG256" si="2166">AW256</f>
        <v>312</v>
      </c>
      <c r="CH256" s="70">
        <f t="shared" ref="CH256" si="2167">G256</f>
        <v>67</v>
      </c>
      <c r="CI256" s="71">
        <f t="shared" ref="CI256" si="2168">K256</f>
        <v>72</v>
      </c>
      <c r="CJ256" s="72">
        <f t="shared" ref="CJ256" si="2169">O256</f>
        <v>104</v>
      </c>
      <c r="CK256" s="72">
        <f t="shared" ref="CK256" si="2170">S256</f>
        <v>108</v>
      </c>
      <c r="CL256" s="72">
        <f t="shared" ref="CL256" si="2171">W256</f>
        <v>143</v>
      </c>
      <c r="CM256" s="72">
        <f t="shared" ref="CM256" si="2172">AA256</f>
        <v>152</v>
      </c>
      <c r="CN256" s="72">
        <f t="shared" ref="CN256" si="2173">AE256</f>
        <v>179</v>
      </c>
      <c r="CO256" s="72">
        <f t="shared" ref="CO256" si="2174">AI256</f>
        <v>192</v>
      </c>
      <c r="CP256" s="72">
        <f t="shared" ref="CP256" si="2175">AM256</f>
        <v>230</v>
      </c>
      <c r="CQ256" s="72">
        <f t="shared" ref="CQ256" si="2176">AQ256</f>
        <v>277</v>
      </c>
      <c r="CR256" s="72">
        <f t="shared" ref="CR256" si="2177">AU256</f>
        <v>311</v>
      </c>
      <c r="CS256" s="72">
        <f t="shared" ref="CS256" si="2178">AY256</f>
        <v>328</v>
      </c>
      <c r="CT256" s="23">
        <f t="shared" ref="CT256" si="2179">M256-K256</f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ref="A257" si="2180">CONCATENATE(B257,"_",C257)</f>
        <v>nk1r_human__wt</v>
      </c>
      <c r="B257" s="3" t="s">
        <v>314</v>
      </c>
      <c r="C257" s="132" t="s">
        <v>100</v>
      </c>
      <c r="D257" s="3" t="str">
        <f>IFERROR(MID(VLOOKUP($B257,Seqs!$A:$B,2,0),E257,1),"")</f>
        <v>P</v>
      </c>
      <c r="E257" s="3">
        <v>28</v>
      </c>
      <c r="F257" s="3" t="str">
        <f>IFERROR(MID(VLOOKUP($B257,Seqs!$A:$B,2,0),G257,1),"")</f>
        <v>H</v>
      </c>
      <c r="G257" s="3">
        <v>60</v>
      </c>
      <c r="H257" s="3" t="str">
        <f>IFERROR(MID(VLOOKUP($B257,Seqs!$A:$B,2,0),I257,1),"")</f>
        <v>K</v>
      </c>
      <c r="I257" s="23">
        <v>61</v>
      </c>
      <c r="J257" s="3" t="str">
        <f>IFERROR(MID(VLOOKUP($B257,Seqs!$A:$B,2,0),K257,1),"")</f>
        <v>R</v>
      </c>
      <c r="K257" s="23">
        <v>64</v>
      </c>
      <c r="L257" s="3" t="str">
        <f>IFERROR(MID(VLOOKUP($B257,Seqs!$A:$B,2,0),M257,1),"")</f>
        <v>T</v>
      </c>
      <c r="M257" s="3">
        <v>65</v>
      </c>
      <c r="N257" s="3" t="str">
        <f>IFERROR(MID(VLOOKUP($B257,Seqs!$A:$B,2,0),O257,1),"")</f>
        <v>N</v>
      </c>
      <c r="O257" s="3">
        <v>96</v>
      </c>
      <c r="P257" s="3" t="str">
        <f>IFERROR(MID(VLOOKUP($B257,Seqs!$A:$B,2,0),Q257,1),"")</f>
        <v>E</v>
      </c>
      <c r="Q257" s="3">
        <v>97</v>
      </c>
      <c r="R257" s="3" t="str">
        <f>IFERROR(MID(VLOOKUP($B257,Seqs!$A:$B,2,0),S257,1),"")</f>
        <v>Y</v>
      </c>
      <c r="S257" s="3">
        <v>100</v>
      </c>
      <c r="T257" s="3" t="str">
        <f>IFERROR(MID(VLOOKUP($B257,Seqs!$A:$B,2,0),U257,1),"")</f>
        <v>G</v>
      </c>
      <c r="U257" s="3">
        <v>101</v>
      </c>
      <c r="V257" s="3" t="str">
        <f>IFERROR(MID(VLOOKUP($B257,Seqs!$A:$B,2,0),W257,1),"")</f>
        <v>H</v>
      </c>
      <c r="W257" s="3">
        <v>136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S</v>
      </c>
      <c r="AC257" s="3">
        <v>143</v>
      </c>
      <c r="AD257" s="3" t="str">
        <f>IFERROR(MID(VLOOKUP($B257,Seqs!$A:$B,2,0),AE257,1),"")</f>
        <v>S</v>
      </c>
      <c r="AE257" s="3">
        <v>169</v>
      </c>
      <c r="AF257" s="3" t="str">
        <f>IFERROR(MID(VLOOKUP($B257,Seqs!$A:$B,2,0),AG257,1),"")</f>
        <v>C</v>
      </c>
      <c r="AG257" s="3">
        <v>180</v>
      </c>
      <c r="AH257" s="3" t="str">
        <f>IFERROR(MID(VLOOKUP($B257,Seqs!$A:$B,2,0),AI257,1),"")</f>
        <v>I</v>
      </c>
      <c r="AI257" s="3">
        <v>182</v>
      </c>
      <c r="AJ257" s="3" t="str">
        <f>IFERROR(MID(VLOOKUP($B257,Seqs!$A:$B,2,0),AK257,1),"")</f>
        <v>P</v>
      </c>
      <c r="AK257" s="3">
        <v>188</v>
      </c>
      <c r="AL257" s="3" t="str">
        <f>IFERROR(MID(VLOOKUP($B257,Seqs!$A:$B,2,0),AM257,1),"")</f>
        <v>D</v>
      </c>
      <c r="AM257" s="3">
        <v>231</v>
      </c>
      <c r="AN257" s="3" t="str">
        <f>IFERROR(MID(VLOOKUP($B257,Seqs!$A:$B,2,0),AO257,1),"")</f>
        <v>R</v>
      </c>
      <c r="AO257" s="3">
        <v>235</v>
      </c>
      <c r="AP257" s="3" t="str">
        <f>IFERROR(MID(VLOOKUP($B257,Seqs!$A:$B,2,0),AQ257,1),"")</f>
        <v>N</v>
      </c>
      <c r="AQ257" s="3">
        <v>274</v>
      </c>
      <c r="AR257" s="3" t="str">
        <f>IFERROR(MID(VLOOKUP($B257,Seqs!$A:$B,2,0),AS257,1),"")</f>
        <v>F</v>
      </c>
      <c r="AS257" s="3">
        <v>282</v>
      </c>
      <c r="AT257" s="3" t="str">
        <f>IFERROR(MID(VLOOKUP($B257,Seqs!$A:$B,2,0),AU257,1),"")</f>
        <v>L</v>
      </c>
      <c r="AU257" s="3">
        <v>308</v>
      </c>
      <c r="AV257" s="3" t="str">
        <f>IFERROR(MID(VLOOKUP($B257,Seqs!$A:$B,2,0),AW257,1),"")</f>
        <v>N</v>
      </c>
      <c r="AW257" s="3">
        <v>309</v>
      </c>
      <c r="AX257" s="3" t="str">
        <f>IFERROR(MID(VLOOKUP($B257,Seqs!$A:$B,2,0),AY257,1),"")</f>
        <v>F</v>
      </c>
      <c r="AY257" s="3">
        <v>320</v>
      </c>
      <c r="AZ257" s="77" t="str">
        <f>VLOOKUP(B257,Classification!A:D,2,0)</f>
        <v>A</v>
      </c>
      <c r="BA257" s="94" t="str">
        <f>VLOOKUP(B257,Classification!A:D,4,0)</f>
        <v>Tachykinin</v>
      </c>
      <c r="BB257" s="27" t="b">
        <f t="shared" ref="BB257" si="2181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 t="shared" ref="BC257" si="2182">_xlfn.AGGREGATE(9,6,CH257:CS257)-_xlfn.AGGREGATE(9,6,BV257:CG257)+12</f>
        <v>263</v>
      </c>
      <c r="BD257" s="5" t="s">
        <v>23</v>
      </c>
      <c r="BE257" s="3" t="s">
        <v>23</v>
      </c>
      <c r="BF257" s="118" t="s">
        <v>23</v>
      </c>
      <c r="BG257" s="49" t="s">
        <v>1377</v>
      </c>
      <c r="BH257" s="49" t="s">
        <v>1377</v>
      </c>
      <c r="BI257" s="1"/>
      <c r="BJ257" s="70" t="s">
        <v>1287</v>
      </c>
      <c r="BK257" s="57" t="s">
        <v>1287</v>
      </c>
      <c r="BL257" s="57" t="s">
        <v>1287</v>
      </c>
      <c r="BM257" s="57" t="s">
        <v>1287</v>
      </c>
      <c r="BN257" s="57" t="s">
        <v>1287</v>
      </c>
      <c r="BO257" s="57" t="s">
        <v>1287</v>
      </c>
      <c r="BP257" s="57" t="s">
        <v>1287</v>
      </c>
      <c r="BQ257" s="57" t="s">
        <v>1287</v>
      </c>
      <c r="BR257" s="57" t="s">
        <v>1287</v>
      </c>
      <c r="BS257" s="57" t="s">
        <v>1287</v>
      </c>
      <c r="BT257" s="57" t="s">
        <v>1287</v>
      </c>
      <c r="BU257" s="57" t="s">
        <v>1287</v>
      </c>
      <c r="BV257" s="70">
        <f t="shared" ref="BV257" si="2183">E257</f>
        <v>28</v>
      </c>
      <c r="BW257" s="71">
        <f t="shared" ref="BW257" si="2184">I257</f>
        <v>61</v>
      </c>
      <c r="BX257" s="72">
        <f t="shared" ref="BX257" si="2185">M257</f>
        <v>65</v>
      </c>
      <c r="BY257" s="71">
        <f t="shared" ref="BY257" si="2186">Q257</f>
        <v>97</v>
      </c>
      <c r="BZ257" s="72">
        <f t="shared" ref="BZ257" si="2187">U257</f>
        <v>101</v>
      </c>
      <c r="CA257" s="71" t="str">
        <f t="shared" ref="CA257" si="2188">Y257</f>
        <v>-</v>
      </c>
      <c r="CB257" s="72">
        <f t="shared" ref="CB257" si="2189">AC257</f>
        <v>143</v>
      </c>
      <c r="CC257" s="71">
        <f t="shared" ref="CC257" si="2190">AG257</f>
        <v>180</v>
      </c>
      <c r="CD257" s="72">
        <f t="shared" ref="CD257" si="2191">AK257</f>
        <v>188</v>
      </c>
      <c r="CE257" s="71">
        <f t="shared" ref="CE257" si="2192">AO257</f>
        <v>235</v>
      </c>
      <c r="CF257" s="72">
        <f t="shared" ref="CF257" si="2193">AS257</f>
        <v>282</v>
      </c>
      <c r="CG257" s="71">
        <f t="shared" ref="CG257" si="2194">AW257</f>
        <v>309</v>
      </c>
      <c r="CH257" s="70">
        <f t="shared" ref="CH257" si="2195">G257</f>
        <v>60</v>
      </c>
      <c r="CI257" s="71">
        <f t="shared" ref="CI257" si="2196">K257</f>
        <v>64</v>
      </c>
      <c r="CJ257" s="72">
        <f t="shared" ref="CJ257" si="2197">O257</f>
        <v>96</v>
      </c>
      <c r="CK257" s="72">
        <f t="shared" ref="CK257" si="2198">S257</f>
        <v>100</v>
      </c>
      <c r="CL257" s="72">
        <f t="shared" ref="CL257" si="2199">W257</f>
        <v>136</v>
      </c>
      <c r="CM257" s="72" t="str">
        <f t="shared" ref="CM257" si="2200">AA257</f>
        <v>-</v>
      </c>
      <c r="CN257" s="72">
        <f t="shared" ref="CN257" si="2201">AE257</f>
        <v>169</v>
      </c>
      <c r="CO257" s="72">
        <f t="shared" ref="CO257" si="2202">AI257</f>
        <v>182</v>
      </c>
      <c r="CP257" s="72">
        <f t="shared" ref="CP257" si="2203">AM257</f>
        <v>231</v>
      </c>
      <c r="CQ257" s="72">
        <f t="shared" ref="CQ257" si="2204">AQ257</f>
        <v>274</v>
      </c>
      <c r="CR257" s="72">
        <f t="shared" ref="CR257" si="2205">AU257</f>
        <v>308</v>
      </c>
      <c r="CS257" s="72">
        <f t="shared" ref="CS257" si="2206">AY257</f>
        <v>320</v>
      </c>
      <c r="CT257" s="23">
        <f t="shared" ref="CT257" si="2207">M257-K257</f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ref="A258" si="2208">CONCATENATE(B258,"_",C258)</f>
        <v>nk1r_human_6E59</v>
      </c>
      <c r="B258" s="3" t="s">
        <v>314</v>
      </c>
      <c r="C258" s="133" t="s">
        <v>1535</v>
      </c>
      <c r="D258" s="3" t="str">
        <f>IFERROR(MID(VLOOKUP($B258,Seqs!$A:$B,2,0),E258,1),"")</f>
        <v>V</v>
      </c>
      <c r="E258" s="3">
        <v>33</v>
      </c>
      <c r="F258" s="3" t="str">
        <f>IFERROR(MID(VLOOKUP($B258,Seqs!$A:$B,2,0),G258,1),"")</f>
        <v>H</v>
      </c>
      <c r="G258" s="3">
        <v>60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T</v>
      </c>
      <c r="M258" s="3">
        <v>65</v>
      </c>
      <c r="N258" s="3" t="str">
        <f>IFERROR(MID(VLOOKUP($B258,Seqs!$A:$B,2,0),O258,1),"")</f>
        <v>V</v>
      </c>
      <c r="O258" s="3">
        <v>94</v>
      </c>
      <c r="P258" s="3" t="str">
        <f>IFERROR(MID(VLOOKUP($B258,Seqs!$A:$B,2,0),Q258,1),"")</f>
        <v>E</v>
      </c>
      <c r="Q258" s="3">
        <v>97</v>
      </c>
      <c r="R258" s="3" t="str">
        <f>IFERROR(MID(VLOOKUP($B258,Seqs!$A:$B,2,0),S258,1),"")</f>
        <v>Y</v>
      </c>
      <c r="S258" s="3">
        <v>100</v>
      </c>
      <c r="T258" s="3" t="str">
        <f>IFERROR(MID(VLOOKUP($B258,Seqs!$A:$B,2,0),U258,1),"")</f>
        <v>F</v>
      </c>
      <c r="U258" s="3">
        <v>103</v>
      </c>
      <c r="V258" s="3" t="str">
        <f>IFERROR(MID(VLOOKUP($B258,Seqs!$A:$B,2,0),W258,1),"")</f>
        <v>H</v>
      </c>
      <c r="W258" s="3">
        <v>136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S</v>
      </c>
      <c r="AC258" s="3">
        <v>143</v>
      </c>
      <c r="AD258" s="3" t="str">
        <f>IFERROR(MID(VLOOKUP($B258,Seqs!$A:$B,2,0),AE258,1),"")</f>
        <v>S</v>
      </c>
      <c r="AE258" s="3">
        <v>169</v>
      </c>
      <c r="AF258" s="3" t="str">
        <f>IFERROR(MID(VLOOKUP($B258,Seqs!$A:$B,2,0),AG258,1),"")</f>
        <v>C</v>
      </c>
      <c r="AG258" s="3">
        <v>180</v>
      </c>
      <c r="AH258" s="3" t="str">
        <f>IFERROR(MID(VLOOKUP($B258,Seqs!$A:$B,2,0),AI258,1),"")</f>
        <v>I</v>
      </c>
      <c r="AI258" s="3">
        <v>182</v>
      </c>
      <c r="AJ258" s="3" t="str">
        <f>IFERROR(MID(VLOOKUP($B258,Seqs!$A:$B,2,0),AK258,1),"")</f>
        <v>P</v>
      </c>
      <c r="AK258" s="3">
        <v>188</v>
      </c>
      <c r="AL258" s="3" t="str">
        <f>IFERROR(MID(VLOOKUP($B258,Seqs!$A:$B,2,0),AM258,1),"")</f>
        <v>W</v>
      </c>
      <c r="AM258" s="3">
        <v>224</v>
      </c>
      <c r="AN258" s="3" t="str">
        <f>IFERROR(MID(VLOOKUP($B258,Seqs!$A:$B,2,0),AO258,1),"")</f>
        <v>E</v>
      </c>
      <c r="AO258" s="3">
        <v>238</v>
      </c>
      <c r="AP258" s="3" t="str">
        <f>IFERROR(MID(VLOOKUP($B258,Seqs!$A:$B,2,0),AQ258,1),"")</f>
        <v>N</v>
      </c>
      <c r="AQ258" s="3">
        <v>274</v>
      </c>
      <c r="AR258" s="3" t="str">
        <f>IFERROR(MID(VLOOKUP($B258,Seqs!$A:$B,2,0),AS258,1),"")</f>
        <v>I</v>
      </c>
      <c r="AS258" s="3">
        <v>283</v>
      </c>
      <c r="AT258" s="3" t="str">
        <f>IFERROR(MID(VLOOKUP($B258,Seqs!$A:$B,2,0),AU258,1),"")</f>
        <v>L</v>
      </c>
      <c r="AU258" s="3">
        <v>308</v>
      </c>
      <c r="AV258" s="3" t="str">
        <f>IFERROR(MID(VLOOKUP($B258,Seqs!$A:$B,2,0),AW258,1),"")</f>
        <v>N</v>
      </c>
      <c r="AW258" s="3">
        <v>309</v>
      </c>
      <c r="AX258" s="3" t="str">
        <f>IFERROR(MID(VLOOKUP($B258,Seqs!$A:$B,2,0),AY258,1),"")</f>
        <v>H</v>
      </c>
      <c r="AY258" s="3">
        <v>318</v>
      </c>
      <c r="AZ258" s="77" t="str">
        <f>VLOOKUP(B258,Classification!A:D,2,0)</f>
        <v>A</v>
      </c>
      <c r="BA258" s="94" t="str">
        <f>VLOOKUP(B258,Classification!A:D,4,0)</f>
        <v>Tachykinin</v>
      </c>
      <c r="BB258" s="27" t="b">
        <f t="shared" ref="BB258" si="2209"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 t="shared" ref="BC258" si="2210">_xlfn.AGGREGATE(9,6,CH258:CS258)-_xlfn.AGGREGATE(9,6,BV258:CG258)+12</f>
        <v>238</v>
      </c>
      <c r="BD258" s="5" t="s">
        <v>23</v>
      </c>
      <c r="BE258" s="3" t="s">
        <v>1374</v>
      </c>
      <c r="BF258" s="118">
        <v>3.4</v>
      </c>
      <c r="BG258" s="49" t="s">
        <v>1</v>
      </c>
      <c r="BH258" s="49" t="s">
        <v>1</v>
      </c>
      <c r="BI258" s="1"/>
      <c r="BJ258" s="70" t="s">
        <v>1287</v>
      </c>
      <c r="BK258" s="57" t="s">
        <v>1287</v>
      </c>
      <c r="BL258" s="57" t="s">
        <v>1287</v>
      </c>
      <c r="BM258" s="57" t="s">
        <v>1287</v>
      </c>
      <c r="BN258" s="57" t="s">
        <v>1287</v>
      </c>
      <c r="BO258" s="57" t="s">
        <v>1287</v>
      </c>
      <c r="BP258" s="57" t="s">
        <v>1287</v>
      </c>
      <c r="BQ258" s="57" t="s">
        <v>1287</v>
      </c>
      <c r="BR258" s="57" t="s">
        <v>1287</v>
      </c>
      <c r="BS258" s="57" t="s">
        <v>1287</v>
      </c>
      <c r="BT258" s="57" t="s">
        <v>1287</v>
      </c>
      <c r="BU258" s="57" t="s">
        <v>1287</v>
      </c>
      <c r="BV258" s="70">
        <f t="shared" ref="BV258" si="2211">E258</f>
        <v>33</v>
      </c>
      <c r="BW258" s="71" t="str">
        <f t="shared" ref="BW258" si="2212">I258</f>
        <v>-</v>
      </c>
      <c r="BX258" s="72">
        <f t="shared" ref="BX258" si="2213">M258</f>
        <v>65</v>
      </c>
      <c r="BY258" s="71">
        <f t="shared" ref="BY258" si="2214">Q258</f>
        <v>97</v>
      </c>
      <c r="BZ258" s="72">
        <f t="shared" ref="BZ258" si="2215">U258</f>
        <v>103</v>
      </c>
      <c r="CA258" s="71" t="str">
        <f t="shared" ref="CA258" si="2216">Y258</f>
        <v>-</v>
      </c>
      <c r="CB258" s="72">
        <f t="shared" ref="CB258" si="2217">AC258</f>
        <v>143</v>
      </c>
      <c r="CC258" s="71">
        <f t="shared" ref="CC258" si="2218">AG258</f>
        <v>180</v>
      </c>
      <c r="CD258" s="72">
        <f t="shared" ref="CD258" si="2219">AK258</f>
        <v>188</v>
      </c>
      <c r="CE258" s="71">
        <f t="shared" ref="CE258" si="2220">AO258</f>
        <v>238</v>
      </c>
      <c r="CF258" s="72">
        <f t="shared" ref="CF258" si="2221">AS258</f>
        <v>283</v>
      </c>
      <c r="CG258" s="71">
        <f t="shared" ref="CG258" si="2222">AW258</f>
        <v>309</v>
      </c>
      <c r="CH258" s="70">
        <f t="shared" ref="CH258" si="2223">G258</f>
        <v>60</v>
      </c>
      <c r="CI258" s="71" t="str">
        <f t="shared" ref="CI258" si="2224">K258</f>
        <v>-</v>
      </c>
      <c r="CJ258" s="72">
        <f t="shared" ref="CJ258" si="2225">O258</f>
        <v>94</v>
      </c>
      <c r="CK258" s="72">
        <f t="shared" ref="CK258" si="2226">S258</f>
        <v>100</v>
      </c>
      <c r="CL258" s="72">
        <f t="shared" ref="CL258" si="2227">W258</f>
        <v>136</v>
      </c>
      <c r="CM258" s="72" t="str">
        <f t="shared" ref="CM258" si="2228">AA258</f>
        <v>-</v>
      </c>
      <c r="CN258" s="72">
        <f t="shared" ref="CN258" si="2229">AE258</f>
        <v>169</v>
      </c>
      <c r="CO258" s="72">
        <f t="shared" ref="CO258" si="2230">AI258</f>
        <v>182</v>
      </c>
      <c r="CP258" s="72">
        <f t="shared" ref="CP258" si="2231">AM258</f>
        <v>224</v>
      </c>
      <c r="CQ258" s="72">
        <f t="shared" ref="CQ258" si="2232">AQ258</f>
        <v>274</v>
      </c>
      <c r="CR258" s="72">
        <f t="shared" ref="CR258" si="2233">AU258</f>
        <v>308</v>
      </c>
      <c r="CS258" s="72">
        <f t="shared" ref="CS258" si="2234">AY258</f>
        <v>318</v>
      </c>
      <c r="CT258" s="23" t="e">
        <f t="shared" ref="CT258" si="2235">M258-K258</f>
        <v>#VALUE!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ref="A259" si="2236">CONCATENATE(B259,"_",C259)</f>
        <v>nk1r_human_6HLL</v>
      </c>
      <c r="B259" s="3" t="s">
        <v>314</v>
      </c>
      <c r="C259" s="133" t="s">
        <v>1543</v>
      </c>
      <c r="D259" s="3" t="str">
        <f>IFERROR(MID(VLOOKUP($B259,Seqs!$A:$B,2,0),E259,1),"")</f>
        <v>P</v>
      </c>
      <c r="E259" s="3">
        <v>28</v>
      </c>
      <c r="F259" s="3" t="str">
        <f>IFERROR(MID(VLOOKUP($B259,Seqs!$A:$B,2,0),G259,1),"")</f>
        <v>A</v>
      </c>
      <c r="G259" s="3">
        <v>59</v>
      </c>
      <c r="H259" s="3" t="str">
        <f>IFERROR(MID(VLOOKUP($B259,Seqs!$A:$B,2,0),I259,1),"")</f>
        <v>K</v>
      </c>
      <c r="I259" s="23">
        <v>61</v>
      </c>
      <c r="J259" s="3" t="str">
        <f>IFERROR(MID(VLOOKUP($B259,Seqs!$A:$B,2,0),K259,1),"")</f>
        <v>R</v>
      </c>
      <c r="K259" s="23">
        <v>64</v>
      </c>
      <c r="L259" s="3" t="str">
        <f>IFERROR(MID(VLOOKUP($B259,Seqs!$A:$B,2,0),M259,1),"")</f>
        <v>T</v>
      </c>
      <c r="M259" s="3">
        <v>65</v>
      </c>
      <c r="N259" s="3" t="str">
        <f>IFERROR(MID(VLOOKUP($B259,Seqs!$A:$B,2,0),O259,1),"")</f>
        <v>N</v>
      </c>
      <c r="O259" s="3">
        <v>96</v>
      </c>
      <c r="P259" s="3" t="str">
        <f>IFERROR(MID(VLOOKUP($B259,Seqs!$A:$B,2,0),Q259,1),"")</f>
        <v>E</v>
      </c>
      <c r="Q259" s="3">
        <v>97</v>
      </c>
      <c r="R259" s="3" t="str">
        <f>IFERROR(MID(VLOOKUP($B259,Seqs!$A:$B,2,0),S259,1),"")</f>
        <v>Y</v>
      </c>
      <c r="S259" s="3">
        <v>100</v>
      </c>
      <c r="T259" s="3" t="str">
        <f>IFERROR(MID(VLOOKUP($B259,Seqs!$A:$B,2,0),U259,1),"")</f>
        <v>G</v>
      </c>
      <c r="U259" s="3">
        <v>101</v>
      </c>
      <c r="V259" s="3" t="str">
        <f>IFERROR(MID(VLOOKUP($B259,Seqs!$A:$B,2,0),W259,1),"")</f>
        <v>H</v>
      </c>
      <c r="W259" s="3">
        <v>136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S</v>
      </c>
      <c r="AC259" s="3">
        <v>143</v>
      </c>
      <c r="AD259" s="3" t="str">
        <f>IFERROR(MID(VLOOKUP($B259,Seqs!$A:$B,2,0),AE259,1),"")</f>
        <v>S</v>
      </c>
      <c r="AE259" s="3">
        <v>169</v>
      </c>
      <c r="AF259" s="3" t="str">
        <f>IFERROR(MID(VLOOKUP($B259,Seqs!$A:$B,2,0),AG259,1),"")</f>
        <v>C</v>
      </c>
      <c r="AG259" s="3">
        <v>180</v>
      </c>
      <c r="AH259" s="3" t="str">
        <f>IFERROR(MID(VLOOKUP($B259,Seqs!$A:$B,2,0),AI259,1),"")</f>
        <v>I</v>
      </c>
      <c r="AI259" s="3">
        <v>182</v>
      </c>
      <c r="AJ259" s="3" t="str">
        <f>IFERROR(MID(VLOOKUP($B259,Seqs!$A:$B,2,0),AK259,1),"")</f>
        <v>K</v>
      </c>
      <c r="AK259" s="3">
        <v>190</v>
      </c>
      <c r="AL259" s="3" t="str">
        <f>IFERROR(MID(VLOOKUP($B259,Seqs!$A:$B,2,0),AM259,1),"")</f>
        <v>S</v>
      </c>
      <c r="AM259" s="3">
        <v>226</v>
      </c>
      <c r="AN259" s="3" t="str">
        <f>IFERROR(MID(VLOOKUP($B259,Seqs!$A:$B,2,0),AO259,1),"")</f>
        <v>E</v>
      </c>
      <c r="AO259" s="3">
        <v>238</v>
      </c>
      <c r="AP259" s="3" t="str">
        <f>IFERROR(MID(VLOOKUP($B259,Seqs!$A:$B,2,0),AQ259,1),"")</f>
        <v>L</v>
      </c>
      <c r="AQ259" s="3">
        <v>270</v>
      </c>
      <c r="AR259" s="3" t="str">
        <f>IFERROR(MID(VLOOKUP($B259,Seqs!$A:$B,2,0),AS259,1),"")</f>
        <v>I</v>
      </c>
      <c r="AS259" s="3">
        <v>283</v>
      </c>
      <c r="AT259" s="3" t="str">
        <f>IFERROR(MID(VLOOKUP($B259,Seqs!$A:$B,2,0),AU259,1),"")</f>
        <v>L</v>
      </c>
      <c r="AU259" s="3">
        <v>308</v>
      </c>
      <c r="AV259" s="3" t="str">
        <f>IFERROR(MID(VLOOKUP($B259,Seqs!$A:$B,2,0),AW259,1),"")</f>
        <v>N</v>
      </c>
      <c r="AW259" s="3">
        <v>309</v>
      </c>
      <c r="AX259" s="3" t="str">
        <f>IFERROR(MID(VLOOKUP($B259,Seqs!$A:$B,2,0),AY259,1),"")</f>
        <v>F</v>
      </c>
      <c r="AY259" s="3">
        <v>320</v>
      </c>
      <c r="AZ259" s="77" t="str">
        <f>VLOOKUP(B259,Classification!A:D,2,0)</f>
        <v>A</v>
      </c>
      <c r="BA259" s="94" t="str">
        <f>VLOOKUP(B259,Classification!A:D,4,0)</f>
        <v>Tachykinin</v>
      </c>
      <c r="BB259" s="27" t="b">
        <f t="shared" ref="BB259" si="2237"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23">
        <f t="shared" ref="BC259" si="2238">_xlfn.AGGREGATE(9,6,CH259:CS259)-_xlfn.AGGREGATE(9,6,BV259:CG259)+12</f>
        <v>247</v>
      </c>
      <c r="BD259" s="5" t="s">
        <v>23</v>
      </c>
      <c r="BE259" s="3" t="s">
        <v>1374</v>
      </c>
      <c r="BF259" s="118">
        <v>3.27</v>
      </c>
      <c r="BG259" s="49" t="s">
        <v>1</v>
      </c>
      <c r="BH259" s="49" t="s">
        <v>1</v>
      </c>
      <c r="BI259" s="1"/>
      <c r="BJ259" s="70" t="s">
        <v>1287</v>
      </c>
      <c r="BK259" s="57" t="s">
        <v>1287</v>
      </c>
      <c r="BL259" s="57" t="s">
        <v>1287</v>
      </c>
      <c r="BM259" s="57" t="s">
        <v>1287</v>
      </c>
      <c r="BN259" s="57" t="s">
        <v>1287</v>
      </c>
      <c r="BO259" s="57" t="s">
        <v>1287</v>
      </c>
      <c r="BP259" s="57" t="s">
        <v>1287</v>
      </c>
      <c r="BQ259" s="57" t="s">
        <v>1287</v>
      </c>
      <c r="BR259" s="57" t="s">
        <v>1287</v>
      </c>
      <c r="BS259" s="57" t="s">
        <v>1287</v>
      </c>
      <c r="BT259" s="57" t="s">
        <v>1287</v>
      </c>
      <c r="BU259" s="57" t="s">
        <v>1287</v>
      </c>
      <c r="BV259" s="70">
        <f t="shared" ref="BV259" si="2239">E259</f>
        <v>28</v>
      </c>
      <c r="BW259" s="71">
        <f t="shared" ref="BW259" si="2240">I259</f>
        <v>61</v>
      </c>
      <c r="BX259" s="72">
        <f t="shared" ref="BX259" si="2241">M259</f>
        <v>65</v>
      </c>
      <c r="BY259" s="71">
        <f t="shared" ref="BY259" si="2242">Q259</f>
        <v>97</v>
      </c>
      <c r="BZ259" s="72">
        <f t="shared" ref="BZ259" si="2243">U259</f>
        <v>101</v>
      </c>
      <c r="CA259" s="71" t="str">
        <f t="shared" ref="CA259" si="2244">Y259</f>
        <v>-</v>
      </c>
      <c r="CB259" s="72">
        <f t="shared" ref="CB259" si="2245">AC259</f>
        <v>143</v>
      </c>
      <c r="CC259" s="71">
        <f t="shared" ref="CC259" si="2246">AG259</f>
        <v>180</v>
      </c>
      <c r="CD259" s="72">
        <f t="shared" ref="CD259" si="2247">AK259</f>
        <v>190</v>
      </c>
      <c r="CE259" s="71">
        <f t="shared" ref="CE259" si="2248">AO259</f>
        <v>238</v>
      </c>
      <c r="CF259" s="72">
        <f t="shared" ref="CF259" si="2249">AS259</f>
        <v>283</v>
      </c>
      <c r="CG259" s="71">
        <f t="shared" ref="CG259" si="2250">AW259</f>
        <v>309</v>
      </c>
      <c r="CH259" s="70">
        <f t="shared" ref="CH259" si="2251">G259</f>
        <v>59</v>
      </c>
      <c r="CI259" s="71">
        <f t="shared" ref="CI259" si="2252">K259</f>
        <v>64</v>
      </c>
      <c r="CJ259" s="72">
        <f t="shared" ref="CJ259" si="2253">O259</f>
        <v>96</v>
      </c>
      <c r="CK259" s="72">
        <f t="shared" ref="CK259" si="2254">S259</f>
        <v>100</v>
      </c>
      <c r="CL259" s="72">
        <f t="shared" ref="CL259" si="2255">W259</f>
        <v>136</v>
      </c>
      <c r="CM259" s="72" t="str">
        <f t="shared" ref="CM259" si="2256">AA259</f>
        <v>-</v>
      </c>
      <c r="CN259" s="72">
        <f t="shared" ref="CN259" si="2257">AE259</f>
        <v>169</v>
      </c>
      <c r="CO259" s="72">
        <f t="shared" ref="CO259" si="2258">AI259</f>
        <v>182</v>
      </c>
      <c r="CP259" s="72">
        <f t="shared" ref="CP259" si="2259">AM259</f>
        <v>226</v>
      </c>
      <c r="CQ259" s="72">
        <f t="shared" ref="CQ259" si="2260">AQ259</f>
        <v>270</v>
      </c>
      <c r="CR259" s="72">
        <f t="shared" ref="CR259" si="2261">AU259</f>
        <v>308</v>
      </c>
      <c r="CS259" s="72">
        <f t="shared" ref="CS259" si="2262">AY259</f>
        <v>320</v>
      </c>
      <c r="CT259" s="23">
        <f t="shared" ref="CT259" si="2263">M259-K259</f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ref="A260" si="2264">CONCATENATE(B260,"_",C260)</f>
        <v>nk1r_human_6HLO</v>
      </c>
      <c r="B260" s="3" t="s">
        <v>314</v>
      </c>
      <c r="C260" s="133" t="s">
        <v>1544</v>
      </c>
      <c r="D260" s="3" t="str">
        <f>IFERROR(MID(VLOOKUP($B260,Seqs!$A:$B,2,0),E260,1),"")</f>
        <v>P</v>
      </c>
      <c r="E260" s="3">
        <v>28</v>
      </c>
      <c r="F260" s="3" t="str">
        <f>IFERROR(MID(VLOOKUP($B260,Seqs!$A:$B,2,0),G260,1),"")</f>
        <v>H</v>
      </c>
      <c r="G260" s="3">
        <v>60</v>
      </c>
      <c r="H260" s="3" t="str">
        <f>IFERROR(MID(VLOOKUP($B260,Seqs!$A:$B,2,0),I260,1),"")</f>
        <v>K</v>
      </c>
      <c r="I260" s="23">
        <v>61</v>
      </c>
      <c r="J260" s="3" t="str">
        <f>IFERROR(MID(VLOOKUP($B260,Seqs!$A:$B,2,0),K260,1),"")</f>
        <v>R</v>
      </c>
      <c r="K260" s="23">
        <v>64</v>
      </c>
      <c r="L260" s="3" t="str">
        <f>IFERROR(MID(VLOOKUP($B260,Seqs!$A:$B,2,0),M260,1),"")</f>
        <v>T</v>
      </c>
      <c r="M260" s="3">
        <v>65</v>
      </c>
      <c r="N260" s="3" t="str">
        <f>IFERROR(MID(VLOOKUP($B260,Seqs!$A:$B,2,0),O260,1),"")</f>
        <v>H</v>
      </c>
      <c r="O260" s="3">
        <v>95</v>
      </c>
      <c r="P260" s="3" t="str">
        <f>IFERROR(MID(VLOOKUP($B260,Seqs!$A:$B,2,0),Q260,1),"")</f>
        <v>E</v>
      </c>
      <c r="Q260" s="3">
        <v>97</v>
      </c>
      <c r="R260" s="3" t="str">
        <f>IFERROR(MID(VLOOKUP($B260,Seqs!$A:$B,2,0),S260,1),"")</f>
        <v>Y</v>
      </c>
      <c r="S260" s="3">
        <v>100</v>
      </c>
      <c r="T260" s="3" t="str">
        <f>IFERROR(MID(VLOOKUP($B260,Seqs!$A:$B,2,0),U260,1),"")</f>
        <v>G</v>
      </c>
      <c r="U260" s="3">
        <v>101</v>
      </c>
      <c r="V260" s="3" t="str">
        <f>IFERROR(MID(VLOOKUP($B260,Seqs!$A:$B,2,0),W260,1),"")</f>
        <v>H</v>
      </c>
      <c r="W260" s="3">
        <v>136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S</v>
      </c>
      <c r="AC260" s="3">
        <v>143</v>
      </c>
      <c r="AD260" s="3" t="str">
        <f>IFERROR(MID(VLOOKUP($B260,Seqs!$A:$B,2,0),AE260,1),"")</f>
        <v>S</v>
      </c>
      <c r="AE260" s="3">
        <v>169</v>
      </c>
      <c r="AF260" s="3" t="str">
        <f>IFERROR(MID(VLOOKUP($B260,Seqs!$A:$B,2,0),AG260,1),"")</f>
        <v>C</v>
      </c>
      <c r="AG260" s="3">
        <v>180</v>
      </c>
      <c r="AH260" s="3" t="str">
        <f>IFERROR(MID(VLOOKUP($B260,Seqs!$A:$B,2,0),AI260,1),"")</f>
        <v>I</v>
      </c>
      <c r="AI260" s="3">
        <v>182</v>
      </c>
      <c r="AJ260" s="3" t="str">
        <f>IFERROR(MID(VLOOKUP($B260,Seqs!$A:$B,2,0),AK260,1),"")</f>
        <v>K</v>
      </c>
      <c r="AK260" s="3">
        <v>190</v>
      </c>
      <c r="AL260" s="3" t="str">
        <f>IFERROR(MID(VLOOKUP($B260,Seqs!$A:$B,2,0),AM260,1),"")</f>
        <v>S</v>
      </c>
      <c r="AM260" s="3">
        <v>226</v>
      </c>
      <c r="AN260" s="3" t="str">
        <f>IFERROR(MID(VLOOKUP($B260,Seqs!$A:$B,2,0),AO260,1),"")</f>
        <v>E</v>
      </c>
      <c r="AO260" s="3">
        <v>238</v>
      </c>
      <c r="AP260" s="3" t="str">
        <f>IFERROR(MID(VLOOKUP($B260,Seqs!$A:$B,2,0),AQ260,1),"")</f>
        <v>N</v>
      </c>
      <c r="AQ260" s="3">
        <v>274</v>
      </c>
      <c r="AR260" s="3" t="str">
        <f>IFERROR(MID(VLOOKUP($B260,Seqs!$A:$B,2,0),AS260,1),"")</f>
        <v>F</v>
      </c>
      <c r="AS260" s="3">
        <v>282</v>
      </c>
      <c r="AT260" s="3" t="str">
        <f>IFERROR(MID(VLOOKUP($B260,Seqs!$A:$B,2,0),AU260,1),"")</f>
        <v>L</v>
      </c>
      <c r="AU260" s="3">
        <v>308</v>
      </c>
      <c r="AV260" s="3" t="str">
        <f>IFERROR(MID(VLOOKUP($B260,Seqs!$A:$B,2,0),AW260,1),"")</f>
        <v>N</v>
      </c>
      <c r="AW260" s="3">
        <v>309</v>
      </c>
      <c r="AX260" s="3" t="str">
        <f>IFERROR(MID(VLOOKUP($B260,Seqs!$A:$B,2,0),AY260,1),"")</f>
        <v>F</v>
      </c>
      <c r="AY260" s="3">
        <v>320</v>
      </c>
      <c r="AZ260" s="77" t="str">
        <f>VLOOKUP(B260,Classification!A:D,2,0)</f>
        <v>A</v>
      </c>
      <c r="BA260" s="94" t="str">
        <f>VLOOKUP(B260,Classification!A:D,4,0)</f>
        <v>Tachykinin</v>
      </c>
      <c r="BB260" s="27" t="b">
        <f t="shared" ref="BB260" si="2265">AND(E260&lt;G260,OR(G260&lt;I260,I260="-"),OR(I260&lt;K260,I260="-"),OR(K260&lt;M260,K260="-"),M260&lt;O260,OR(O260&lt;Q260,Q260="-"),OR(Q260&lt;S260,Q260="-"),OR(S260&lt;U260,S260="-"),U260&lt;W260,OR(W260&lt;Y260,Y260="-"),OR(Y260&lt;AA260,Y260="-"),OR(AA260&lt;AC260,AA260="-"),AC260&lt;AE260,OR(AE260&lt;AG260,AG260="-"),OR(AG260&lt;AI260,AG260="-"),OR(AI260&lt;AK260,AI260="-"),AK260&lt;AM260,AM260&lt;AO260,AO260&lt;AQ260,AQ260&lt;AS260,AS260&lt;AU260,OR(AU260&lt;AW260,AW260="-"),OR(AW260&lt;AY260,AW260="-"))</f>
        <v>1</v>
      </c>
      <c r="BC260" s="23">
        <f t="shared" ref="BC260" si="2266">_xlfn.AGGREGATE(9,6,CH260:CS260)-_xlfn.AGGREGATE(9,6,BV260:CG260)+12</f>
        <v>252</v>
      </c>
      <c r="BD260" s="5" t="s">
        <v>23</v>
      </c>
      <c r="BE260" s="3" t="s">
        <v>1374</v>
      </c>
      <c r="BF260" s="118">
        <v>2.4</v>
      </c>
      <c r="BG260" s="49" t="s">
        <v>1</v>
      </c>
      <c r="BH260" s="49" t="s">
        <v>1</v>
      </c>
      <c r="BI260" s="1"/>
      <c r="BJ260" s="70" t="s">
        <v>1287</v>
      </c>
      <c r="BK260" s="57" t="s">
        <v>1287</v>
      </c>
      <c r="BL260" s="57" t="s">
        <v>1287</v>
      </c>
      <c r="BM260" s="57" t="s">
        <v>1287</v>
      </c>
      <c r="BN260" s="57" t="s">
        <v>1287</v>
      </c>
      <c r="BO260" s="57" t="s">
        <v>1287</v>
      </c>
      <c r="BP260" s="57" t="s">
        <v>1287</v>
      </c>
      <c r="BQ260" s="57" t="s">
        <v>1287</v>
      </c>
      <c r="BR260" s="57" t="s">
        <v>1287</v>
      </c>
      <c r="BS260" s="57" t="s">
        <v>1287</v>
      </c>
      <c r="BT260" s="57" t="s">
        <v>1287</v>
      </c>
      <c r="BU260" s="57" t="s">
        <v>1287</v>
      </c>
      <c r="BV260" s="70">
        <f t="shared" ref="BV260" si="2267">E260</f>
        <v>28</v>
      </c>
      <c r="BW260" s="71">
        <f t="shared" ref="BW260" si="2268">I260</f>
        <v>61</v>
      </c>
      <c r="BX260" s="72">
        <f t="shared" ref="BX260" si="2269">M260</f>
        <v>65</v>
      </c>
      <c r="BY260" s="71">
        <f t="shared" ref="BY260" si="2270">Q260</f>
        <v>97</v>
      </c>
      <c r="BZ260" s="72">
        <f t="shared" ref="BZ260" si="2271">U260</f>
        <v>101</v>
      </c>
      <c r="CA260" s="71" t="str">
        <f t="shared" ref="CA260" si="2272">Y260</f>
        <v>-</v>
      </c>
      <c r="CB260" s="72">
        <f t="shared" ref="CB260" si="2273">AC260</f>
        <v>143</v>
      </c>
      <c r="CC260" s="71">
        <f t="shared" ref="CC260" si="2274">AG260</f>
        <v>180</v>
      </c>
      <c r="CD260" s="72">
        <f t="shared" ref="CD260" si="2275">AK260</f>
        <v>190</v>
      </c>
      <c r="CE260" s="71">
        <f t="shared" ref="CE260" si="2276">AO260</f>
        <v>238</v>
      </c>
      <c r="CF260" s="72">
        <f t="shared" ref="CF260" si="2277">AS260</f>
        <v>282</v>
      </c>
      <c r="CG260" s="71">
        <f t="shared" ref="CG260" si="2278">AW260</f>
        <v>309</v>
      </c>
      <c r="CH260" s="70">
        <f t="shared" ref="CH260" si="2279">G260</f>
        <v>60</v>
      </c>
      <c r="CI260" s="71">
        <f t="shared" ref="CI260" si="2280">K260</f>
        <v>64</v>
      </c>
      <c r="CJ260" s="72">
        <f t="shared" ref="CJ260" si="2281">O260</f>
        <v>95</v>
      </c>
      <c r="CK260" s="72">
        <f t="shared" ref="CK260" si="2282">S260</f>
        <v>100</v>
      </c>
      <c r="CL260" s="72">
        <f t="shared" ref="CL260" si="2283">W260</f>
        <v>136</v>
      </c>
      <c r="CM260" s="72" t="str">
        <f t="shared" ref="CM260" si="2284">AA260</f>
        <v>-</v>
      </c>
      <c r="CN260" s="72">
        <f t="shared" ref="CN260" si="2285">AE260</f>
        <v>169</v>
      </c>
      <c r="CO260" s="72">
        <f t="shared" ref="CO260" si="2286">AI260</f>
        <v>182</v>
      </c>
      <c r="CP260" s="72">
        <f t="shared" ref="CP260" si="2287">AM260</f>
        <v>226</v>
      </c>
      <c r="CQ260" s="72">
        <f t="shared" ref="CQ260" si="2288">AQ260</f>
        <v>274</v>
      </c>
      <c r="CR260" s="72">
        <f t="shared" ref="CR260" si="2289">AU260</f>
        <v>308</v>
      </c>
      <c r="CS260" s="72">
        <f t="shared" ref="CS260" si="2290">AY260</f>
        <v>320</v>
      </c>
      <c r="CT260" s="23">
        <f t="shared" ref="CT260" si="2291">M260-K260</f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ref="A261" si="2292">CONCATENATE(B261,"_",C261)</f>
        <v>nk1r_human_6HLP</v>
      </c>
      <c r="B261" s="3" t="s">
        <v>314</v>
      </c>
      <c r="C261" s="133" t="s">
        <v>1545</v>
      </c>
      <c r="D261" s="3" t="str">
        <f>IFERROR(MID(VLOOKUP($B261,Seqs!$A:$B,2,0),E261,1),"")</f>
        <v>P</v>
      </c>
      <c r="E261" s="3">
        <v>28</v>
      </c>
      <c r="F261" s="3" t="str">
        <f>IFERROR(MID(VLOOKUP($B261,Seqs!$A:$B,2,0),G261,1),"")</f>
        <v>H</v>
      </c>
      <c r="G261" s="3">
        <v>60</v>
      </c>
      <c r="H261" s="3" t="str">
        <f>IFERROR(MID(VLOOKUP($B261,Seqs!$A:$B,2,0),I261,1),"")</f>
        <v>K</v>
      </c>
      <c r="I261" s="23">
        <v>61</v>
      </c>
      <c r="J261" s="3" t="str">
        <f>IFERROR(MID(VLOOKUP($B261,Seqs!$A:$B,2,0),K261,1),"")</f>
        <v>R</v>
      </c>
      <c r="K261" s="23">
        <v>64</v>
      </c>
      <c r="L261" s="3" t="str">
        <f>IFERROR(MID(VLOOKUP($B261,Seqs!$A:$B,2,0),M261,1),"")</f>
        <v>T</v>
      </c>
      <c r="M261" s="3">
        <v>65</v>
      </c>
      <c r="N261" s="3" t="str">
        <f>IFERROR(MID(VLOOKUP($B261,Seqs!$A:$B,2,0),O261,1),"")</f>
        <v>H</v>
      </c>
      <c r="O261" s="3">
        <v>95</v>
      </c>
      <c r="P261" s="3" t="str">
        <f>IFERROR(MID(VLOOKUP($B261,Seqs!$A:$B,2,0),Q261,1),"")</f>
        <v>E</v>
      </c>
      <c r="Q261" s="3">
        <v>97</v>
      </c>
      <c r="R261" s="3" t="str">
        <f>IFERROR(MID(VLOOKUP($B261,Seqs!$A:$B,2,0),S261,1),"")</f>
        <v>Y</v>
      </c>
      <c r="S261" s="3">
        <v>100</v>
      </c>
      <c r="T261" s="3" t="str">
        <f>IFERROR(MID(VLOOKUP($B261,Seqs!$A:$B,2,0),U261,1),"")</f>
        <v>G</v>
      </c>
      <c r="U261" s="3">
        <v>101</v>
      </c>
      <c r="V261" s="3" t="str">
        <f>IFERROR(MID(VLOOKUP($B261,Seqs!$A:$B,2,0),W261,1),"")</f>
        <v>H</v>
      </c>
      <c r="W261" s="3">
        <v>136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S</v>
      </c>
      <c r="AC261" s="3">
        <v>143</v>
      </c>
      <c r="AD261" s="3" t="str">
        <f>IFERROR(MID(VLOOKUP($B261,Seqs!$A:$B,2,0),AE261,1),"")</f>
        <v>S</v>
      </c>
      <c r="AE261" s="3">
        <v>169</v>
      </c>
      <c r="AF261" s="3" t="str">
        <f>IFERROR(MID(VLOOKUP($B261,Seqs!$A:$B,2,0),AG261,1),"")</f>
        <v>C</v>
      </c>
      <c r="AG261" s="3">
        <v>180</v>
      </c>
      <c r="AH261" s="3" t="str">
        <f>IFERROR(MID(VLOOKUP($B261,Seqs!$A:$B,2,0),AI261,1),"")</f>
        <v>I</v>
      </c>
      <c r="AI261" s="3">
        <v>182</v>
      </c>
      <c r="AJ261" s="3" t="str">
        <f>IFERROR(MID(VLOOKUP($B261,Seqs!$A:$B,2,0),AK261,1),"")</f>
        <v>K</v>
      </c>
      <c r="AK261" s="3">
        <v>190</v>
      </c>
      <c r="AL261" s="3" t="str">
        <f>IFERROR(MID(VLOOKUP($B261,Seqs!$A:$B,2,0),AM261,1),"")</f>
        <v>S</v>
      </c>
      <c r="AM261" s="3">
        <v>226</v>
      </c>
      <c r="AN261" s="3" t="str">
        <f>IFERROR(MID(VLOOKUP($B261,Seqs!$A:$B,2,0),AO261,1),"")</f>
        <v>E</v>
      </c>
      <c r="AO261" s="3">
        <v>238</v>
      </c>
      <c r="AP261" s="3" t="str">
        <f>IFERROR(MID(VLOOKUP($B261,Seqs!$A:$B,2,0),AQ261,1),"")</f>
        <v>N</v>
      </c>
      <c r="AQ261" s="3">
        <v>274</v>
      </c>
      <c r="AR261" s="3" t="str">
        <f>IFERROR(MID(VLOOKUP($B261,Seqs!$A:$B,2,0),AS261,1),"")</f>
        <v>F</v>
      </c>
      <c r="AS261" s="3">
        <v>282</v>
      </c>
      <c r="AT261" s="3" t="str">
        <f>IFERROR(MID(VLOOKUP($B261,Seqs!$A:$B,2,0),AU261,1),"")</f>
        <v>L</v>
      </c>
      <c r="AU261" s="3">
        <v>308</v>
      </c>
      <c r="AV261" s="3" t="str">
        <f>IFERROR(MID(VLOOKUP($B261,Seqs!$A:$B,2,0),AW261,1),"")</f>
        <v>N</v>
      </c>
      <c r="AW261" s="3">
        <v>309</v>
      </c>
      <c r="AX261" s="3" t="str">
        <f>IFERROR(MID(VLOOKUP($B261,Seqs!$A:$B,2,0),AY261,1),"")</f>
        <v>F</v>
      </c>
      <c r="AY261" s="3">
        <v>320</v>
      </c>
      <c r="AZ261" s="77" t="str">
        <f>VLOOKUP(B261,Classification!A:D,2,0)</f>
        <v>A</v>
      </c>
      <c r="BA261" s="94" t="str">
        <f>VLOOKUP(B261,Classification!A:D,4,0)</f>
        <v>Tachykinin</v>
      </c>
      <c r="BB261" s="27" t="b">
        <f t="shared" ref="BB261" si="2293">AND(E261&lt;G261,OR(G261&lt;I261,I261="-"),OR(I261&lt;K261,I261="-"),OR(K261&lt;M261,K261="-"),M261&lt;O261,OR(O261&lt;Q261,Q261="-"),OR(Q261&lt;S261,Q261="-"),OR(S261&lt;U261,S261="-"),U261&lt;W261,OR(W261&lt;Y261,Y261="-"),OR(Y261&lt;AA261,Y261="-"),OR(AA261&lt;AC261,AA261="-"),AC261&lt;AE261,OR(AE261&lt;AG261,AG261="-"),OR(AG261&lt;AI261,AG261="-"),OR(AI261&lt;AK261,AI261="-"),AK261&lt;AM261,AM261&lt;AO261,AO261&lt;AQ261,AQ261&lt;AS261,AS261&lt;AU261,OR(AU261&lt;AW261,AW261="-"),OR(AW261&lt;AY261,AW261="-"))</f>
        <v>1</v>
      </c>
      <c r="BC261" s="23">
        <f t="shared" ref="BC261" si="2294">_xlfn.AGGREGATE(9,6,CH261:CS261)-_xlfn.AGGREGATE(9,6,BV261:CG261)+12</f>
        <v>252</v>
      </c>
      <c r="BD261" s="5" t="s">
        <v>1376</v>
      </c>
      <c r="BE261" s="3" t="s">
        <v>1374</v>
      </c>
      <c r="BF261" s="118">
        <v>2.2000000000000002</v>
      </c>
      <c r="BG261" s="49" t="s">
        <v>1</v>
      </c>
      <c r="BH261" s="49" t="s">
        <v>1</v>
      </c>
      <c r="BI261" s="1"/>
      <c r="BJ261" s="70" t="s">
        <v>1287</v>
      </c>
      <c r="BK261" s="57" t="s">
        <v>1287</v>
      </c>
      <c r="BL261" s="57" t="s">
        <v>1287</v>
      </c>
      <c r="BM261" s="57" t="s">
        <v>1287</v>
      </c>
      <c r="BN261" s="57" t="s">
        <v>1287</v>
      </c>
      <c r="BO261" s="57" t="s">
        <v>1287</v>
      </c>
      <c r="BP261" s="57" t="s">
        <v>1287</v>
      </c>
      <c r="BQ261" s="57" t="s">
        <v>1287</v>
      </c>
      <c r="BR261" s="57" t="s">
        <v>1287</v>
      </c>
      <c r="BS261" s="57" t="s">
        <v>1287</v>
      </c>
      <c r="BT261" s="57" t="s">
        <v>1287</v>
      </c>
      <c r="BU261" s="57" t="s">
        <v>1287</v>
      </c>
      <c r="BV261" s="70">
        <f t="shared" ref="BV261" si="2295">E261</f>
        <v>28</v>
      </c>
      <c r="BW261" s="71">
        <f t="shared" ref="BW261" si="2296">I261</f>
        <v>61</v>
      </c>
      <c r="BX261" s="72">
        <f t="shared" ref="BX261" si="2297">M261</f>
        <v>65</v>
      </c>
      <c r="BY261" s="71">
        <f t="shared" ref="BY261" si="2298">Q261</f>
        <v>97</v>
      </c>
      <c r="BZ261" s="72">
        <f t="shared" ref="BZ261" si="2299">U261</f>
        <v>101</v>
      </c>
      <c r="CA261" s="71" t="str">
        <f t="shared" ref="CA261" si="2300">Y261</f>
        <v>-</v>
      </c>
      <c r="CB261" s="72">
        <f t="shared" ref="CB261" si="2301">AC261</f>
        <v>143</v>
      </c>
      <c r="CC261" s="71">
        <f t="shared" ref="CC261" si="2302">AG261</f>
        <v>180</v>
      </c>
      <c r="CD261" s="72">
        <f t="shared" ref="CD261" si="2303">AK261</f>
        <v>190</v>
      </c>
      <c r="CE261" s="71">
        <f t="shared" ref="CE261" si="2304">AO261</f>
        <v>238</v>
      </c>
      <c r="CF261" s="72">
        <f t="shared" ref="CF261" si="2305">AS261</f>
        <v>282</v>
      </c>
      <c r="CG261" s="71">
        <f t="shared" ref="CG261" si="2306">AW261</f>
        <v>309</v>
      </c>
      <c r="CH261" s="70">
        <f t="shared" ref="CH261" si="2307">G261</f>
        <v>60</v>
      </c>
      <c r="CI261" s="71">
        <f t="shared" ref="CI261" si="2308">K261</f>
        <v>64</v>
      </c>
      <c r="CJ261" s="72">
        <f t="shared" ref="CJ261" si="2309">O261</f>
        <v>95</v>
      </c>
      <c r="CK261" s="72">
        <f t="shared" ref="CK261" si="2310">S261</f>
        <v>100</v>
      </c>
      <c r="CL261" s="72">
        <f t="shared" ref="CL261" si="2311">W261</f>
        <v>136</v>
      </c>
      <c r="CM261" s="72" t="str">
        <f t="shared" ref="CM261" si="2312">AA261</f>
        <v>-</v>
      </c>
      <c r="CN261" s="72">
        <f t="shared" ref="CN261" si="2313">AE261</f>
        <v>169</v>
      </c>
      <c r="CO261" s="72">
        <f t="shared" ref="CO261" si="2314">AI261</f>
        <v>182</v>
      </c>
      <c r="CP261" s="72">
        <f t="shared" ref="CP261" si="2315">AM261</f>
        <v>226</v>
      </c>
      <c r="CQ261" s="72">
        <f t="shared" ref="CQ261" si="2316">AQ261</f>
        <v>274</v>
      </c>
      <c r="CR261" s="72">
        <f t="shared" ref="CR261" si="2317">AU261</f>
        <v>308</v>
      </c>
      <c r="CS261" s="72">
        <f t="shared" ref="CS261" si="2318">AY261</f>
        <v>320</v>
      </c>
      <c r="CT261" s="23">
        <f t="shared" ref="CT261" si="2319">M261-K261</f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ref="A262" si="2320">CONCATENATE(B262,"_",C262)</f>
        <v>nk1r_human_6J20</v>
      </c>
      <c r="B262" s="3" t="s">
        <v>314</v>
      </c>
      <c r="C262" s="133" t="s">
        <v>1562</v>
      </c>
      <c r="D262" s="3" t="str">
        <f>IFERROR(MID(VLOOKUP($B262,Seqs!$A:$B,2,0),E262,1),"")</f>
        <v>P</v>
      </c>
      <c r="E262" s="3">
        <v>28</v>
      </c>
      <c r="F262" s="3" t="str">
        <f>IFERROR(MID(VLOOKUP($B262,Seqs!$A:$B,2,0),G262,1),"")</f>
        <v>A</v>
      </c>
      <c r="G262" s="3">
        <v>59</v>
      </c>
      <c r="H262" s="3" t="str">
        <f>IFERROR(MID(VLOOKUP($B262,Seqs!$A:$B,2,0),I262,1),"")</f>
        <v/>
      </c>
      <c r="I262" s="23" t="s">
        <v>23</v>
      </c>
      <c r="J262" s="3" t="str">
        <f>IFERROR(MID(VLOOKUP($B262,Seqs!$A:$B,2,0),K262,1),"")</f>
        <v/>
      </c>
      <c r="K262" s="23" t="s">
        <v>23</v>
      </c>
      <c r="L262" s="3" t="str">
        <f>IFERROR(MID(VLOOKUP($B262,Seqs!$A:$B,2,0),M262,1),"")</f>
        <v>V</v>
      </c>
      <c r="M262" s="3">
        <v>66</v>
      </c>
      <c r="N262" s="3" t="str">
        <f>IFERROR(MID(VLOOKUP($B262,Seqs!$A:$B,2,0),O262,1),"")</f>
        <v>N</v>
      </c>
      <c r="O262" s="3">
        <v>96</v>
      </c>
      <c r="P262" s="3" t="str">
        <f>IFERROR(MID(VLOOKUP($B262,Seqs!$A:$B,2,0),Q262,1),"")</f>
        <v>E</v>
      </c>
      <c r="Q262" s="3">
        <v>97</v>
      </c>
      <c r="R262" s="3" t="str">
        <f>IFERROR(MID(VLOOKUP($B262,Seqs!$A:$B,2,0),S262,1),"")</f>
        <v>Y</v>
      </c>
      <c r="S262" s="3">
        <v>100</v>
      </c>
      <c r="T262" s="3" t="str">
        <f>IFERROR(MID(VLOOKUP($B262,Seqs!$A:$B,2,0),U262,1),"")</f>
        <v>G</v>
      </c>
      <c r="U262" s="3">
        <v>101</v>
      </c>
      <c r="V262" s="3" t="str">
        <f>IFERROR(MID(VLOOKUP($B262,Seqs!$A:$B,2,0),W262,1),"")</f>
        <v>H</v>
      </c>
      <c r="W262" s="3">
        <v>136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S</v>
      </c>
      <c r="AC262" s="3">
        <v>143</v>
      </c>
      <c r="AD262" s="3" t="str">
        <f>IFERROR(MID(VLOOKUP($B262,Seqs!$A:$B,2,0),AE262,1),"")</f>
        <v>S</v>
      </c>
      <c r="AE262" s="3">
        <v>169</v>
      </c>
      <c r="AF262" s="3" t="str">
        <f>IFERROR(MID(VLOOKUP($B262,Seqs!$A:$B,2,0),AG262,1),"")</f>
        <v>C</v>
      </c>
      <c r="AG262" s="3">
        <v>180</v>
      </c>
      <c r="AH262" s="3" t="str">
        <f>IFERROR(MID(VLOOKUP($B262,Seqs!$A:$B,2,0),AI262,1),"")</f>
        <v>I</v>
      </c>
      <c r="AI262" s="3">
        <v>182</v>
      </c>
      <c r="AJ262" s="3" t="str">
        <f>IFERROR(MID(VLOOKUP($B262,Seqs!$A:$B,2,0),AK262,1),"")</f>
        <v>K</v>
      </c>
      <c r="AK262" s="3">
        <v>190</v>
      </c>
      <c r="AL262" s="3" t="str">
        <f>IFERROR(MID(VLOOKUP($B262,Seqs!$A:$B,2,0),AM262,1),"")</f>
        <v>A</v>
      </c>
      <c r="AM262" s="3">
        <v>225</v>
      </c>
      <c r="AN262" s="3" t="str">
        <f>IFERROR(MID(VLOOKUP($B262,Seqs!$A:$B,2,0),AO262,1),"")</f>
        <v>S</v>
      </c>
      <c r="AO262" s="3">
        <v>241</v>
      </c>
      <c r="AP262" s="3" t="str">
        <f>IFERROR(MID(VLOOKUP($B262,Seqs!$A:$B,2,0),AQ262,1),"")</f>
        <v>N</v>
      </c>
      <c r="AQ262" s="3">
        <v>274</v>
      </c>
      <c r="AR262" s="3" t="str">
        <f>IFERROR(MID(VLOOKUP($B262,Seqs!$A:$B,2,0),AS262,1),"")</f>
        <v>I</v>
      </c>
      <c r="AS262" s="3">
        <v>283</v>
      </c>
      <c r="AT262" s="3" t="str">
        <f>IFERROR(MID(VLOOKUP($B262,Seqs!$A:$B,2,0),AU262,1),"")</f>
        <v>L</v>
      </c>
      <c r="AU262" s="3">
        <v>308</v>
      </c>
      <c r="AV262" s="3" t="str">
        <f>IFERROR(MID(VLOOKUP($B262,Seqs!$A:$B,2,0),AW262,1),"")</f>
        <v>N</v>
      </c>
      <c r="AW262" s="3">
        <v>309</v>
      </c>
      <c r="AX262" s="3" t="str">
        <f>IFERROR(MID(VLOOKUP($B262,Seqs!$A:$B,2,0),AY262,1),"")</f>
        <v>A</v>
      </c>
      <c r="AY262" s="3">
        <v>319</v>
      </c>
      <c r="AZ262" s="77" t="str">
        <f>VLOOKUP(B262,Classification!A:D,2,0)</f>
        <v>A</v>
      </c>
      <c r="BA262" s="94" t="str">
        <f>VLOOKUP(B262,Classification!A:D,4,0)</f>
        <v>Tachykinin</v>
      </c>
      <c r="BB262" s="27" t="b">
        <f t="shared" ref="BB262" si="2321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23">
        <f t="shared" ref="BC262" si="2322">_xlfn.AGGREGATE(9,6,CH262:CS262)-_xlfn.AGGREGATE(9,6,BV262:CG262)+12</f>
        <v>242</v>
      </c>
      <c r="BD262" s="5" t="s">
        <v>23</v>
      </c>
      <c r="BE262" s="3" t="s">
        <v>1374</v>
      </c>
      <c r="BF262" s="118">
        <v>2.7</v>
      </c>
      <c r="BG262" s="49" t="s">
        <v>1</v>
      </c>
      <c r="BH262" s="49" t="s">
        <v>1</v>
      </c>
      <c r="BI262" s="1"/>
      <c r="BJ262" s="70" t="s">
        <v>1287</v>
      </c>
      <c r="BK262" s="57" t="s">
        <v>1287</v>
      </c>
      <c r="BL262" s="57" t="s">
        <v>1287</v>
      </c>
      <c r="BM262" s="57" t="s">
        <v>1287</v>
      </c>
      <c r="BN262" s="57" t="s">
        <v>1287</v>
      </c>
      <c r="BO262" s="57" t="s">
        <v>1287</v>
      </c>
      <c r="BP262" s="57" t="s">
        <v>1287</v>
      </c>
      <c r="BQ262" s="57" t="s">
        <v>1287</v>
      </c>
      <c r="BR262" s="57" t="s">
        <v>1287</v>
      </c>
      <c r="BS262" s="57" t="s">
        <v>1287</v>
      </c>
      <c r="BT262" s="57" t="s">
        <v>1287</v>
      </c>
      <c r="BU262" s="57" t="s">
        <v>1287</v>
      </c>
      <c r="BV262" s="70">
        <f t="shared" ref="BV262" si="2323">E262</f>
        <v>28</v>
      </c>
      <c r="BW262" s="71" t="str">
        <f t="shared" ref="BW262" si="2324">I262</f>
        <v>-</v>
      </c>
      <c r="BX262" s="72">
        <f t="shared" ref="BX262" si="2325">M262</f>
        <v>66</v>
      </c>
      <c r="BY262" s="71">
        <f t="shared" ref="BY262" si="2326">Q262</f>
        <v>97</v>
      </c>
      <c r="BZ262" s="72">
        <f t="shared" ref="BZ262" si="2327">U262</f>
        <v>101</v>
      </c>
      <c r="CA262" s="71" t="str">
        <f t="shared" ref="CA262" si="2328">Y262</f>
        <v>-</v>
      </c>
      <c r="CB262" s="72">
        <f t="shared" ref="CB262" si="2329">AC262</f>
        <v>143</v>
      </c>
      <c r="CC262" s="71">
        <f t="shared" ref="CC262" si="2330">AG262</f>
        <v>180</v>
      </c>
      <c r="CD262" s="72">
        <f t="shared" ref="CD262" si="2331">AK262</f>
        <v>190</v>
      </c>
      <c r="CE262" s="71">
        <f t="shared" ref="CE262" si="2332">AO262</f>
        <v>241</v>
      </c>
      <c r="CF262" s="72">
        <f t="shared" ref="CF262" si="2333">AS262</f>
        <v>283</v>
      </c>
      <c r="CG262" s="71">
        <f t="shared" ref="CG262" si="2334">AW262</f>
        <v>309</v>
      </c>
      <c r="CH262" s="70">
        <f t="shared" ref="CH262" si="2335">G262</f>
        <v>59</v>
      </c>
      <c r="CI262" s="71" t="str">
        <f t="shared" ref="CI262" si="2336">K262</f>
        <v>-</v>
      </c>
      <c r="CJ262" s="72">
        <f t="shared" ref="CJ262" si="2337">O262</f>
        <v>96</v>
      </c>
      <c r="CK262" s="72">
        <f t="shared" ref="CK262" si="2338">S262</f>
        <v>100</v>
      </c>
      <c r="CL262" s="72">
        <f t="shared" ref="CL262" si="2339">W262</f>
        <v>136</v>
      </c>
      <c r="CM262" s="72" t="str">
        <f t="shared" ref="CM262" si="2340">AA262</f>
        <v>-</v>
      </c>
      <c r="CN262" s="72">
        <f t="shared" ref="CN262" si="2341">AE262</f>
        <v>169</v>
      </c>
      <c r="CO262" s="72">
        <f t="shared" ref="CO262" si="2342">AI262</f>
        <v>182</v>
      </c>
      <c r="CP262" s="72">
        <f t="shared" ref="CP262" si="2343">AM262</f>
        <v>225</v>
      </c>
      <c r="CQ262" s="72">
        <f t="shared" ref="CQ262" si="2344">AQ262</f>
        <v>274</v>
      </c>
      <c r="CR262" s="72">
        <f t="shared" ref="CR262" si="2345">AU262</f>
        <v>308</v>
      </c>
      <c r="CS262" s="72">
        <f t="shared" ref="CS262" si="2346">AY262</f>
        <v>319</v>
      </c>
      <c r="CT262" s="23" t="e">
        <f t="shared" ref="CT262" si="2347">M262-K262</f>
        <v>#VALUE!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ref="A263" si="2348">CONCATENATE(B263,"_",C263)</f>
        <v>nk1r_human_6J21</v>
      </c>
      <c r="B263" s="3" t="s">
        <v>314</v>
      </c>
      <c r="C263" s="133" t="s">
        <v>1563</v>
      </c>
      <c r="D263" s="3" t="str">
        <f>IFERROR(MID(VLOOKUP($B263,Seqs!$A:$B,2,0),E263,1),"")</f>
        <v>P</v>
      </c>
      <c r="E263" s="3">
        <v>28</v>
      </c>
      <c r="F263" s="3" t="str">
        <f>IFERROR(MID(VLOOKUP($B263,Seqs!$A:$B,2,0),G263,1),"")</f>
        <v>A</v>
      </c>
      <c r="G263" s="3">
        <v>59</v>
      </c>
      <c r="H263" s="3" t="str">
        <f>IFERROR(MID(VLOOKUP($B263,Seqs!$A:$B,2,0),I263,1),"")</f>
        <v/>
      </c>
      <c r="I263" s="23" t="s">
        <v>23</v>
      </c>
      <c r="J263" s="3" t="str">
        <f>IFERROR(MID(VLOOKUP($B263,Seqs!$A:$B,2,0),K263,1),"")</f>
        <v/>
      </c>
      <c r="K263" s="23" t="s">
        <v>23</v>
      </c>
      <c r="L263" s="3" t="str">
        <f>IFERROR(MID(VLOOKUP($B263,Seqs!$A:$B,2,0),M263,1),"")</f>
        <v>T</v>
      </c>
      <c r="M263" s="3">
        <v>65</v>
      </c>
      <c r="N263" s="3" t="str">
        <f>IFERROR(MID(VLOOKUP($B263,Seqs!$A:$B,2,0),O263,1),"")</f>
        <v>N</v>
      </c>
      <c r="O263" s="3">
        <v>96</v>
      </c>
      <c r="P263" s="3" t="str">
        <f>IFERROR(MID(VLOOKUP($B263,Seqs!$A:$B,2,0),Q263,1),"")</f>
        <v>E</v>
      </c>
      <c r="Q263" s="3">
        <v>97</v>
      </c>
      <c r="R263" s="3" t="str">
        <f>IFERROR(MID(VLOOKUP($B263,Seqs!$A:$B,2,0),S263,1),"")</f>
        <v>Y</v>
      </c>
      <c r="S263" s="3">
        <v>100</v>
      </c>
      <c r="T263" s="3" t="str">
        <f>IFERROR(MID(VLOOKUP($B263,Seqs!$A:$B,2,0),U263,1),"")</f>
        <v>G</v>
      </c>
      <c r="U263" s="3">
        <v>101</v>
      </c>
      <c r="V263" s="3" t="str">
        <f>IFERROR(MID(VLOOKUP($B263,Seqs!$A:$B,2,0),W263,1),"")</f>
        <v>H</v>
      </c>
      <c r="W263" s="3">
        <v>136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S</v>
      </c>
      <c r="AC263" s="3">
        <v>143</v>
      </c>
      <c r="AD263" s="3" t="str">
        <f>IFERROR(MID(VLOOKUP($B263,Seqs!$A:$B,2,0),AE263,1),"")</f>
        <v>S</v>
      </c>
      <c r="AE263" s="3">
        <v>169</v>
      </c>
      <c r="AF263" s="3" t="str">
        <f>IFERROR(MID(VLOOKUP($B263,Seqs!$A:$B,2,0),AG263,1),"")</f>
        <v>C</v>
      </c>
      <c r="AG263" s="3">
        <v>180</v>
      </c>
      <c r="AH263" s="3" t="str">
        <f>IFERROR(MID(VLOOKUP($B263,Seqs!$A:$B,2,0),AI263,1),"")</f>
        <v>I</v>
      </c>
      <c r="AI263" s="3">
        <v>182</v>
      </c>
      <c r="AJ263" s="3" t="str">
        <f>IFERROR(MID(VLOOKUP($B263,Seqs!$A:$B,2,0),AK263,1),"")</f>
        <v>I</v>
      </c>
      <c r="AK263" s="3">
        <v>191</v>
      </c>
      <c r="AL263" s="3" t="str">
        <f>IFERROR(MID(VLOOKUP($B263,Seqs!$A:$B,2,0),AM263,1),"")</f>
        <v>A</v>
      </c>
      <c r="AM263" s="3">
        <v>225</v>
      </c>
      <c r="AN263" s="3" t="str">
        <f>IFERROR(MID(VLOOKUP($B263,Seqs!$A:$B,2,0),AO263,1),"")</f>
        <v>A</v>
      </c>
      <c r="AO263" s="3">
        <v>242</v>
      </c>
      <c r="AP263" s="3" t="str">
        <f>IFERROR(MID(VLOOKUP($B263,Seqs!$A:$B,2,0),AQ263,1),"")</f>
        <v>N</v>
      </c>
      <c r="AQ263" s="3">
        <v>274</v>
      </c>
      <c r="AR263" s="3" t="str">
        <f>IFERROR(MID(VLOOKUP($B263,Seqs!$A:$B,2,0),AS263,1),"")</f>
        <v>F</v>
      </c>
      <c r="AS263" s="3">
        <v>282</v>
      </c>
      <c r="AT263" s="3" t="str">
        <f>IFERROR(MID(VLOOKUP($B263,Seqs!$A:$B,2,0),AU263,1),"")</f>
        <v>L</v>
      </c>
      <c r="AU263" s="3">
        <v>308</v>
      </c>
      <c r="AV263" s="3" t="str">
        <f>IFERROR(MID(VLOOKUP($B263,Seqs!$A:$B,2,0),AW263,1),"")</f>
        <v>N</v>
      </c>
      <c r="AW263" s="3">
        <v>309</v>
      </c>
      <c r="AX263" s="3" t="str">
        <f>IFERROR(MID(VLOOKUP($B263,Seqs!$A:$B,2,0),AY263,1),"")</f>
        <v>A</v>
      </c>
      <c r="AY263" s="3">
        <v>319</v>
      </c>
      <c r="AZ263" s="77" t="str">
        <f>VLOOKUP(B263,Classification!A:D,2,0)</f>
        <v>A</v>
      </c>
      <c r="BA263" s="94" t="str">
        <f>VLOOKUP(B263,Classification!A:D,4,0)</f>
        <v>Tachykinin</v>
      </c>
      <c r="BB263" s="27" t="b">
        <f t="shared" ref="BB263" si="2349"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23">
        <f t="shared" ref="BC263" si="2350">_xlfn.AGGREGATE(9,6,CH263:CS263)-_xlfn.AGGREGATE(9,6,BV263:CG263)+12</f>
        <v>242</v>
      </c>
      <c r="BD263" s="5" t="s">
        <v>23</v>
      </c>
      <c r="BE263" s="3" t="s">
        <v>1374</v>
      </c>
      <c r="BF263" s="118">
        <v>3.2</v>
      </c>
      <c r="BG263" s="49" t="s">
        <v>1</v>
      </c>
      <c r="BH263" s="49" t="s">
        <v>1</v>
      </c>
      <c r="BI263" s="1"/>
      <c r="BJ263" s="70" t="s">
        <v>1287</v>
      </c>
      <c r="BK263" s="57" t="s">
        <v>1287</v>
      </c>
      <c r="BL263" s="57" t="s">
        <v>1287</v>
      </c>
      <c r="BM263" s="57" t="s">
        <v>1287</v>
      </c>
      <c r="BN263" s="57" t="s">
        <v>1287</v>
      </c>
      <c r="BO263" s="57" t="s">
        <v>1287</v>
      </c>
      <c r="BP263" s="57" t="s">
        <v>1287</v>
      </c>
      <c r="BQ263" s="57" t="s">
        <v>1287</v>
      </c>
      <c r="BR263" s="57" t="s">
        <v>1287</v>
      </c>
      <c r="BS263" s="57" t="s">
        <v>1287</v>
      </c>
      <c r="BT263" s="57" t="s">
        <v>1287</v>
      </c>
      <c r="BU263" s="57" t="s">
        <v>1287</v>
      </c>
      <c r="BV263" s="70">
        <f t="shared" ref="BV263" si="2351">E263</f>
        <v>28</v>
      </c>
      <c r="BW263" s="71" t="str">
        <f t="shared" ref="BW263" si="2352">I263</f>
        <v>-</v>
      </c>
      <c r="BX263" s="72">
        <f t="shared" ref="BX263" si="2353">M263</f>
        <v>65</v>
      </c>
      <c r="BY263" s="71">
        <f t="shared" ref="BY263" si="2354">Q263</f>
        <v>97</v>
      </c>
      <c r="BZ263" s="72">
        <f t="shared" ref="BZ263" si="2355">U263</f>
        <v>101</v>
      </c>
      <c r="CA263" s="71" t="str">
        <f t="shared" ref="CA263" si="2356">Y263</f>
        <v>-</v>
      </c>
      <c r="CB263" s="72">
        <f t="shared" ref="CB263" si="2357">AC263</f>
        <v>143</v>
      </c>
      <c r="CC263" s="71">
        <f t="shared" ref="CC263" si="2358">AG263</f>
        <v>180</v>
      </c>
      <c r="CD263" s="72">
        <f t="shared" ref="CD263" si="2359">AK263</f>
        <v>191</v>
      </c>
      <c r="CE263" s="71">
        <f t="shared" ref="CE263" si="2360">AO263</f>
        <v>242</v>
      </c>
      <c r="CF263" s="72">
        <f t="shared" ref="CF263" si="2361">AS263</f>
        <v>282</v>
      </c>
      <c r="CG263" s="71">
        <f t="shared" ref="CG263" si="2362">AW263</f>
        <v>309</v>
      </c>
      <c r="CH263" s="70">
        <f t="shared" ref="CH263" si="2363">G263</f>
        <v>59</v>
      </c>
      <c r="CI263" s="71" t="str">
        <f t="shared" ref="CI263" si="2364">K263</f>
        <v>-</v>
      </c>
      <c r="CJ263" s="72">
        <f t="shared" ref="CJ263" si="2365">O263</f>
        <v>96</v>
      </c>
      <c r="CK263" s="72">
        <f t="shared" ref="CK263" si="2366">S263</f>
        <v>100</v>
      </c>
      <c r="CL263" s="72">
        <f t="shared" ref="CL263" si="2367">W263</f>
        <v>136</v>
      </c>
      <c r="CM263" s="72" t="str">
        <f t="shared" ref="CM263" si="2368">AA263</f>
        <v>-</v>
      </c>
      <c r="CN263" s="72">
        <f t="shared" ref="CN263" si="2369">AE263</f>
        <v>169</v>
      </c>
      <c r="CO263" s="72">
        <f t="shared" ref="CO263" si="2370">AI263</f>
        <v>182</v>
      </c>
      <c r="CP263" s="72">
        <f t="shared" ref="CP263" si="2371">AM263</f>
        <v>225</v>
      </c>
      <c r="CQ263" s="72">
        <f t="shared" ref="CQ263" si="2372">AQ263</f>
        <v>274</v>
      </c>
      <c r="CR263" s="72">
        <f t="shared" ref="CR263" si="2373">AU263</f>
        <v>308</v>
      </c>
      <c r="CS263" s="72">
        <f t="shared" ref="CS263" si="2374">AY263</f>
        <v>319</v>
      </c>
      <c r="CT263" s="23" t="e">
        <f t="shared" ref="CT263" si="2375">M263-K263</f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>CONCATENATE(B264,"_",C264)</f>
        <v>npy1r_human__wt</v>
      </c>
      <c r="B264" s="3" t="s">
        <v>325</v>
      </c>
      <c r="C264" s="3" t="s">
        <v>100</v>
      </c>
      <c r="D264" s="3" t="str">
        <f>IFERROR(MID(VLOOKUP($B264,Seqs!$A:$B,2,0),E264,1),"")</f>
        <v>P</v>
      </c>
      <c r="E264" s="3">
        <v>36</v>
      </c>
      <c r="F264" s="3" t="str">
        <f>IFERROR(MID(VLOOKUP($B264,Seqs!$A:$B,2,0),G264,1),"")</f>
        <v>Q</v>
      </c>
      <c r="G264" s="3">
        <v>68</v>
      </c>
      <c r="H264" s="3" t="str">
        <f>IFERROR(MID(VLOOKUP($B264,Seqs!$A:$B,2,0),I264,1),"")</f>
        <v>K</v>
      </c>
      <c r="I264" s="23">
        <v>69</v>
      </c>
      <c r="J264" s="3" t="str">
        <f>IFERROR(MID(VLOOKUP($B264,Seqs!$A:$B,2,0),K264,1),"")</f>
        <v>R</v>
      </c>
      <c r="K264" s="23">
        <v>72</v>
      </c>
      <c r="L264" s="3" t="str">
        <f>IFERROR(MID(VLOOKUP($B264,Seqs!$A:$B,2,0),M264,1),"")</f>
        <v>N</v>
      </c>
      <c r="M264" s="3">
        <v>73</v>
      </c>
      <c r="N264" s="3" t="str">
        <f>IFERROR(MID(VLOOKUP($B264,Seqs!$A:$B,2,0),O264,1),"")</f>
        <v>D</v>
      </c>
      <c r="O264" s="3">
        <v>104</v>
      </c>
      <c r="P264" s="3" t="str">
        <f>IFERROR(MID(VLOOKUP($B264,Seqs!$A:$B,2,0),Q264,1),"")</f>
        <v>H</v>
      </c>
      <c r="Q264" s="3">
        <v>105</v>
      </c>
      <c r="R264" s="3" t="str">
        <f>IFERROR(MID(VLOOKUP($B264,Seqs!$A:$B,2,0),S264,1),"")</f>
        <v>F</v>
      </c>
      <c r="S264" s="3">
        <v>108</v>
      </c>
      <c r="T264" s="3" t="str">
        <f>IFERROR(MID(VLOOKUP($B264,Seqs!$A:$B,2,0),U264,1),"")</f>
        <v>G</v>
      </c>
      <c r="U264" s="3">
        <v>109</v>
      </c>
      <c r="V264" s="3" t="str">
        <f>IFERROR(MID(VLOOKUP($B264,Seqs!$A:$B,2,0),W264,1),"")</f>
        <v>N</v>
      </c>
      <c r="W264" s="3">
        <v>144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N</v>
      </c>
      <c r="AC264" s="3">
        <v>151</v>
      </c>
      <c r="AD264" s="3" t="str">
        <f>IFERROR(MID(VLOOKUP($B264,Seqs!$A:$B,2,0),AE264,1),"")</f>
        <v>Q</v>
      </c>
      <c r="AE264" s="3">
        <v>177</v>
      </c>
      <c r="AF264" s="3" t="str">
        <f>IFERROR(MID(VLOOKUP($B264,Seqs!$A:$B,2,0),AG264,1),"")</f>
        <v>C</v>
      </c>
      <c r="AG264" s="3">
        <v>198</v>
      </c>
      <c r="AH264" s="3" t="str">
        <f>IFERROR(MID(VLOOKUP($B264,Seqs!$A:$B,2,0),AI264,1),"")</f>
        <v>D</v>
      </c>
      <c r="AI264" s="3">
        <v>200</v>
      </c>
      <c r="AJ264" s="3" t="str">
        <f>IFERROR(MID(VLOOKUP($B264,Seqs!$A:$B,2,0),AK264,1),"")</f>
        <v>S</v>
      </c>
      <c r="AK264" s="3">
        <v>204</v>
      </c>
      <c r="AL264" s="3" t="str">
        <f>IFERROR(MID(VLOOKUP($B264,Seqs!$A:$B,2,0),AM264,1),"")</f>
        <v>M</v>
      </c>
      <c r="AM264" s="3">
        <v>245</v>
      </c>
      <c r="AN264" s="3" t="str">
        <f>IFERROR(MID(VLOOKUP($B264,Seqs!$A:$B,2,0),AO264,1),"")</f>
        <v>D</v>
      </c>
      <c r="AO264" s="3">
        <v>250</v>
      </c>
      <c r="AP264" s="3" t="str">
        <f>IFERROR(MID(VLOOKUP($B264,Seqs!$A:$B,2,0),AQ264,1),"")</f>
        <v>N</v>
      </c>
      <c r="AQ264" s="3">
        <v>289</v>
      </c>
      <c r="AR264" s="3" t="str">
        <f>IFERROR(MID(VLOOKUP($B264,Seqs!$A:$B,2,0),AS264,1),"")</f>
        <v>T</v>
      </c>
      <c r="AS264" s="3">
        <v>295</v>
      </c>
      <c r="AT264" s="3" t="str">
        <f>IFERROR(MID(VLOOKUP($B264,Seqs!$A:$B,2,0),AU264,1),"")</f>
        <v>L</v>
      </c>
      <c r="AU264" s="3">
        <v>323</v>
      </c>
      <c r="AV264" s="3" t="str">
        <f>IFERROR(MID(VLOOKUP($B264,Seqs!$A:$B,2,0),AW264,1),"")</f>
        <v>N</v>
      </c>
      <c r="AW264" s="3">
        <v>324</v>
      </c>
      <c r="AX264" s="3" t="str">
        <f>IFERROR(MID(VLOOKUP($B264,Seqs!$A:$B,2,0),AY264,1),"")</f>
        <v>F</v>
      </c>
      <c r="AY264" s="3">
        <v>335</v>
      </c>
      <c r="AZ264" s="77" t="str">
        <f>VLOOKUP(B264,Classification!A:D,2,0)</f>
        <v>A</v>
      </c>
      <c r="BA264" s="94" t="str">
        <f>VLOOKUP(B264,Classification!A:D,4,0)</f>
        <v>NeuropeptideY</v>
      </c>
      <c r="BB264" s="27" t="b">
        <f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23">
        <f>_xlfn.AGGREGATE(9,6,CH264:CS264)-_xlfn.AGGREGATE(9,6,BV264:CG264)+12</f>
        <v>263</v>
      </c>
      <c r="BD264" s="5" t="s">
        <v>23</v>
      </c>
      <c r="BE264" s="3" t="s">
        <v>1374</v>
      </c>
      <c r="BF264" s="118" t="s">
        <v>23</v>
      </c>
      <c r="BG264" s="49" t="s">
        <v>1377</v>
      </c>
      <c r="BH264" s="49" t="s">
        <v>1377</v>
      </c>
      <c r="BI264" s="1"/>
      <c r="BJ264" s="70" t="s">
        <v>1287</v>
      </c>
      <c r="BK264" s="57" t="s">
        <v>1287</v>
      </c>
      <c r="BL264" s="57" t="s">
        <v>1287</v>
      </c>
      <c r="BM264" s="57" t="s">
        <v>1287</v>
      </c>
      <c r="BN264" s="57" t="s">
        <v>1287</v>
      </c>
      <c r="BO264" s="57" t="s">
        <v>1287</v>
      </c>
      <c r="BP264" s="57" t="s">
        <v>1287</v>
      </c>
      <c r="BQ264" s="57" t="s">
        <v>1287</v>
      </c>
      <c r="BR264" s="57" t="s">
        <v>1287</v>
      </c>
      <c r="BS264" s="57" t="s">
        <v>1287</v>
      </c>
      <c r="BT264" s="57" t="s">
        <v>1287</v>
      </c>
      <c r="BU264" s="57" t="s">
        <v>1287</v>
      </c>
      <c r="BV264" s="70">
        <f>E264</f>
        <v>36</v>
      </c>
      <c r="BW264" s="71">
        <f>I264</f>
        <v>69</v>
      </c>
      <c r="BX264" s="72">
        <f>M264</f>
        <v>73</v>
      </c>
      <c r="BY264" s="71">
        <f>Q264</f>
        <v>105</v>
      </c>
      <c r="BZ264" s="72">
        <f>U264</f>
        <v>109</v>
      </c>
      <c r="CA264" s="71" t="str">
        <f>Y264</f>
        <v>-</v>
      </c>
      <c r="CB264" s="72">
        <f>AC264</f>
        <v>151</v>
      </c>
      <c r="CC264" s="71">
        <f>AG264</f>
        <v>198</v>
      </c>
      <c r="CD264" s="72">
        <f>AK264</f>
        <v>204</v>
      </c>
      <c r="CE264" s="71">
        <f>AO264</f>
        <v>250</v>
      </c>
      <c r="CF264" s="72">
        <f>AS264</f>
        <v>295</v>
      </c>
      <c r="CG264" s="71">
        <f>AW264</f>
        <v>324</v>
      </c>
      <c r="CH264" s="70">
        <f>G264</f>
        <v>68</v>
      </c>
      <c r="CI264" s="71">
        <f>K264</f>
        <v>72</v>
      </c>
      <c r="CJ264" s="72">
        <f>O264</f>
        <v>104</v>
      </c>
      <c r="CK264" s="72">
        <f>S264</f>
        <v>108</v>
      </c>
      <c r="CL264" s="72">
        <f>W264</f>
        <v>144</v>
      </c>
      <c r="CM264" s="72" t="str">
        <f>AA264</f>
        <v>-</v>
      </c>
      <c r="CN264" s="72">
        <f>AE264</f>
        <v>177</v>
      </c>
      <c r="CO264" s="72">
        <f>AI264</f>
        <v>200</v>
      </c>
      <c r="CP264" s="72">
        <f>AM264</f>
        <v>245</v>
      </c>
      <c r="CQ264" s="72">
        <f>AQ264</f>
        <v>289</v>
      </c>
      <c r="CR264" s="72">
        <f>AU264</f>
        <v>323</v>
      </c>
      <c r="CS264" s="72">
        <f>AY264</f>
        <v>335</v>
      </c>
      <c r="CT264" s="23">
        <f>M264-K264</f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>CONCATENATE(B265,"_",C265)</f>
        <v>npy1r_human_5ZBH</v>
      </c>
      <c r="B265" s="3" t="s">
        <v>325</v>
      </c>
      <c r="C265" s="3" t="s">
        <v>1490</v>
      </c>
      <c r="D265" s="3" t="str">
        <f>IFERROR(MID(VLOOKUP($B265,Seqs!$A:$B,2,0),E265,1),"")</f>
        <v>P</v>
      </c>
      <c r="E265" s="3">
        <v>36</v>
      </c>
      <c r="F265" s="3" t="str">
        <f>IFERROR(MID(VLOOKUP($B265,Seqs!$A:$B,2,0),G265,1),"")</f>
        <v>Q</v>
      </c>
      <c r="G265" s="3">
        <v>68</v>
      </c>
      <c r="H265" s="3" t="str">
        <f>IFERROR(MID(VLOOKUP($B265,Seqs!$A:$B,2,0),I265,1),"")</f>
        <v>K</v>
      </c>
      <c r="I265" s="23">
        <v>69</v>
      </c>
      <c r="J265" s="3" t="str">
        <f>IFERROR(MID(VLOOKUP($B265,Seqs!$A:$B,2,0),K265,1),"")</f>
        <v>R</v>
      </c>
      <c r="K265" s="23">
        <v>72</v>
      </c>
      <c r="L265" s="3" t="str">
        <f>IFERROR(MID(VLOOKUP($B265,Seqs!$A:$B,2,0),M265,1),"")</f>
        <v>N</v>
      </c>
      <c r="M265" s="3">
        <v>73</v>
      </c>
      <c r="N265" s="3" t="str">
        <f>IFERROR(MID(VLOOKUP($B265,Seqs!$A:$B,2,0),O265,1),"")</f>
        <v>M</v>
      </c>
      <c r="O265" s="3">
        <v>103</v>
      </c>
      <c r="P265" s="3" t="str">
        <f>IFERROR(MID(VLOOKUP($B265,Seqs!$A:$B,2,0),Q265,1),"")</f>
        <v>H</v>
      </c>
      <c r="Q265" s="3">
        <v>105</v>
      </c>
      <c r="R265" s="3" t="str">
        <f>IFERROR(MID(VLOOKUP($B265,Seqs!$A:$B,2,0),S265,1),"")</f>
        <v>F</v>
      </c>
      <c r="S265" s="3">
        <v>108</v>
      </c>
      <c r="T265" s="3" t="str">
        <f>IFERROR(MID(VLOOKUP($B265,Seqs!$A:$B,2,0),U265,1),"")</f>
        <v>G</v>
      </c>
      <c r="U265" s="3">
        <v>109</v>
      </c>
      <c r="V265" s="3" t="str">
        <f>IFERROR(MID(VLOOKUP($B265,Seqs!$A:$B,2,0),W265,1),"")</f>
        <v>N</v>
      </c>
      <c r="W265" s="3">
        <v>144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N</v>
      </c>
      <c r="AC265" s="3">
        <v>151</v>
      </c>
      <c r="AD265" s="3" t="str">
        <f>IFERROR(MID(VLOOKUP($B265,Seqs!$A:$B,2,0),AE265,1),"")</f>
        <v>Y</v>
      </c>
      <c r="AE265" s="3">
        <v>176</v>
      </c>
      <c r="AF265" s="3" t="str">
        <f>IFERROR(MID(VLOOKUP($B265,Seqs!$A:$B,2,0),AG265,1),"")</f>
        <v>C</v>
      </c>
      <c r="AG265" s="3">
        <v>198</v>
      </c>
      <c r="AH265" s="3" t="str">
        <f>IFERROR(MID(VLOOKUP($B265,Seqs!$A:$B,2,0),AI265,1),"")</f>
        <v>D</v>
      </c>
      <c r="AI265" s="3">
        <v>200</v>
      </c>
      <c r="AJ265" s="3" t="str">
        <f>IFERROR(MID(VLOOKUP($B265,Seqs!$A:$B,2,0),AK265,1),"")</f>
        <v>S</v>
      </c>
      <c r="AK265" s="3">
        <v>204</v>
      </c>
      <c r="AL265" s="3" t="str">
        <f>IFERROR(MID(VLOOKUP($B265,Seqs!$A:$B,2,0),AM265,1),"")</f>
        <v>R</v>
      </c>
      <c r="AM265" s="3">
        <v>241</v>
      </c>
      <c r="AN265" s="3" t="str">
        <f>IFERROR(MID(VLOOKUP($B265,Seqs!$A:$B,2,0),AO265,1),"")</f>
        <v>Y</v>
      </c>
      <c r="AO265" s="3">
        <v>253</v>
      </c>
      <c r="AP265" s="3" t="str">
        <f>IFERROR(MID(VLOOKUP($B265,Seqs!$A:$B,2,0),AQ265,1),"")</f>
        <v>N</v>
      </c>
      <c r="AQ265" s="3">
        <v>289</v>
      </c>
      <c r="AR265" s="3" t="str">
        <f>IFERROR(MID(VLOOKUP($B265,Seqs!$A:$B,2,0),AS265,1),"")</f>
        <v>T</v>
      </c>
      <c r="AS265" s="3">
        <v>295</v>
      </c>
      <c r="AT265" s="3" t="str">
        <f>IFERROR(MID(VLOOKUP($B265,Seqs!$A:$B,2,0),AU265,1),"")</f>
        <v>L</v>
      </c>
      <c r="AU265" s="3">
        <v>323</v>
      </c>
      <c r="AV265" s="3" t="str">
        <f>IFERROR(MID(VLOOKUP($B265,Seqs!$A:$B,2,0),AW265,1),"")</f>
        <v>N</v>
      </c>
      <c r="AW265" s="3">
        <v>324</v>
      </c>
      <c r="AX265" s="3" t="str">
        <f>IFERROR(MID(VLOOKUP($B265,Seqs!$A:$B,2,0),AY265,1),"")</f>
        <v>F</v>
      </c>
      <c r="AY265" s="3">
        <v>335</v>
      </c>
      <c r="AZ265" s="77" t="str">
        <f>VLOOKUP(B265,Classification!A:D,2,0)</f>
        <v>A</v>
      </c>
      <c r="BA265" s="94" t="str">
        <f>VLOOKUP(B265,Classification!A:D,4,0)</f>
        <v>NeuropeptideY</v>
      </c>
      <c r="BB265" s="27" t="b">
        <f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23">
        <f>_xlfn.AGGREGATE(9,6,CH265:CS265)-_xlfn.AGGREGATE(9,6,BV265:CG265)+12</f>
        <v>254</v>
      </c>
      <c r="BD265" s="5" t="s">
        <v>1376</v>
      </c>
      <c r="BE265" s="3" t="s">
        <v>1374</v>
      </c>
      <c r="BF265" s="118">
        <v>3</v>
      </c>
      <c r="BG265" s="49" t="s">
        <v>1</v>
      </c>
      <c r="BH265" s="49" t="s">
        <v>1</v>
      </c>
      <c r="BI265" s="1"/>
      <c r="BJ265" s="70" t="s">
        <v>1287</v>
      </c>
      <c r="BK265" s="57" t="s">
        <v>1287</v>
      </c>
      <c r="BL265" s="57" t="s">
        <v>1287</v>
      </c>
      <c r="BM265" s="57" t="s">
        <v>1287</v>
      </c>
      <c r="BN265" s="57" t="s">
        <v>1287</v>
      </c>
      <c r="BO265" s="57" t="s">
        <v>1287</v>
      </c>
      <c r="BP265" s="57" t="s">
        <v>1287</v>
      </c>
      <c r="BQ265" s="57" t="s">
        <v>1287</v>
      </c>
      <c r="BR265" s="57" t="s">
        <v>1287</v>
      </c>
      <c r="BS265" s="57" t="s">
        <v>1287</v>
      </c>
      <c r="BT265" s="57" t="s">
        <v>1287</v>
      </c>
      <c r="BU265" s="57" t="s">
        <v>1287</v>
      </c>
      <c r="BV265" s="70">
        <f>E265</f>
        <v>36</v>
      </c>
      <c r="BW265" s="71">
        <f>I265</f>
        <v>69</v>
      </c>
      <c r="BX265" s="72">
        <f>M265</f>
        <v>73</v>
      </c>
      <c r="BY265" s="71">
        <f>Q265</f>
        <v>105</v>
      </c>
      <c r="BZ265" s="72">
        <f>U265</f>
        <v>109</v>
      </c>
      <c r="CA265" s="71" t="str">
        <f>Y265</f>
        <v>-</v>
      </c>
      <c r="CB265" s="72">
        <f>AC265</f>
        <v>151</v>
      </c>
      <c r="CC265" s="71">
        <f>AG265</f>
        <v>198</v>
      </c>
      <c r="CD265" s="72">
        <f>AK265</f>
        <v>204</v>
      </c>
      <c r="CE265" s="71">
        <f>AO265</f>
        <v>253</v>
      </c>
      <c r="CF265" s="72">
        <f>AS265</f>
        <v>295</v>
      </c>
      <c r="CG265" s="71">
        <f>AW265</f>
        <v>324</v>
      </c>
      <c r="CH265" s="70">
        <f>G265</f>
        <v>68</v>
      </c>
      <c r="CI265" s="71">
        <f>K265</f>
        <v>72</v>
      </c>
      <c r="CJ265" s="72">
        <f>O265</f>
        <v>103</v>
      </c>
      <c r="CK265" s="72">
        <f>S265</f>
        <v>108</v>
      </c>
      <c r="CL265" s="72">
        <f>W265</f>
        <v>144</v>
      </c>
      <c r="CM265" s="72" t="str">
        <f>AA265</f>
        <v>-</v>
      </c>
      <c r="CN265" s="72">
        <f>AE265</f>
        <v>176</v>
      </c>
      <c r="CO265" s="72">
        <f>AI265</f>
        <v>200</v>
      </c>
      <c r="CP265" s="72">
        <f>AM265</f>
        <v>241</v>
      </c>
      <c r="CQ265" s="72">
        <f>AQ265</f>
        <v>289</v>
      </c>
      <c r="CR265" s="72">
        <f>AU265</f>
        <v>323</v>
      </c>
      <c r="CS265" s="72">
        <f>AY265</f>
        <v>335</v>
      </c>
      <c r="CT265" s="23">
        <f>M265-K265</f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>CONCATENATE(B266,"_",C266)</f>
        <v>npy1r_human_5ZBQ</v>
      </c>
      <c r="B266" s="3" t="s">
        <v>325</v>
      </c>
      <c r="C266" s="3" t="s">
        <v>1489</v>
      </c>
      <c r="D266" s="3" t="str">
        <f>IFERROR(MID(VLOOKUP($B266,Seqs!$A:$B,2,0),E266,1),"")</f>
        <v>P</v>
      </c>
      <c r="E266" s="3">
        <v>36</v>
      </c>
      <c r="F266" s="3" t="str">
        <f>IFERROR(MID(VLOOKUP($B266,Seqs!$A:$B,2,0),G266,1),"")</f>
        <v>Q</v>
      </c>
      <c r="G266" s="3">
        <v>68</v>
      </c>
      <c r="H266" s="3" t="str">
        <f>IFERROR(MID(VLOOKUP($B266,Seqs!$A:$B,2,0),I266,1),"")</f>
        <v/>
      </c>
      <c r="I266" s="23" t="s">
        <v>23</v>
      </c>
      <c r="J266" s="3" t="str">
        <f>IFERROR(MID(VLOOKUP($B266,Seqs!$A:$B,2,0),K266,1),"")</f>
        <v/>
      </c>
      <c r="K266" s="23" t="s">
        <v>23</v>
      </c>
      <c r="L266" s="3" t="str">
        <f>IFERROR(MID(VLOOKUP($B266,Seqs!$A:$B,2,0),M266,1),"")</f>
        <v>V</v>
      </c>
      <c r="M266" s="3">
        <v>74</v>
      </c>
      <c r="N266" s="3" t="str">
        <f>IFERROR(MID(VLOOKUP($B266,Seqs!$A:$B,2,0),O266,1),"")</f>
        <v>D</v>
      </c>
      <c r="O266" s="3">
        <v>104</v>
      </c>
      <c r="P266" s="3" t="str">
        <f>IFERROR(MID(VLOOKUP($B266,Seqs!$A:$B,2,0),Q266,1),"")</f>
        <v>W</v>
      </c>
      <c r="Q266" s="3">
        <v>106</v>
      </c>
      <c r="R266" s="3" t="str">
        <f>IFERROR(MID(VLOOKUP($B266,Seqs!$A:$B,2,0),S266,1),"")</f>
        <v>F</v>
      </c>
      <c r="S266" s="3">
        <v>108</v>
      </c>
      <c r="T266" s="3" t="str">
        <f>IFERROR(MID(VLOOKUP($B266,Seqs!$A:$B,2,0),U266,1),"")</f>
        <v>G</v>
      </c>
      <c r="U266" s="3">
        <v>109</v>
      </c>
      <c r="V266" s="3" t="str">
        <f>IFERROR(MID(VLOOKUP($B266,Seqs!$A:$B,2,0),W266,1),"")</f>
        <v>I</v>
      </c>
      <c r="W266" s="3">
        <v>143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N</v>
      </c>
      <c r="AC266" s="3">
        <v>151</v>
      </c>
      <c r="AD266" s="3" t="str">
        <f>IFERROR(MID(VLOOKUP($B266,Seqs!$A:$B,2,0),AE266,1),"")</f>
        <v>Q</v>
      </c>
      <c r="AE266" s="3">
        <v>177</v>
      </c>
      <c r="AF266" s="3" t="str">
        <f>IFERROR(MID(VLOOKUP($B266,Seqs!$A:$B,2,0),AG266,1),"")</f>
        <v>C</v>
      </c>
      <c r="AG266" s="3">
        <v>198</v>
      </c>
      <c r="AH266" s="3" t="str">
        <f>IFERROR(MID(VLOOKUP($B266,Seqs!$A:$B,2,0),AI266,1),"")</f>
        <v>D</v>
      </c>
      <c r="AI266" s="3">
        <v>200</v>
      </c>
      <c r="AJ266" s="3" t="str">
        <f>IFERROR(MID(VLOOKUP($B266,Seqs!$A:$B,2,0),AK266,1),"")</f>
        <v>S</v>
      </c>
      <c r="AK266" s="3">
        <v>204</v>
      </c>
      <c r="AL266" s="3" t="str">
        <f>IFERROR(MID(VLOOKUP($B266,Seqs!$A:$B,2,0),AM266,1),"")</f>
        <v>R</v>
      </c>
      <c r="AM266" s="3">
        <v>241</v>
      </c>
      <c r="AN266" s="3" t="str">
        <f>IFERROR(MID(VLOOKUP($B266,Seqs!$A:$B,2,0),AO266,1),"")</f>
        <v>T</v>
      </c>
      <c r="AO266" s="3">
        <v>258</v>
      </c>
      <c r="AP266" s="3" t="str">
        <f>IFERROR(MID(VLOOKUP($B266,Seqs!$A:$B,2,0),AQ266,1),"")</f>
        <v>N</v>
      </c>
      <c r="AQ266" s="3">
        <v>289</v>
      </c>
      <c r="AR266" s="3" t="str">
        <f>IFERROR(MID(VLOOKUP($B266,Seqs!$A:$B,2,0),AS266,1),"")</f>
        <v>T</v>
      </c>
      <c r="AS266" s="3">
        <v>295</v>
      </c>
      <c r="AT266" s="3" t="str">
        <f>IFERROR(MID(VLOOKUP($B266,Seqs!$A:$B,2,0),AU266,1),"")</f>
        <v>L</v>
      </c>
      <c r="AU266" s="3">
        <v>323</v>
      </c>
      <c r="AV266" s="3" t="str">
        <f>IFERROR(MID(VLOOKUP($B266,Seqs!$A:$B,2,0),AW266,1),"")</f>
        <v>N</v>
      </c>
      <c r="AW266" s="3">
        <v>324</v>
      </c>
      <c r="AX266" s="3" t="str">
        <f>IFERROR(MID(VLOOKUP($B266,Seqs!$A:$B,2,0),AY266,1),"")</f>
        <v>F</v>
      </c>
      <c r="AY266" s="3">
        <v>335</v>
      </c>
      <c r="AZ266" s="77" t="str">
        <f>VLOOKUP(B266,Classification!A:D,2,0)</f>
        <v>A</v>
      </c>
      <c r="BA266" s="94" t="str">
        <f>VLOOKUP(B266,Classification!A:D,4,0)</f>
        <v>NeuropeptideY</v>
      </c>
      <c r="BB266" s="27" t="b">
        <f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23">
        <f>_xlfn.AGGREGATE(9,6,CH266:CS266)-_xlfn.AGGREGATE(9,6,BV266:CG266)+12</f>
        <v>245</v>
      </c>
      <c r="BD266" s="5" t="s">
        <v>23</v>
      </c>
      <c r="BE266" s="3" t="s">
        <v>1374</v>
      </c>
      <c r="BF266" s="118">
        <v>2.7</v>
      </c>
      <c r="BG266" s="49" t="s">
        <v>1</v>
      </c>
      <c r="BH266" s="49" t="s">
        <v>1</v>
      </c>
      <c r="BI266" s="1"/>
      <c r="BJ266" s="70" t="s">
        <v>1287</v>
      </c>
      <c r="BK266" s="57" t="s">
        <v>1287</v>
      </c>
      <c r="BL266" s="57" t="s">
        <v>1287</v>
      </c>
      <c r="BM266" s="57" t="s">
        <v>1287</v>
      </c>
      <c r="BN266" s="57" t="s">
        <v>1287</v>
      </c>
      <c r="BO266" s="57" t="s">
        <v>1287</v>
      </c>
      <c r="BP266" s="57" t="s">
        <v>1287</v>
      </c>
      <c r="BQ266" s="57" t="s">
        <v>1287</v>
      </c>
      <c r="BR266" s="57" t="s">
        <v>1287</v>
      </c>
      <c r="BS266" s="57" t="s">
        <v>1287</v>
      </c>
      <c r="BT266" s="57" t="s">
        <v>1287</v>
      </c>
      <c r="BU266" s="57" t="s">
        <v>1287</v>
      </c>
      <c r="BV266" s="70">
        <f>E266</f>
        <v>36</v>
      </c>
      <c r="BW266" s="71" t="str">
        <f>I266</f>
        <v>-</v>
      </c>
      <c r="BX266" s="72">
        <f>M266</f>
        <v>74</v>
      </c>
      <c r="BY266" s="71">
        <f>Q266</f>
        <v>106</v>
      </c>
      <c r="BZ266" s="72">
        <f>U266</f>
        <v>109</v>
      </c>
      <c r="CA266" s="71" t="str">
        <f>Y266</f>
        <v>-</v>
      </c>
      <c r="CB266" s="72">
        <f>AC266</f>
        <v>151</v>
      </c>
      <c r="CC266" s="71">
        <f>AG266</f>
        <v>198</v>
      </c>
      <c r="CD266" s="72">
        <f>AK266</f>
        <v>204</v>
      </c>
      <c r="CE266" s="71">
        <f>AO266</f>
        <v>258</v>
      </c>
      <c r="CF266" s="72">
        <f>AS266</f>
        <v>295</v>
      </c>
      <c r="CG266" s="71">
        <f>AW266</f>
        <v>324</v>
      </c>
      <c r="CH266" s="70">
        <f>G266</f>
        <v>68</v>
      </c>
      <c r="CI266" s="71" t="str">
        <f>K266</f>
        <v>-</v>
      </c>
      <c r="CJ266" s="72">
        <f>O266</f>
        <v>104</v>
      </c>
      <c r="CK266" s="72">
        <f>S266</f>
        <v>108</v>
      </c>
      <c r="CL266" s="72">
        <f>W266</f>
        <v>143</v>
      </c>
      <c r="CM266" s="72" t="str">
        <f>AA266</f>
        <v>-</v>
      </c>
      <c r="CN266" s="72">
        <f>AE266</f>
        <v>177</v>
      </c>
      <c r="CO266" s="72">
        <f>AI266</f>
        <v>200</v>
      </c>
      <c r="CP266" s="72">
        <f>AM266</f>
        <v>241</v>
      </c>
      <c r="CQ266" s="72">
        <f>AQ266</f>
        <v>289</v>
      </c>
      <c r="CR266" s="72">
        <f>AU266</f>
        <v>323</v>
      </c>
      <c r="CS266" s="72">
        <f>AY266</f>
        <v>335</v>
      </c>
      <c r="CT266" s="23" t="e">
        <f>M266-K266</f>
        <v>#VALUE!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s="12" customFormat="1" x14ac:dyDescent="0.2">
      <c r="A267" s="9" t="str">
        <f t="shared" ref="A267" si="2376">CONCATENATE(B267,"_",C267)</f>
        <v>ntr1_human__wt</v>
      </c>
      <c r="B267" s="9" t="s">
        <v>127</v>
      </c>
      <c r="C267" s="9" t="s">
        <v>100</v>
      </c>
      <c r="D267" s="9" t="str">
        <f>IFERROR(MID(VLOOKUP($B267,Seqs!$A:$B,2,0),E267,1),"")</f>
        <v>D</v>
      </c>
      <c r="E267" s="9">
        <v>59</v>
      </c>
      <c r="F267" s="9" t="str">
        <f>IFERROR(MID(VLOOKUP($B267,Seqs!$A:$B,2,0),G267,1),"")</f>
        <v>K</v>
      </c>
      <c r="G267" s="9">
        <v>91</v>
      </c>
      <c r="H267" s="9" t="str">
        <f>IFERROR(MID(VLOOKUP($B267,Seqs!$A:$B,2,0),I267,1),"")</f>
        <v>K</v>
      </c>
      <c r="I267" s="109">
        <v>92</v>
      </c>
      <c r="J267" s="9" t="str">
        <f>IFERROR(MID(VLOOKUP($B267,Seqs!$A:$B,2,0),K267,1),"")</f>
        <v>Q</v>
      </c>
      <c r="K267" s="109">
        <v>95</v>
      </c>
      <c r="L267" s="9" t="str">
        <f>IFERROR(MID(VLOOKUP($B267,Seqs!$A:$B,2,0),M267,1),"")</f>
        <v>S</v>
      </c>
      <c r="M267" s="9">
        <v>96</v>
      </c>
      <c r="N267" s="9" t="str">
        <f>IFERROR(MID(VLOOKUP($B267,Seqs!$A:$B,2,0),O267,1),"")</f>
        <v>V</v>
      </c>
      <c r="O267" s="9">
        <v>130</v>
      </c>
      <c r="P267" s="9" t="str">
        <f>IFERROR(MID(VLOOKUP($B267,Seqs!$A:$B,2,0),Q267,1),"")</f>
        <v>P</v>
      </c>
      <c r="Q267" s="9">
        <v>133</v>
      </c>
      <c r="R267" s="9" t="str">
        <f>IFERROR(MID(VLOOKUP($B267,Seqs!$A:$B,2,0),S267,1),"")</f>
        <v>F</v>
      </c>
      <c r="S267" s="9">
        <v>136</v>
      </c>
      <c r="T267" s="9" t="str">
        <f>IFERROR(MID(VLOOKUP($B267,Seqs!$A:$B,2,0),U267,1),"")</f>
        <v>G</v>
      </c>
      <c r="U267" s="9">
        <v>137</v>
      </c>
      <c r="V267" s="9" t="str">
        <f>IFERROR(MID(VLOOKUP($B267,Seqs!$A:$B,2,0),W267,1),"")</f>
        <v>H</v>
      </c>
      <c r="W267" s="9">
        <v>172</v>
      </c>
      <c r="X267" s="9" t="str">
        <f>IFERROR(MID(VLOOKUP($B267,Seqs!$A:$B,2,0),Y267,1),"")</f>
        <v>P</v>
      </c>
      <c r="Y267" s="9">
        <v>173</v>
      </c>
      <c r="Z267" s="9" t="str">
        <f>IFERROR(MID(VLOOKUP($B267,Seqs!$A:$B,2,0),AA267,1),"")</f>
        <v>M</v>
      </c>
      <c r="AA267" s="9">
        <v>180</v>
      </c>
      <c r="AB267" s="9" t="str">
        <f>IFERROR(MID(VLOOKUP($B267,Seqs!$A:$B,2,0),AC267,1),"")</f>
        <v>S</v>
      </c>
      <c r="AC267" s="9">
        <v>181</v>
      </c>
      <c r="AD267" s="9" t="str">
        <f>IFERROR(MID(VLOOKUP($B267,Seqs!$A:$B,2,0),AE267,1),"")</f>
        <v>M</v>
      </c>
      <c r="AE267" s="9">
        <v>207</v>
      </c>
      <c r="AF267" s="9" t="str">
        <f>IFERROR(MID(VLOOKUP($B267,Seqs!$A:$B,2,0),AG267,1),"")</f>
        <v>C</v>
      </c>
      <c r="AG267" s="9">
        <v>224</v>
      </c>
      <c r="AH267" s="9" t="str">
        <f>IFERROR(MID(VLOOKUP($B267,Seqs!$A:$B,2,0),AI267,1),"")</f>
        <v>P</v>
      </c>
      <c r="AI267" s="9">
        <v>226</v>
      </c>
      <c r="AJ267" s="9" t="str">
        <f>IFERROR(MID(VLOOKUP($B267,Seqs!$A:$B,2,0),AK267,1),"")</f>
        <v>H</v>
      </c>
      <c r="AK267" s="9">
        <v>229</v>
      </c>
      <c r="AL267" s="9" t="str">
        <f>IFERROR(MID(VLOOKUP($B267,Seqs!$A:$B,2,0),AM267,1),"")</f>
        <v>G</v>
      </c>
      <c r="AM267" s="9">
        <v>274</v>
      </c>
      <c r="AN267" s="9" t="str">
        <f>IFERROR(MID(VLOOKUP($B267,Seqs!$A:$B,2,0),AO267,1),"")</f>
        <v>P</v>
      </c>
      <c r="AO267" s="9">
        <v>292</v>
      </c>
      <c r="AP267" s="9" t="str">
        <f>IFERROR(MID(VLOOKUP($B267,Seqs!$A:$B,2,0),AQ267,1),"")</f>
        <v>I</v>
      </c>
      <c r="AQ267" s="9">
        <v>329</v>
      </c>
      <c r="AR267" s="9" t="str">
        <f>IFERROR(MID(VLOOKUP($B267,Seqs!$A:$B,2,0),AS267,1),"")</f>
        <v>T</v>
      </c>
      <c r="AS267" s="9">
        <v>335</v>
      </c>
      <c r="AT267" s="9" t="str">
        <f>IFERROR(MID(VLOOKUP($B267,Seqs!$A:$B,2,0),AU267,1),"")</f>
        <v>V</v>
      </c>
      <c r="AU267" s="9">
        <v>367</v>
      </c>
      <c r="AV267" s="9" t="str">
        <f>IFERROR(MID(VLOOKUP($B267,Seqs!$A:$B,2,0),AW267,1),"")</f>
        <v>S</v>
      </c>
      <c r="AW267" s="9">
        <v>368</v>
      </c>
      <c r="AX267" s="9" t="str">
        <f>IFERROR(MID(VLOOKUP($B267,Seqs!$A:$B,2,0),AY267,1),"")</f>
        <v>C</v>
      </c>
      <c r="AY267" s="9">
        <v>383</v>
      </c>
      <c r="AZ267" s="110" t="str">
        <f>VLOOKUP(B267,Classification!A:D,2,0)</f>
        <v>A</v>
      </c>
      <c r="BA267" s="98" t="str">
        <f>VLOOKUP(B267,Classification!A:D,4,0)</f>
        <v>Neurotensin</v>
      </c>
      <c r="BB267" s="36" t="b">
        <f t="shared" ref="BB267" si="2377"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109" t="s">
        <v>23</v>
      </c>
      <c r="BD267" s="129" t="s">
        <v>23</v>
      </c>
      <c r="BE267" s="9" t="s">
        <v>23</v>
      </c>
      <c r="BF267" s="119" t="s">
        <v>23</v>
      </c>
      <c r="BG267" s="51" t="s">
        <v>1372</v>
      </c>
      <c r="BH267" s="51" t="s">
        <v>1377</v>
      </c>
      <c r="BI267" s="9"/>
      <c r="BJ267" s="111" t="s">
        <v>1287</v>
      </c>
      <c r="BK267" s="112" t="s">
        <v>1287</v>
      </c>
      <c r="BL267" s="112" t="s">
        <v>1287</v>
      </c>
      <c r="BM267" s="112" t="s">
        <v>1287</v>
      </c>
      <c r="BN267" s="112" t="s">
        <v>1287</v>
      </c>
      <c r="BO267" s="112" t="s">
        <v>1287</v>
      </c>
      <c r="BP267" s="112" t="s">
        <v>1287</v>
      </c>
      <c r="BQ267" s="112" t="s">
        <v>1287</v>
      </c>
      <c r="BR267" s="112" t="s">
        <v>1287</v>
      </c>
      <c r="BS267" s="112" t="s">
        <v>1287</v>
      </c>
      <c r="BT267" s="112" t="s">
        <v>1287</v>
      </c>
      <c r="BU267" s="112" t="s">
        <v>1287</v>
      </c>
      <c r="BV267" s="111">
        <f t="shared" ref="BV267" si="2378">E267</f>
        <v>59</v>
      </c>
      <c r="BW267" s="113">
        <f t="shared" ref="BW267" si="2379">I267</f>
        <v>92</v>
      </c>
      <c r="BX267" s="114">
        <f t="shared" ref="BX267" si="2380">M267</f>
        <v>96</v>
      </c>
      <c r="BY267" s="113">
        <f t="shared" ref="BY267" si="2381">Q267</f>
        <v>133</v>
      </c>
      <c r="BZ267" s="114">
        <f t="shared" ref="BZ267" si="2382">U267</f>
        <v>137</v>
      </c>
      <c r="CA267" s="113">
        <f t="shared" ref="CA267" si="2383">Y267</f>
        <v>173</v>
      </c>
      <c r="CB267" s="114">
        <f t="shared" ref="CB267" si="2384">AC267</f>
        <v>181</v>
      </c>
      <c r="CC267" s="113">
        <f t="shared" ref="CC267" si="2385">AG267</f>
        <v>224</v>
      </c>
      <c r="CD267" s="114">
        <f t="shared" ref="CD267" si="2386">AK267</f>
        <v>229</v>
      </c>
      <c r="CE267" s="113">
        <f t="shared" ref="CE267" si="2387">AO267</f>
        <v>292</v>
      </c>
      <c r="CF267" s="114">
        <f t="shared" ref="CF267" si="2388">AS267</f>
        <v>335</v>
      </c>
      <c r="CG267" s="113">
        <f t="shared" ref="CG267" si="2389">AW267</f>
        <v>368</v>
      </c>
      <c r="CH267" s="111">
        <f t="shared" ref="CH267" si="2390">G267</f>
        <v>91</v>
      </c>
      <c r="CI267" s="113">
        <f t="shared" ref="CI267" si="2391">K267</f>
        <v>95</v>
      </c>
      <c r="CJ267" s="114">
        <f t="shared" ref="CJ267" si="2392">O267</f>
        <v>130</v>
      </c>
      <c r="CK267" s="114">
        <f t="shared" ref="CK267" si="2393">S267</f>
        <v>136</v>
      </c>
      <c r="CL267" s="114">
        <f t="shared" ref="CL267" si="2394">W267</f>
        <v>172</v>
      </c>
      <c r="CM267" s="114">
        <f t="shared" ref="CM267" si="2395">AA267</f>
        <v>180</v>
      </c>
      <c r="CN267" s="114">
        <f t="shared" ref="CN267" si="2396">AE267</f>
        <v>207</v>
      </c>
      <c r="CO267" s="114">
        <f t="shared" ref="CO267" si="2397">AI267</f>
        <v>226</v>
      </c>
      <c r="CP267" s="114">
        <f t="shared" ref="CP267" si="2398">AM267</f>
        <v>274</v>
      </c>
      <c r="CQ267" s="114">
        <f t="shared" ref="CQ267" si="2399">AQ267</f>
        <v>329</v>
      </c>
      <c r="CR267" s="114">
        <f t="shared" ref="CR267" si="2400">AU267</f>
        <v>367</v>
      </c>
      <c r="CS267" s="114">
        <f t="shared" ref="CS267" si="2401">AY267</f>
        <v>383</v>
      </c>
      <c r="CT267" s="109">
        <f t="shared" ref="CT267" si="2402">M267-K267</f>
        <v>1</v>
      </c>
    </row>
    <row r="268" spans="1:1029" s="12" customFormat="1" x14ac:dyDescent="0.2">
      <c r="A268" s="9" t="str">
        <f t="shared" ref="A268" si="2403">CONCATENATE(B268,"_",C268)</f>
        <v>ntr1_human_6OS9</v>
      </c>
      <c r="B268" s="9" t="s">
        <v>127</v>
      </c>
      <c r="C268" s="9" t="s">
        <v>1583</v>
      </c>
      <c r="D268" s="9" t="str">
        <f>IFERROR(MID(VLOOKUP($B268,Seqs!$A:$B,2,0),E268,1),"")</f>
        <v>D</v>
      </c>
      <c r="E268" s="9">
        <v>59</v>
      </c>
      <c r="F268" s="9" t="str">
        <f>IFERROR(MID(VLOOKUP($B268,Seqs!$A:$B,2,0),G268,1),"")</f>
        <v>K</v>
      </c>
      <c r="G268" s="9">
        <v>91</v>
      </c>
      <c r="H268" s="9" t="str">
        <f>IFERROR(MID(VLOOKUP($B268,Seqs!$A:$B,2,0),I268,1),"")</f>
        <v/>
      </c>
      <c r="I268" s="109" t="s">
        <v>23</v>
      </c>
      <c r="J268" s="9" t="str">
        <f>IFERROR(MID(VLOOKUP($B268,Seqs!$A:$B,2,0),K268,1),"")</f>
        <v/>
      </c>
      <c r="K268" s="109" t="s">
        <v>23</v>
      </c>
      <c r="L268" s="9" t="str">
        <f>IFERROR(MID(VLOOKUP($B268,Seqs!$A:$B,2,0),M268,1),"")</f>
        <v>Q</v>
      </c>
      <c r="M268" s="9">
        <v>98</v>
      </c>
      <c r="N268" s="9" t="str">
        <f>IFERROR(MID(VLOOKUP($B268,Seqs!$A:$B,2,0),O268,1),"")</f>
        <v>V</v>
      </c>
      <c r="O268" s="9">
        <v>130</v>
      </c>
      <c r="P268" s="9" t="str">
        <f>IFERROR(MID(VLOOKUP($B268,Seqs!$A:$B,2,0),Q268,1),"")</f>
        <v>P</v>
      </c>
      <c r="Q268" s="9">
        <v>133</v>
      </c>
      <c r="R268" s="9" t="str">
        <f>IFERROR(MID(VLOOKUP($B268,Seqs!$A:$B,2,0),S268,1),"")</f>
        <v>F</v>
      </c>
      <c r="S268" s="9">
        <v>136</v>
      </c>
      <c r="T268" s="9" t="str">
        <f>IFERROR(MID(VLOOKUP($B268,Seqs!$A:$B,2,0),U268,1),"")</f>
        <v>G</v>
      </c>
      <c r="U268" s="9">
        <v>137</v>
      </c>
      <c r="V268" s="9" t="str">
        <f>IFERROR(MID(VLOOKUP($B268,Seqs!$A:$B,2,0),W268,1),"")</f>
        <v>H</v>
      </c>
      <c r="W268" s="9">
        <v>172</v>
      </c>
      <c r="X268" s="9" t="str">
        <f>IFERROR(MID(VLOOKUP($B268,Seqs!$A:$B,2,0),Y268,1),"")</f>
        <v>P</v>
      </c>
      <c r="Y268" s="9">
        <v>173</v>
      </c>
      <c r="Z268" s="9" t="str">
        <f>IFERROR(MID(VLOOKUP($B268,Seqs!$A:$B,2,0),AA268,1),"")</f>
        <v>M</v>
      </c>
      <c r="AA268" s="9">
        <v>180</v>
      </c>
      <c r="AB268" s="9" t="str">
        <f>IFERROR(MID(VLOOKUP($B268,Seqs!$A:$B,2,0),AC268,1),"")</f>
        <v>S</v>
      </c>
      <c r="AC268" s="9">
        <v>181</v>
      </c>
      <c r="AD268" s="9" t="str">
        <f>IFERROR(MID(VLOOKUP($B268,Seqs!$A:$B,2,0),AE268,1),"")</f>
        <v>L</v>
      </c>
      <c r="AE268" s="9">
        <v>204</v>
      </c>
      <c r="AF268" s="9" t="str">
        <f>IFERROR(MID(VLOOKUP($B268,Seqs!$A:$B,2,0),AG268,1),"")</f>
        <v>C</v>
      </c>
      <c r="AG268" s="9">
        <v>224</v>
      </c>
      <c r="AH268" s="9" t="str">
        <f>IFERROR(MID(VLOOKUP($B268,Seqs!$A:$B,2,0),AI268,1),"")</f>
        <v>P</v>
      </c>
      <c r="AI268" s="9">
        <v>226</v>
      </c>
      <c r="AJ268" s="9" t="str">
        <f>IFERROR(MID(VLOOKUP($B268,Seqs!$A:$B,2,0),AK268,1),"")</f>
        <v>H</v>
      </c>
      <c r="AK268" s="9">
        <v>229</v>
      </c>
      <c r="AL268" s="9" t="str">
        <f>IFERROR(MID(VLOOKUP($B268,Seqs!$A:$B,2,0),AM268,1),"")</f>
        <v>E</v>
      </c>
      <c r="AM268" s="9">
        <v>272</v>
      </c>
      <c r="AN268" s="9" t="str">
        <f>IFERROR(MID(VLOOKUP($B268,Seqs!$A:$B,2,0),AO268,1),"")</f>
        <v>V</v>
      </c>
      <c r="AO268" s="9">
        <v>295</v>
      </c>
      <c r="AP268" s="9" t="str">
        <f>IFERROR(MID(VLOOKUP($B268,Seqs!$A:$B,2,0),AQ268,1),"")</f>
        <v>I</v>
      </c>
      <c r="AQ268" s="9">
        <v>329</v>
      </c>
      <c r="AR268" s="9" t="str">
        <f>IFERROR(MID(VLOOKUP($B268,Seqs!$A:$B,2,0),AS268,1),"")</f>
        <v>T</v>
      </c>
      <c r="AS268" s="9">
        <v>335</v>
      </c>
      <c r="AT268" s="9" t="str">
        <f>IFERROR(MID(VLOOKUP($B268,Seqs!$A:$B,2,0),AU268,1),"")</f>
        <v>L</v>
      </c>
      <c r="AU268" s="9">
        <v>366</v>
      </c>
      <c r="AV268" s="9" t="str">
        <f>IFERROR(MID(VLOOKUP($B268,Seqs!$A:$B,2,0),AW268,1),"")</f>
        <v/>
      </c>
      <c r="AW268" s="9" t="s">
        <v>23</v>
      </c>
      <c r="AX268" s="9" t="str">
        <f>IFERROR(MID(VLOOKUP($B268,Seqs!$A:$B,2,0),AY268,1),"")</f>
        <v/>
      </c>
      <c r="AY268" s="9" t="s">
        <v>23</v>
      </c>
      <c r="AZ268" s="110" t="str">
        <f>VLOOKUP(B268,Classification!A:D,2,0)</f>
        <v>A</v>
      </c>
      <c r="BA268" s="98" t="str">
        <f>VLOOKUP(B268,Classification!A:D,4,0)</f>
        <v>Neurotensin</v>
      </c>
      <c r="BB268" s="36" t="b">
        <f t="shared" ref="BB268" si="2404"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109">
        <f t="shared" ref="BC268" si="2405">_xlfn.AGGREGATE(9,6,CH268:CS268)-_xlfn.AGGREGATE(9,6,BV268:CG268)+12</f>
        <v>254</v>
      </c>
      <c r="BD268" s="129" t="s">
        <v>23</v>
      </c>
      <c r="BE268" s="9" t="s">
        <v>1428</v>
      </c>
      <c r="BF268" s="119">
        <v>3</v>
      </c>
      <c r="BG268" s="51" t="s">
        <v>1422</v>
      </c>
      <c r="BH268" s="51" t="s">
        <v>1422</v>
      </c>
      <c r="BI268" s="9"/>
      <c r="BJ268" s="111" t="s">
        <v>1287</v>
      </c>
      <c r="BK268" s="112" t="s">
        <v>1287</v>
      </c>
      <c r="BL268" s="112" t="s">
        <v>1287</v>
      </c>
      <c r="BM268" s="112" t="s">
        <v>1287</v>
      </c>
      <c r="BN268" s="112" t="s">
        <v>1287</v>
      </c>
      <c r="BO268" s="112" t="s">
        <v>1287</v>
      </c>
      <c r="BP268" s="112" t="s">
        <v>1287</v>
      </c>
      <c r="BQ268" s="112" t="s">
        <v>1287</v>
      </c>
      <c r="BR268" s="112" t="s">
        <v>1287</v>
      </c>
      <c r="BS268" s="112" t="s">
        <v>1287</v>
      </c>
      <c r="BT268" s="112" t="s">
        <v>1287</v>
      </c>
      <c r="BU268" s="112" t="s">
        <v>1287</v>
      </c>
      <c r="BV268" s="111">
        <f t="shared" ref="BV268" si="2406">E268</f>
        <v>59</v>
      </c>
      <c r="BW268" s="113" t="str">
        <f t="shared" ref="BW268" si="2407">I268</f>
        <v>-</v>
      </c>
      <c r="BX268" s="114">
        <f t="shared" ref="BX268" si="2408">M268</f>
        <v>98</v>
      </c>
      <c r="BY268" s="113">
        <f t="shared" ref="BY268" si="2409">Q268</f>
        <v>133</v>
      </c>
      <c r="BZ268" s="114">
        <f t="shared" ref="BZ268" si="2410">U268</f>
        <v>137</v>
      </c>
      <c r="CA268" s="113">
        <f t="shared" ref="CA268" si="2411">Y268</f>
        <v>173</v>
      </c>
      <c r="CB268" s="114">
        <f t="shared" ref="CB268" si="2412">AC268</f>
        <v>181</v>
      </c>
      <c r="CC268" s="113">
        <f t="shared" ref="CC268" si="2413">AG268</f>
        <v>224</v>
      </c>
      <c r="CD268" s="114">
        <f t="shared" ref="CD268" si="2414">AK268</f>
        <v>229</v>
      </c>
      <c r="CE268" s="113">
        <f t="shared" ref="CE268" si="2415">AO268</f>
        <v>295</v>
      </c>
      <c r="CF268" s="114">
        <f t="shared" ref="CF268" si="2416">AS268</f>
        <v>335</v>
      </c>
      <c r="CG268" s="113" t="str">
        <f t="shared" ref="CG268" si="2417">AW268</f>
        <v>-</v>
      </c>
      <c r="CH268" s="111">
        <f t="shared" ref="CH268" si="2418">G268</f>
        <v>91</v>
      </c>
      <c r="CI268" s="113" t="str">
        <f t="shared" ref="CI268" si="2419">K268</f>
        <v>-</v>
      </c>
      <c r="CJ268" s="114">
        <f t="shared" ref="CJ268" si="2420">O268</f>
        <v>130</v>
      </c>
      <c r="CK268" s="114">
        <f t="shared" ref="CK268" si="2421">S268</f>
        <v>136</v>
      </c>
      <c r="CL268" s="114">
        <f t="shared" ref="CL268" si="2422">W268</f>
        <v>172</v>
      </c>
      <c r="CM268" s="114">
        <f t="shared" ref="CM268" si="2423">AA268</f>
        <v>180</v>
      </c>
      <c r="CN268" s="114">
        <f t="shared" ref="CN268" si="2424">AE268</f>
        <v>204</v>
      </c>
      <c r="CO268" s="114">
        <f t="shared" ref="CO268" si="2425">AI268</f>
        <v>226</v>
      </c>
      <c r="CP268" s="114">
        <f t="shared" ref="CP268" si="2426">AM268</f>
        <v>272</v>
      </c>
      <c r="CQ268" s="114">
        <f t="shared" ref="CQ268" si="2427">AQ268</f>
        <v>329</v>
      </c>
      <c r="CR268" s="114">
        <f t="shared" ref="CR268" si="2428">AU268</f>
        <v>366</v>
      </c>
      <c r="CS268" s="114" t="str">
        <f t="shared" ref="CS268" si="2429">AY268</f>
        <v>-</v>
      </c>
      <c r="CT268" s="109" t="e">
        <f t="shared" ref="CT268" si="2430">M268-K268</f>
        <v>#VALUE!</v>
      </c>
    </row>
    <row r="269" spans="1:1029" s="12" customFormat="1" x14ac:dyDescent="0.2">
      <c r="A269" s="9" t="str">
        <f t="shared" ref="A269" si="2431">CONCATENATE(B269,"_",C269)</f>
        <v>ntr1_human_6OSA</v>
      </c>
      <c r="B269" s="9" t="s">
        <v>127</v>
      </c>
      <c r="C269" s="9" t="s">
        <v>1584</v>
      </c>
      <c r="D269" s="9" t="str">
        <f>IFERROR(MID(VLOOKUP($B269,Seqs!$A:$B,2,0),E269,1),"")</f>
        <v>D</v>
      </c>
      <c r="E269" s="9">
        <v>59</v>
      </c>
      <c r="F269" s="9" t="str">
        <f>IFERROR(MID(VLOOKUP($B269,Seqs!$A:$B,2,0),G269,1),"")</f>
        <v>K</v>
      </c>
      <c r="G269" s="9">
        <v>91</v>
      </c>
      <c r="H269" s="9" t="str">
        <f>IFERROR(MID(VLOOKUP($B269,Seqs!$A:$B,2,0),I269,1),"")</f>
        <v/>
      </c>
      <c r="I269" s="109" t="s">
        <v>23</v>
      </c>
      <c r="J269" s="9" t="str">
        <f>IFERROR(MID(VLOOKUP($B269,Seqs!$A:$B,2,0),K269,1),"")</f>
        <v/>
      </c>
      <c r="K269" s="109" t="s">
        <v>23</v>
      </c>
      <c r="L269" s="9" t="str">
        <f>IFERROR(MID(VLOOKUP($B269,Seqs!$A:$B,2,0),M269,1),"")</f>
        <v>L</v>
      </c>
      <c r="M269" s="9">
        <v>97</v>
      </c>
      <c r="N269" s="9" t="str">
        <f>IFERROR(MID(VLOOKUP($B269,Seqs!$A:$B,2,0),O269,1),"")</f>
        <v>V</v>
      </c>
      <c r="O269" s="9">
        <v>130</v>
      </c>
      <c r="P269" s="9" t="str">
        <f>IFERROR(MID(VLOOKUP($B269,Seqs!$A:$B,2,0),Q269,1),"")</f>
        <v>P</v>
      </c>
      <c r="Q269" s="9">
        <v>133</v>
      </c>
      <c r="R269" s="9" t="str">
        <f>IFERROR(MID(VLOOKUP($B269,Seqs!$A:$B,2,0),S269,1),"")</f>
        <v>F</v>
      </c>
      <c r="S269" s="9">
        <v>136</v>
      </c>
      <c r="T269" s="9" t="str">
        <f>IFERROR(MID(VLOOKUP($B269,Seqs!$A:$B,2,0),U269,1),"")</f>
        <v>A</v>
      </c>
      <c r="U269" s="9">
        <v>139</v>
      </c>
      <c r="V269" s="9" t="str">
        <f>IFERROR(MID(VLOOKUP($B269,Seqs!$A:$B,2,0),W269,1),"")</f>
        <v>C</v>
      </c>
      <c r="W269" s="9">
        <v>171</v>
      </c>
      <c r="X269" s="9" t="str">
        <f>IFERROR(MID(VLOOKUP($B269,Seqs!$A:$B,2,0),Y269,1),"")</f>
        <v>P</v>
      </c>
      <c r="Y269" s="9">
        <v>173</v>
      </c>
      <c r="Z269" s="9" t="str">
        <f>IFERROR(MID(VLOOKUP($B269,Seqs!$A:$B,2,0),AA269,1),"")</f>
        <v>M</v>
      </c>
      <c r="AA269" s="9">
        <v>180</v>
      </c>
      <c r="AB269" s="9" t="str">
        <f>IFERROR(MID(VLOOKUP($B269,Seqs!$A:$B,2,0),AC269,1),"")</f>
        <v>S</v>
      </c>
      <c r="AC269" s="9">
        <v>181</v>
      </c>
      <c r="AD269" s="9" t="str">
        <f>IFERROR(MID(VLOOKUP($B269,Seqs!$A:$B,2,0),AE269,1),"")</f>
        <v>M</v>
      </c>
      <c r="AE269" s="9">
        <v>207</v>
      </c>
      <c r="AF269" s="9" t="str">
        <f>IFERROR(MID(VLOOKUP($B269,Seqs!$A:$B,2,0),AG269,1),"")</f>
        <v>C</v>
      </c>
      <c r="AG269" s="9">
        <v>224</v>
      </c>
      <c r="AH269" s="9" t="str">
        <f>IFERROR(MID(VLOOKUP($B269,Seqs!$A:$B,2,0),AI269,1),"")</f>
        <v>P</v>
      </c>
      <c r="AI269" s="9">
        <v>226</v>
      </c>
      <c r="AJ269" s="9" t="str">
        <f>IFERROR(MID(VLOOKUP($B269,Seqs!$A:$B,2,0),AK269,1),"")</f>
        <v>H</v>
      </c>
      <c r="AK269" s="9">
        <v>229</v>
      </c>
      <c r="AL269" s="9" t="str">
        <f>IFERROR(MID(VLOOKUP($B269,Seqs!$A:$B,2,0),AM269,1),"")</f>
        <v>Q</v>
      </c>
      <c r="AM269" s="9">
        <v>273</v>
      </c>
      <c r="AN269" s="9" t="str">
        <f>IFERROR(MID(VLOOKUP($B269,Seqs!$A:$B,2,0),AO269,1),"")</f>
        <v>G</v>
      </c>
      <c r="AO269" s="9">
        <v>280</v>
      </c>
      <c r="AP269" s="9" t="str">
        <f>IFERROR(MID(VLOOKUP($B269,Seqs!$A:$B,2,0),AQ269,1),"")</f>
        <v>Y</v>
      </c>
      <c r="AQ269" s="9">
        <v>328</v>
      </c>
      <c r="AR269" s="9" t="str">
        <f>IFERROR(MID(VLOOKUP($B269,Seqs!$A:$B,2,0),AS269,1),"")</f>
        <v>T</v>
      </c>
      <c r="AS269" s="9">
        <v>335</v>
      </c>
      <c r="AT269" s="9" t="str">
        <f>IFERROR(MID(VLOOKUP($B269,Seqs!$A:$B,2,0),AU269,1),"")</f>
        <v>V</v>
      </c>
      <c r="AU269" s="9">
        <v>367</v>
      </c>
      <c r="AV269" s="9" t="str">
        <f>IFERROR(MID(VLOOKUP($B269,Seqs!$A:$B,2,0),AW269,1),"")</f>
        <v>S</v>
      </c>
      <c r="AW269" s="9">
        <v>368</v>
      </c>
      <c r="AX269" s="9" t="str">
        <f>IFERROR(MID(VLOOKUP($B269,Seqs!$A:$B,2,0),AY269,1),"")</f>
        <v>C</v>
      </c>
      <c r="AY269" s="9">
        <v>383</v>
      </c>
      <c r="AZ269" s="110" t="str">
        <f>VLOOKUP(B269,Classification!A:D,2,0)</f>
        <v>A</v>
      </c>
      <c r="BA269" s="98" t="str">
        <f>VLOOKUP(B269,Classification!A:D,4,0)</f>
        <v>Neurotensin</v>
      </c>
      <c r="BB269" s="36" t="b">
        <f t="shared" ref="BB269" si="2432"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109">
        <f t="shared" ref="BC269" si="2433">_xlfn.AGGREGATE(9,6,CH269:CS269)-_xlfn.AGGREGATE(9,6,BV269:CG269)+12</f>
        <v>286</v>
      </c>
      <c r="BD269" s="129" t="s">
        <v>1429</v>
      </c>
      <c r="BE269" s="9" t="s">
        <v>1428</v>
      </c>
      <c r="BF269" s="119">
        <v>3</v>
      </c>
      <c r="BG269" s="51" t="s">
        <v>1422</v>
      </c>
      <c r="BH269" s="51" t="s">
        <v>1422</v>
      </c>
      <c r="BI269" s="9"/>
      <c r="BJ269" s="111" t="s">
        <v>1287</v>
      </c>
      <c r="BK269" s="112" t="s">
        <v>1287</v>
      </c>
      <c r="BL269" s="112" t="s">
        <v>1287</v>
      </c>
      <c r="BM269" s="112" t="s">
        <v>1287</v>
      </c>
      <c r="BN269" s="112" t="s">
        <v>1287</v>
      </c>
      <c r="BO269" s="112" t="s">
        <v>1287</v>
      </c>
      <c r="BP269" s="112" t="s">
        <v>1287</v>
      </c>
      <c r="BQ269" s="112" t="s">
        <v>1287</v>
      </c>
      <c r="BR269" s="112" t="s">
        <v>1287</v>
      </c>
      <c r="BS269" s="112" t="s">
        <v>1287</v>
      </c>
      <c r="BT269" s="112" t="s">
        <v>1287</v>
      </c>
      <c r="BU269" s="112" t="s">
        <v>1287</v>
      </c>
      <c r="BV269" s="111">
        <f t="shared" ref="BV269" si="2434">E269</f>
        <v>59</v>
      </c>
      <c r="BW269" s="113" t="str">
        <f t="shared" ref="BW269" si="2435">I269</f>
        <v>-</v>
      </c>
      <c r="BX269" s="114">
        <f t="shared" ref="BX269" si="2436">M269</f>
        <v>97</v>
      </c>
      <c r="BY269" s="113">
        <f t="shared" ref="BY269" si="2437">Q269</f>
        <v>133</v>
      </c>
      <c r="BZ269" s="114">
        <f t="shared" ref="BZ269" si="2438">U269</f>
        <v>139</v>
      </c>
      <c r="CA269" s="113">
        <f t="shared" ref="CA269" si="2439">Y269</f>
        <v>173</v>
      </c>
      <c r="CB269" s="114">
        <f t="shared" ref="CB269" si="2440">AC269</f>
        <v>181</v>
      </c>
      <c r="CC269" s="113">
        <f t="shared" ref="CC269" si="2441">AG269</f>
        <v>224</v>
      </c>
      <c r="CD269" s="114">
        <f t="shared" ref="CD269" si="2442">AK269</f>
        <v>229</v>
      </c>
      <c r="CE269" s="113">
        <f t="shared" ref="CE269" si="2443">AO269</f>
        <v>280</v>
      </c>
      <c r="CF269" s="114">
        <f t="shared" ref="CF269" si="2444">AS269</f>
        <v>335</v>
      </c>
      <c r="CG269" s="113">
        <f t="shared" ref="CG269" si="2445">AW269</f>
        <v>368</v>
      </c>
      <c r="CH269" s="111">
        <f t="shared" ref="CH269" si="2446">G269</f>
        <v>91</v>
      </c>
      <c r="CI269" s="113" t="str">
        <f t="shared" ref="CI269" si="2447">K269</f>
        <v>-</v>
      </c>
      <c r="CJ269" s="114">
        <f t="shared" ref="CJ269" si="2448">O269</f>
        <v>130</v>
      </c>
      <c r="CK269" s="114">
        <f t="shared" ref="CK269" si="2449">S269</f>
        <v>136</v>
      </c>
      <c r="CL269" s="114">
        <f t="shared" ref="CL269" si="2450">W269</f>
        <v>171</v>
      </c>
      <c r="CM269" s="114">
        <f t="shared" ref="CM269" si="2451">AA269</f>
        <v>180</v>
      </c>
      <c r="CN269" s="114">
        <f t="shared" ref="CN269" si="2452">AE269</f>
        <v>207</v>
      </c>
      <c r="CO269" s="114">
        <f t="shared" ref="CO269" si="2453">AI269</f>
        <v>226</v>
      </c>
      <c r="CP269" s="114">
        <f t="shared" ref="CP269" si="2454">AM269</f>
        <v>273</v>
      </c>
      <c r="CQ269" s="114">
        <f t="shared" ref="CQ269" si="2455">AQ269</f>
        <v>328</v>
      </c>
      <c r="CR269" s="114">
        <f t="shared" ref="CR269" si="2456">AU269</f>
        <v>367</v>
      </c>
      <c r="CS269" s="114">
        <f t="shared" ref="CS269" si="2457">AY269</f>
        <v>383</v>
      </c>
      <c r="CT269" s="109" t="e">
        <f t="shared" ref="CT269" si="2458">M269-K269</f>
        <v>#VALUE!</v>
      </c>
    </row>
    <row r="270" spans="1:1029" s="12" customFormat="1" x14ac:dyDescent="0.2">
      <c r="A270" s="9" t="str">
        <f t="shared" ref="A270" si="2459">CONCATENATE(B270,"_",C270)</f>
        <v>ntr1_human_6PWC</v>
      </c>
      <c r="B270" s="9" t="s">
        <v>127</v>
      </c>
      <c r="C270" s="9" t="s">
        <v>1618</v>
      </c>
      <c r="D270" s="9" t="str">
        <f>IFERROR(MID(VLOOKUP($B270,Seqs!$A:$B,2,0),E270,1),"")</f>
        <v>D</v>
      </c>
      <c r="E270" s="9">
        <v>59</v>
      </c>
      <c r="F270" s="9" t="str">
        <f>IFERROR(MID(VLOOKUP($B270,Seqs!$A:$B,2,0),G270,1),"")</f>
        <v>K</v>
      </c>
      <c r="G270" s="9">
        <v>91</v>
      </c>
      <c r="H270" s="9" t="str">
        <f>IFERROR(MID(VLOOKUP($B270,Seqs!$A:$B,2,0),I270,1),"")</f>
        <v/>
      </c>
      <c r="I270" s="109" t="s">
        <v>23</v>
      </c>
      <c r="J270" s="9" t="str">
        <f>IFERROR(MID(VLOOKUP($B270,Seqs!$A:$B,2,0),K270,1),"")</f>
        <v/>
      </c>
      <c r="K270" s="109" t="s">
        <v>23</v>
      </c>
      <c r="L270" s="9" t="str">
        <f>IFERROR(MID(VLOOKUP($B270,Seqs!$A:$B,2,0),M270,1),"")</f>
        <v>Q</v>
      </c>
      <c r="M270" s="9">
        <v>98</v>
      </c>
      <c r="N270" s="9" t="str">
        <f>IFERROR(MID(VLOOKUP($B270,Seqs!$A:$B,2,0),O270,1),"")</f>
        <v>W</v>
      </c>
      <c r="O270" s="9">
        <v>129</v>
      </c>
      <c r="P270" s="9" t="str">
        <f>IFERROR(MID(VLOOKUP($B270,Seqs!$A:$B,2,0),Q270,1),"")</f>
        <v>P</v>
      </c>
      <c r="Q270" s="9">
        <v>133</v>
      </c>
      <c r="R270" s="9" t="str">
        <f>IFERROR(MID(VLOOKUP($B270,Seqs!$A:$B,2,0),S270,1),"")</f>
        <v>F</v>
      </c>
      <c r="S270" s="9">
        <v>136</v>
      </c>
      <c r="T270" s="9" t="str">
        <f>IFERROR(MID(VLOOKUP($B270,Seqs!$A:$B,2,0),U270,1),"")</f>
        <v>G</v>
      </c>
      <c r="U270" s="9">
        <v>137</v>
      </c>
      <c r="V270" s="9" t="str">
        <f>IFERROR(MID(VLOOKUP($B270,Seqs!$A:$B,2,0),W270,1),"")</f>
        <v>H</v>
      </c>
      <c r="W270" s="9">
        <v>172</v>
      </c>
      <c r="X270" s="9" t="str">
        <f>IFERROR(MID(VLOOKUP($B270,Seqs!$A:$B,2,0),Y270,1),"")</f>
        <v>P</v>
      </c>
      <c r="Y270" s="9">
        <v>173</v>
      </c>
      <c r="Z270" s="9" t="str">
        <f>IFERROR(MID(VLOOKUP($B270,Seqs!$A:$B,2,0),AA270,1),"")</f>
        <v>M</v>
      </c>
      <c r="AA270" s="9">
        <v>180</v>
      </c>
      <c r="AB270" s="9" t="str">
        <f>IFERROR(MID(VLOOKUP($B270,Seqs!$A:$B,2,0),AC270,1),"")</f>
        <v>S</v>
      </c>
      <c r="AC270" s="9">
        <v>181</v>
      </c>
      <c r="AD270" s="9" t="str">
        <f>IFERROR(MID(VLOOKUP($B270,Seqs!$A:$B,2,0),AE270,1),"")</f>
        <v>T</v>
      </c>
      <c r="AE270" s="9">
        <v>206</v>
      </c>
      <c r="AF270" s="9" t="str">
        <f>IFERROR(MID(VLOOKUP($B270,Seqs!$A:$B,2,0),AG270,1),"")</f>
        <v>C</v>
      </c>
      <c r="AG270" s="9">
        <v>224</v>
      </c>
      <c r="AH270" s="9" t="str">
        <f>IFERROR(MID(VLOOKUP($B270,Seqs!$A:$B,2,0),AI270,1),"")</f>
        <v>P</v>
      </c>
      <c r="AI270" s="9">
        <v>226</v>
      </c>
      <c r="AJ270" s="9" t="str">
        <f>IFERROR(MID(VLOOKUP($B270,Seqs!$A:$B,2,0),AK270,1),"")</f>
        <v>H</v>
      </c>
      <c r="AK270" s="9">
        <v>229</v>
      </c>
      <c r="AL270" s="9" t="str">
        <f>IFERROR(MID(VLOOKUP($B270,Seqs!$A:$B,2,0),AM270,1),"")</f>
        <v>Q</v>
      </c>
      <c r="AM270" s="9">
        <v>269</v>
      </c>
      <c r="AN270" s="9" t="str">
        <f>IFERROR(MID(VLOOKUP($B270,Seqs!$A:$B,2,0),AO270,1),"")</f>
        <v>G</v>
      </c>
      <c r="AO270" s="9">
        <v>293</v>
      </c>
      <c r="AP270" s="9" t="str">
        <f>IFERROR(MID(VLOOKUP($B270,Seqs!$A:$B,2,0),AQ270,1),"")</f>
        <v>I</v>
      </c>
      <c r="AQ270" s="9">
        <v>329</v>
      </c>
      <c r="AR270" s="9" t="str">
        <f>IFERROR(MID(VLOOKUP($B270,Seqs!$A:$B,2,0),AS270,1),"")</f>
        <v>T</v>
      </c>
      <c r="AS270" s="9">
        <v>335</v>
      </c>
      <c r="AT270" s="9" t="str">
        <f>IFERROR(MID(VLOOKUP($B270,Seqs!$A:$B,2,0),AU270,1),"")</f>
        <v>V</v>
      </c>
      <c r="AU270" s="9">
        <v>367</v>
      </c>
      <c r="AV270" s="9" t="str">
        <f>IFERROR(MID(VLOOKUP($B270,Seqs!$A:$B,2,0),AW270,1),"")</f>
        <v>S</v>
      </c>
      <c r="AW270" s="9">
        <v>368</v>
      </c>
      <c r="AX270" s="9" t="str">
        <f>IFERROR(MID(VLOOKUP($B270,Seqs!$A:$B,2,0),AY270,1),"")</f>
        <v>C</v>
      </c>
      <c r="AY270" s="9">
        <v>383</v>
      </c>
      <c r="AZ270" s="110" t="str">
        <f>VLOOKUP(B270,Classification!A:D,2,0)</f>
        <v>A</v>
      </c>
      <c r="BA270" s="98" t="str">
        <f>VLOOKUP(B270,Classification!A:D,4,0)</f>
        <v>Neurotensin</v>
      </c>
      <c r="BB270" s="36" t="b">
        <f t="shared" ref="BB270" si="2460"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109">
        <f t="shared" ref="BC270" si="2461">_xlfn.AGGREGATE(9,6,CH270:CS270)-_xlfn.AGGREGATE(9,6,BV270:CG270)+12</f>
        <v>270</v>
      </c>
      <c r="BD270" s="129" t="s">
        <v>1375</v>
      </c>
      <c r="BE270" s="9" t="s">
        <v>1291</v>
      </c>
      <c r="BF270" s="119">
        <v>4.9000000000000004</v>
      </c>
      <c r="BG270" s="51" t="s">
        <v>1422</v>
      </c>
      <c r="BH270" s="51" t="s">
        <v>1422</v>
      </c>
      <c r="BI270" s="9"/>
      <c r="BJ270" s="111" t="s">
        <v>1287</v>
      </c>
      <c r="BK270" s="112" t="s">
        <v>1287</v>
      </c>
      <c r="BL270" s="112" t="s">
        <v>1287</v>
      </c>
      <c r="BM270" s="112" t="s">
        <v>1287</v>
      </c>
      <c r="BN270" s="112" t="s">
        <v>1287</v>
      </c>
      <c r="BO270" s="112" t="s">
        <v>1287</v>
      </c>
      <c r="BP270" s="112" t="s">
        <v>1287</v>
      </c>
      <c r="BQ270" s="112" t="s">
        <v>1287</v>
      </c>
      <c r="BR270" s="112" t="s">
        <v>1287</v>
      </c>
      <c r="BS270" s="112" t="s">
        <v>1287</v>
      </c>
      <c r="BT270" s="112" t="s">
        <v>1287</v>
      </c>
      <c r="BU270" s="112" t="s">
        <v>1287</v>
      </c>
      <c r="BV270" s="111">
        <f t="shared" ref="BV270" si="2462">E270</f>
        <v>59</v>
      </c>
      <c r="BW270" s="113" t="str">
        <f t="shared" ref="BW270" si="2463">I270</f>
        <v>-</v>
      </c>
      <c r="BX270" s="114">
        <f t="shared" ref="BX270" si="2464">M270</f>
        <v>98</v>
      </c>
      <c r="BY270" s="113">
        <f t="shared" ref="BY270" si="2465">Q270</f>
        <v>133</v>
      </c>
      <c r="BZ270" s="114">
        <f t="shared" ref="BZ270" si="2466">U270</f>
        <v>137</v>
      </c>
      <c r="CA270" s="113">
        <f t="shared" ref="CA270" si="2467">Y270</f>
        <v>173</v>
      </c>
      <c r="CB270" s="114">
        <f t="shared" ref="CB270" si="2468">AC270</f>
        <v>181</v>
      </c>
      <c r="CC270" s="113">
        <f t="shared" ref="CC270" si="2469">AG270</f>
        <v>224</v>
      </c>
      <c r="CD270" s="114">
        <f t="shared" ref="CD270" si="2470">AK270</f>
        <v>229</v>
      </c>
      <c r="CE270" s="113">
        <f t="shared" ref="CE270" si="2471">AO270</f>
        <v>293</v>
      </c>
      <c r="CF270" s="114">
        <f t="shared" ref="CF270" si="2472">AS270</f>
        <v>335</v>
      </c>
      <c r="CG270" s="113">
        <f t="shared" ref="CG270" si="2473">AW270</f>
        <v>368</v>
      </c>
      <c r="CH270" s="111">
        <f t="shared" ref="CH270" si="2474">G270</f>
        <v>91</v>
      </c>
      <c r="CI270" s="113" t="str">
        <f t="shared" ref="CI270" si="2475">K270</f>
        <v>-</v>
      </c>
      <c r="CJ270" s="114">
        <f t="shared" ref="CJ270" si="2476">O270</f>
        <v>129</v>
      </c>
      <c r="CK270" s="114">
        <f t="shared" ref="CK270" si="2477">S270</f>
        <v>136</v>
      </c>
      <c r="CL270" s="114">
        <f t="shared" ref="CL270" si="2478">W270</f>
        <v>172</v>
      </c>
      <c r="CM270" s="114">
        <f t="shared" ref="CM270" si="2479">AA270</f>
        <v>180</v>
      </c>
      <c r="CN270" s="114">
        <f t="shared" ref="CN270" si="2480">AE270</f>
        <v>206</v>
      </c>
      <c r="CO270" s="114">
        <f t="shared" ref="CO270" si="2481">AI270</f>
        <v>226</v>
      </c>
      <c r="CP270" s="114">
        <f t="shared" ref="CP270" si="2482">AM270</f>
        <v>269</v>
      </c>
      <c r="CQ270" s="114">
        <f t="shared" ref="CQ270" si="2483">AQ270</f>
        <v>329</v>
      </c>
      <c r="CR270" s="114">
        <f t="shared" ref="CR270" si="2484">AU270</f>
        <v>367</v>
      </c>
      <c r="CS270" s="114">
        <f t="shared" ref="CS270" si="2485">AY270</f>
        <v>383</v>
      </c>
      <c r="CT270" s="109" t="e">
        <f t="shared" ref="CT270" si="2486">M270-K270</f>
        <v>#VALUE!</v>
      </c>
    </row>
    <row r="271" spans="1:1029" s="12" customFormat="1" x14ac:dyDescent="0.2">
      <c r="A271" s="9" t="str">
        <f t="shared" ref="A271" si="2487">CONCATENATE(B271,"_",C271)</f>
        <v>ntr1_human_6UP7</v>
      </c>
      <c r="B271" s="9" t="s">
        <v>127</v>
      </c>
      <c r="C271" s="9" t="s">
        <v>1664</v>
      </c>
      <c r="D271" s="9" t="str">
        <f>IFERROR(MID(VLOOKUP($B271,Seqs!$A:$B,2,0),E271,1),"")</f>
        <v>D</v>
      </c>
      <c r="E271" s="9">
        <v>59</v>
      </c>
      <c r="F271" s="9" t="str">
        <f>IFERROR(MID(VLOOKUP($B271,Seqs!$A:$B,2,0),G271,1),"")</f>
        <v>S</v>
      </c>
      <c r="G271" s="9">
        <v>93</v>
      </c>
      <c r="H271" s="9" t="str">
        <f>IFERROR(MID(VLOOKUP($B271,Seqs!$A:$B,2,0),I271,1),"")</f>
        <v/>
      </c>
      <c r="I271" s="109" t="s">
        <v>23</v>
      </c>
      <c r="J271" s="9" t="str">
        <f>IFERROR(MID(VLOOKUP($B271,Seqs!$A:$B,2,0),K271,1),"")</f>
        <v/>
      </c>
      <c r="K271" s="109" t="s">
        <v>23</v>
      </c>
      <c r="L271" s="9" t="str">
        <f>IFERROR(MID(VLOOKUP($B271,Seqs!$A:$B,2,0),M271,1),"")</f>
        <v>V</v>
      </c>
      <c r="M271" s="9">
        <v>101</v>
      </c>
      <c r="N271" s="9" t="str">
        <f>IFERROR(MID(VLOOKUP($B271,Seqs!$A:$B,2,0),O271,1),"")</f>
        <v>V</v>
      </c>
      <c r="O271" s="9">
        <v>130</v>
      </c>
      <c r="P271" s="9" t="str">
        <f>IFERROR(MID(VLOOKUP($B271,Seqs!$A:$B,2,0),Q271,1),"")</f>
        <v>P</v>
      </c>
      <c r="Q271" s="9">
        <v>133</v>
      </c>
      <c r="R271" s="9" t="str">
        <f>IFERROR(MID(VLOOKUP($B271,Seqs!$A:$B,2,0),S271,1),"")</f>
        <v>F</v>
      </c>
      <c r="S271" s="9">
        <v>136</v>
      </c>
      <c r="T271" s="9" t="str">
        <f>IFERROR(MID(VLOOKUP($B271,Seqs!$A:$B,2,0),U271,1),"")</f>
        <v>G</v>
      </c>
      <c r="U271" s="9">
        <v>137</v>
      </c>
      <c r="V271" s="9" t="str">
        <f>IFERROR(MID(VLOOKUP($B271,Seqs!$A:$B,2,0),W271,1),"")</f>
        <v>H</v>
      </c>
      <c r="W271" s="9">
        <v>172</v>
      </c>
      <c r="X271" s="9" t="str">
        <f>IFERROR(MID(VLOOKUP($B271,Seqs!$A:$B,2,0),Y271,1),"")</f>
        <v>P</v>
      </c>
      <c r="Y271" s="9">
        <v>173</v>
      </c>
      <c r="Z271" s="9" t="str">
        <f>IFERROR(MID(VLOOKUP($B271,Seqs!$A:$B,2,0),AA271,1),"")</f>
        <v>M</v>
      </c>
      <c r="AA271" s="9">
        <v>180</v>
      </c>
      <c r="AB271" s="9" t="str">
        <f>IFERROR(MID(VLOOKUP($B271,Seqs!$A:$B,2,0),AC271,1),"")</f>
        <v>S</v>
      </c>
      <c r="AC271" s="9">
        <v>181</v>
      </c>
      <c r="AD271" s="9" t="str">
        <f>IFERROR(MID(VLOOKUP($B271,Seqs!$A:$B,2,0),AE271,1),"")</f>
        <v>M</v>
      </c>
      <c r="AE271" s="9">
        <v>207</v>
      </c>
      <c r="AF271" s="9" t="str">
        <f>IFERROR(MID(VLOOKUP($B271,Seqs!$A:$B,2,0),AG271,1),"")</f>
        <v>C</v>
      </c>
      <c r="AG271" s="9">
        <v>224</v>
      </c>
      <c r="AH271" s="9" t="str">
        <f>IFERROR(MID(VLOOKUP($B271,Seqs!$A:$B,2,0),AI271,1),"")</f>
        <v>P</v>
      </c>
      <c r="AI271" s="9">
        <v>226</v>
      </c>
      <c r="AJ271" s="9" t="str">
        <f>IFERROR(MID(VLOOKUP($B271,Seqs!$A:$B,2,0),AK271,1),"")</f>
        <v>H</v>
      </c>
      <c r="AK271" s="9">
        <v>229</v>
      </c>
      <c r="AL271" s="9" t="str">
        <f>IFERROR(MID(VLOOKUP($B271,Seqs!$A:$B,2,0),AM271,1),"")</f>
        <v>A</v>
      </c>
      <c r="AM271" s="9">
        <v>270</v>
      </c>
      <c r="AN271" s="9" t="str">
        <f>IFERROR(MID(VLOOKUP($B271,Seqs!$A:$B,2,0),AO271,1),"")</f>
        <v>G</v>
      </c>
      <c r="AO271" s="9">
        <v>293</v>
      </c>
      <c r="AP271" s="9" t="str">
        <f>IFERROR(MID(VLOOKUP($B271,Seqs!$A:$B,2,0),AQ271,1),"")</f>
        <v>Y</v>
      </c>
      <c r="AQ271" s="9">
        <v>328</v>
      </c>
      <c r="AR271" s="9" t="str">
        <f>IFERROR(MID(VLOOKUP($B271,Seqs!$A:$B,2,0),AS271,1),"")</f>
        <v>P</v>
      </c>
      <c r="AS271" s="9">
        <v>336</v>
      </c>
      <c r="AT271" s="9" t="str">
        <f>IFERROR(MID(VLOOKUP($B271,Seqs!$A:$B,2,0),AU271,1),"")</f>
        <v>N</v>
      </c>
      <c r="AU271" s="9">
        <v>365</v>
      </c>
      <c r="AV271" s="9" t="str">
        <f>IFERROR(MID(VLOOKUP($B271,Seqs!$A:$B,2,0),AW271,1),"")</f>
        <v>S</v>
      </c>
      <c r="AW271" s="9">
        <v>368</v>
      </c>
      <c r="AX271" s="9" t="str">
        <f>IFERROR(MID(VLOOKUP($B271,Seqs!$A:$B,2,0),AY271,1),"")</f>
        <v>L</v>
      </c>
      <c r="AY271" s="9">
        <v>382</v>
      </c>
      <c r="AZ271" s="110" t="str">
        <f>VLOOKUP(B271,Classification!A:D,2,0)</f>
        <v>A</v>
      </c>
      <c r="BA271" s="98" t="str">
        <f>VLOOKUP(B271,Classification!A:D,4,0)</f>
        <v>Neurotensin</v>
      </c>
      <c r="BB271" s="36" t="b">
        <f t="shared" ref="BB271" si="2488"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109">
        <f t="shared" ref="BC271" si="2489">_xlfn.AGGREGATE(9,6,CH271:CS271)-_xlfn.AGGREGATE(9,6,BV271:CG271)+12</f>
        <v>267</v>
      </c>
      <c r="BD271" s="129" t="s">
        <v>23</v>
      </c>
      <c r="BE271" s="9" t="s">
        <v>1291</v>
      </c>
      <c r="BF271" s="119">
        <v>4.2</v>
      </c>
      <c r="BG271" s="51" t="s">
        <v>1422</v>
      </c>
      <c r="BH271" s="51" t="s">
        <v>1422</v>
      </c>
      <c r="BI271" s="9"/>
      <c r="BJ271" s="111" t="s">
        <v>1287</v>
      </c>
      <c r="BK271" s="112" t="s">
        <v>1287</v>
      </c>
      <c r="BL271" s="112" t="s">
        <v>1287</v>
      </c>
      <c r="BM271" s="112" t="s">
        <v>1287</v>
      </c>
      <c r="BN271" s="112" t="s">
        <v>1287</v>
      </c>
      <c r="BO271" s="112" t="s">
        <v>1287</v>
      </c>
      <c r="BP271" s="112" t="s">
        <v>1287</v>
      </c>
      <c r="BQ271" s="112" t="s">
        <v>1287</v>
      </c>
      <c r="BR271" s="112" t="s">
        <v>1287</v>
      </c>
      <c r="BS271" s="112" t="s">
        <v>1287</v>
      </c>
      <c r="BT271" s="112" t="s">
        <v>1287</v>
      </c>
      <c r="BU271" s="112" t="s">
        <v>1287</v>
      </c>
      <c r="BV271" s="111">
        <f t="shared" ref="BV271" si="2490">E271</f>
        <v>59</v>
      </c>
      <c r="BW271" s="113" t="str">
        <f t="shared" ref="BW271" si="2491">I271</f>
        <v>-</v>
      </c>
      <c r="BX271" s="114">
        <f t="shared" ref="BX271" si="2492">M271</f>
        <v>101</v>
      </c>
      <c r="BY271" s="113">
        <f t="shared" ref="BY271" si="2493">Q271</f>
        <v>133</v>
      </c>
      <c r="BZ271" s="114">
        <f t="shared" ref="BZ271" si="2494">U271</f>
        <v>137</v>
      </c>
      <c r="CA271" s="113">
        <f t="shared" ref="CA271" si="2495">Y271</f>
        <v>173</v>
      </c>
      <c r="CB271" s="114">
        <f t="shared" ref="CB271" si="2496">AC271</f>
        <v>181</v>
      </c>
      <c r="CC271" s="113">
        <f t="shared" ref="CC271" si="2497">AG271</f>
        <v>224</v>
      </c>
      <c r="CD271" s="114">
        <f t="shared" ref="CD271" si="2498">AK271</f>
        <v>229</v>
      </c>
      <c r="CE271" s="113">
        <f t="shared" ref="CE271" si="2499">AO271</f>
        <v>293</v>
      </c>
      <c r="CF271" s="114">
        <f t="shared" ref="CF271" si="2500">AS271</f>
        <v>336</v>
      </c>
      <c r="CG271" s="113">
        <f t="shared" ref="CG271" si="2501">AW271</f>
        <v>368</v>
      </c>
      <c r="CH271" s="111">
        <f t="shared" ref="CH271" si="2502">G271</f>
        <v>93</v>
      </c>
      <c r="CI271" s="113" t="str">
        <f t="shared" ref="CI271" si="2503">K271</f>
        <v>-</v>
      </c>
      <c r="CJ271" s="114">
        <f t="shared" ref="CJ271" si="2504">O271</f>
        <v>130</v>
      </c>
      <c r="CK271" s="114">
        <f t="shared" ref="CK271" si="2505">S271</f>
        <v>136</v>
      </c>
      <c r="CL271" s="114">
        <f t="shared" ref="CL271" si="2506">W271</f>
        <v>172</v>
      </c>
      <c r="CM271" s="114">
        <f t="shared" ref="CM271" si="2507">AA271</f>
        <v>180</v>
      </c>
      <c r="CN271" s="114">
        <f t="shared" ref="CN271" si="2508">AE271</f>
        <v>207</v>
      </c>
      <c r="CO271" s="114">
        <f t="shared" ref="CO271" si="2509">AI271</f>
        <v>226</v>
      </c>
      <c r="CP271" s="114">
        <f t="shared" ref="CP271" si="2510">AM271</f>
        <v>270</v>
      </c>
      <c r="CQ271" s="114">
        <f t="shared" ref="CQ271" si="2511">AQ271</f>
        <v>328</v>
      </c>
      <c r="CR271" s="114">
        <f t="shared" ref="CR271" si="2512">AU271</f>
        <v>365</v>
      </c>
      <c r="CS271" s="114">
        <f t="shared" ref="CS271" si="2513">AY271</f>
        <v>382</v>
      </c>
      <c r="CT271" s="109" t="e">
        <f t="shared" ref="CT271" si="2514">M271-K271</f>
        <v>#VALUE!</v>
      </c>
    </row>
    <row r="272" spans="1:1029" x14ac:dyDescent="0.2">
      <c r="A272" s="3" t="str">
        <f t="shared" si="1955"/>
        <v>ntr1_rat__wt</v>
      </c>
      <c r="B272" s="3" t="s">
        <v>913</v>
      </c>
      <c r="C272" s="3" t="s">
        <v>100</v>
      </c>
      <c r="D272" s="3" t="str">
        <f>IFERROR(MID(VLOOKUP($B272,Seqs!$A:$B,2,0),E272,1),"")</f>
        <v>I</v>
      </c>
      <c r="E272" s="3">
        <v>61</v>
      </c>
      <c r="F272" s="3" t="str">
        <f>IFERROR(MID(VLOOKUP($B272,Seqs!$A:$B,2,0),G272,1),"")</f>
        <v>K</v>
      </c>
      <c r="G272" s="3">
        <v>92</v>
      </c>
      <c r="H272" s="3" t="str">
        <f>IFERROR(MID(VLOOKUP($B272,Seqs!$A:$B,2,0),I272,1),"")</f>
        <v>K</v>
      </c>
      <c r="I272" s="23">
        <v>93</v>
      </c>
      <c r="J272" s="3" t="str">
        <f>IFERROR(MID(VLOOKUP($B272,Seqs!$A:$B,2,0),K272,1),"")</f>
        <v>Q</v>
      </c>
      <c r="K272" s="23">
        <v>96</v>
      </c>
      <c r="L272" s="3" t="str">
        <f>IFERROR(MID(VLOOKUP($B272,Seqs!$A:$B,2,0),M272,1),"")</f>
        <v>S</v>
      </c>
      <c r="M272" s="3">
        <v>97</v>
      </c>
      <c r="N272" s="3" t="str">
        <f>IFERROR(MID(VLOOKUP($B272,Seqs!$A:$B,2,0),O272,1),"")</f>
        <v>V</v>
      </c>
      <c r="O272" s="3">
        <v>131</v>
      </c>
      <c r="P272" s="3" t="str">
        <f>IFERROR(MID(VLOOKUP($B272,Seqs!$A:$B,2,0),Q272,1),"")</f>
        <v>P</v>
      </c>
      <c r="Q272" s="3">
        <v>134</v>
      </c>
      <c r="R272" s="3" t="str">
        <f>IFERROR(MID(VLOOKUP($B272,Seqs!$A:$B,2,0),S272,1),"")</f>
        <v>F</v>
      </c>
      <c r="S272" s="3">
        <v>137</v>
      </c>
      <c r="T272" s="3" t="str">
        <f>IFERROR(MID(VLOOKUP($B272,Seqs!$A:$B,2,0),U272,1),"")</f>
        <v>G</v>
      </c>
      <c r="U272" s="3">
        <v>138</v>
      </c>
      <c r="V272" s="3" t="str">
        <f>IFERROR(MID(VLOOKUP($B272,Seqs!$A:$B,2,0),W272,1),"")</f>
        <v>H</v>
      </c>
      <c r="W272" s="3">
        <v>173</v>
      </c>
      <c r="X272" s="3" t="str">
        <f>IFERROR(MID(VLOOKUP($B272,Seqs!$A:$B,2,0),Y272,1),"")</f>
        <v>P</v>
      </c>
      <c r="Y272" s="3">
        <v>174</v>
      </c>
      <c r="Z272" s="3" t="str">
        <f>IFERROR(MID(VLOOKUP($B272,Seqs!$A:$B,2,0),AA272,1),"")</f>
        <v>M</v>
      </c>
      <c r="AA272" s="3">
        <v>181</v>
      </c>
      <c r="AB272" s="3" t="str">
        <f>IFERROR(MID(VLOOKUP($B272,Seqs!$A:$B,2,0),AC272,1),"")</f>
        <v>S</v>
      </c>
      <c r="AC272" s="9">
        <v>182</v>
      </c>
      <c r="AD272" s="3" t="str">
        <f>IFERROR(MID(VLOOKUP($B272,Seqs!$A:$B,2,0),AE272,1),"")</f>
        <v>M</v>
      </c>
      <c r="AE272" s="3">
        <v>208</v>
      </c>
      <c r="AF272" s="3" t="str">
        <f>IFERROR(MID(VLOOKUP($B272,Seqs!$A:$B,2,0),AG272,1),"")</f>
        <v>C</v>
      </c>
      <c r="AG272" s="3">
        <v>225</v>
      </c>
      <c r="AH272" s="3" t="str">
        <f>IFERROR(MID(VLOOKUP($B272,Seqs!$A:$B,2,0),AI272,1),"")</f>
        <v>P</v>
      </c>
      <c r="AI272" s="3">
        <v>227</v>
      </c>
      <c r="AJ272" s="3" t="str">
        <f>IFERROR(MID(VLOOKUP($B272,Seqs!$A:$B,2,0),AK272,1),"")</f>
        <v>T</v>
      </c>
      <c r="AK272" s="3">
        <v>231</v>
      </c>
      <c r="AL272" s="3" t="str">
        <f>IFERROR(MID(VLOOKUP($B272,Seqs!$A:$B,2,0),AM272,1),"")</f>
        <v>G</v>
      </c>
      <c r="AM272" s="3">
        <v>275</v>
      </c>
      <c r="AN272" s="3" t="str">
        <f>IFERROR(MID(VLOOKUP($B272,Seqs!$A:$B,2,0),AO272,1),"")</f>
        <v>P</v>
      </c>
      <c r="AO272" s="3">
        <v>297</v>
      </c>
      <c r="AP272" s="3" t="str">
        <f>IFERROR(MID(VLOOKUP($B272,Seqs!$A:$B,2,0),AQ272,1),"")</f>
        <v>I</v>
      </c>
      <c r="AQ272" s="3">
        <v>334</v>
      </c>
      <c r="AR272" s="3" t="str">
        <f>IFERROR(MID(VLOOKUP($B272,Seqs!$A:$B,2,0),AS272,1),"")</f>
        <v>T</v>
      </c>
      <c r="AS272" s="3">
        <v>340</v>
      </c>
      <c r="AT272" s="3" t="str">
        <f>IFERROR(MID(VLOOKUP($B272,Seqs!$A:$B,2,0),AU272,1),"")</f>
        <v>V</v>
      </c>
      <c r="AU272" s="3">
        <v>372</v>
      </c>
      <c r="AV272" s="3" t="str">
        <f>IFERROR(MID(VLOOKUP($B272,Seqs!$A:$B,2,0),AW272,1),"")</f>
        <v>S</v>
      </c>
      <c r="AW272" s="3">
        <v>373</v>
      </c>
      <c r="AX272" s="3" t="str">
        <f>IFERROR(MID(VLOOKUP($B272,Seqs!$A:$B,2,0),AY272,1),"")</f>
        <v>C</v>
      </c>
      <c r="AY272" s="105">
        <v>388</v>
      </c>
      <c r="AZ272" s="77" t="str">
        <f>VLOOKUP(B272,Classification!A:D,2,0)</f>
        <v>A</v>
      </c>
      <c r="BA272" s="94" t="str">
        <f>VLOOKUP(B272,Classification!A:D,4,0)</f>
        <v>Neurotensin</v>
      </c>
      <c r="BB272" s="27" t="b">
        <f t="shared" si="1956"/>
        <v>1</v>
      </c>
      <c r="BC272" s="23">
        <f t="shared" si="1705"/>
        <v>281</v>
      </c>
      <c r="BD272" s="56" t="s">
        <v>23</v>
      </c>
      <c r="BE272" s="3" t="s">
        <v>23</v>
      </c>
      <c r="BF272" s="118" t="s">
        <v>23</v>
      </c>
      <c r="BG272" s="49" t="s">
        <v>1372</v>
      </c>
      <c r="BH272" s="49" t="s">
        <v>1377</v>
      </c>
      <c r="BI272" s="3" t="s">
        <v>1169</v>
      </c>
      <c r="BJ272" s="70" t="s">
        <v>1287</v>
      </c>
      <c r="BK272" s="57" t="s">
        <v>1287</v>
      </c>
      <c r="BL272" s="57" t="s">
        <v>1287</v>
      </c>
      <c r="BM272" s="57" t="s">
        <v>1287</v>
      </c>
      <c r="BN272" s="57" t="s">
        <v>1287</v>
      </c>
      <c r="BO272" s="57" t="s">
        <v>1287</v>
      </c>
      <c r="BP272" s="57" t="s">
        <v>1287</v>
      </c>
      <c r="BQ272" s="57" t="s">
        <v>1287</v>
      </c>
      <c r="BR272" s="57" t="s">
        <v>1287</v>
      </c>
      <c r="BS272" s="57" t="s">
        <v>1287</v>
      </c>
      <c r="BT272" s="57" t="s">
        <v>1287</v>
      </c>
      <c r="BU272" s="57" t="s">
        <v>1287</v>
      </c>
      <c r="BV272" s="70">
        <f t="shared" si="1706"/>
        <v>61</v>
      </c>
      <c r="BW272" s="71">
        <f t="shared" si="1707"/>
        <v>93</v>
      </c>
      <c r="BX272" s="72">
        <f t="shared" si="1708"/>
        <v>97</v>
      </c>
      <c r="BY272" s="71">
        <f t="shared" si="1709"/>
        <v>134</v>
      </c>
      <c r="BZ272" s="72">
        <f t="shared" si="1710"/>
        <v>138</v>
      </c>
      <c r="CA272" s="71">
        <f t="shared" si="1711"/>
        <v>174</v>
      </c>
      <c r="CB272" s="72">
        <f t="shared" si="1712"/>
        <v>182</v>
      </c>
      <c r="CC272" s="71">
        <f t="shared" si="1713"/>
        <v>225</v>
      </c>
      <c r="CD272" s="72">
        <f t="shared" si="1714"/>
        <v>231</v>
      </c>
      <c r="CE272" s="71">
        <f t="shared" si="1715"/>
        <v>297</v>
      </c>
      <c r="CF272" s="72">
        <f t="shared" si="1716"/>
        <v>340</v>
      </c>
      <c r="CG272" s="71">
        <f t="shared" si="1717"/>
        <v>373</v>
      </c>
      <c r="CH272" s="70">
        <f t="shared" si="1718"/>
        <v>92</v>
      </c>
      <c r="CI272" s="71">
        <f t="shared" si="1719"/>
        <v>96</v>
      </c>
      <c r="CJ272" s="72">
        <f t="shared" si="1720"/>
        <v>131</v>
      </c>
      <c r="CK272" s="72">
        <f t="shared" si="1721"/>
        <v>137</v>
      </c>
      <c r="CL272" s="72">
        <f t="shared" si="1722"/>
        <v>173</v>
      </c>
      <c r="CM272" s="72">
        <f t="shared" si="1723"/>
        <v>181</v>
      </c>
      <c r="CN272" s="72">
        <f t="shared" si="1724"/>
        <v>208</v>
      </c>
      <c r="CO272" s="72">
        <f t="shared" si="1725"/>
        <v>227</v>
      </c>
      <c r="CP272" s="72">
        <f t="shared" si="1726"/>
        <v>275</v>
      </c>
      <c r="CQ272" s="72">
        <f t="shared" si="1727"/>
        <v>334</v>
      </c>
      <c r="CR272" s="72">
        <f t="shared" si="1728"/>
        <v>372</v>
      </c>
      <c r="CS272" s="72">
        <f t="shared" si="1729"/>
        <v>388</v>
      </c>
      <c r="CT272" s="23">
        <f t="shared" si="1730"/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30" x14ac:dyDescent="0.2">
      <c r="A273" s="3" t="str">
        <f t="shared" si="1955"/>
        <v>ntr1_rat_4BUO</v>
      </c>
      <c r="B273" s="3" t="s">
        <v>913</v>
      </c>
      <c r="C273" s="3" t="s">
        <v>1332</v>
      </c>
      <c r="D273" s="3" t="str">
        <f>IFERROR(MID(VLOOKUP($B273,Seqs!$A:$B,2,0),E273,1),"")</f>
        <v>I</v>
      </c>
      <c r="E273" s="3">
        <v>61</v>
      </c>
      <c r="F273" s="3" t="str">
        <f>IFERROR(MID(VLOOKUP($B273,Seqs!$A:$B,2,0),G273,1),"")</f>
        <v>R</v>
      </c>
      <c r="G273" s="3">
        <v>91</v>
      </c>
      <c r="H273" s="3" t="str">
        <f>IFERROR(MID(VLOOKUP($B273,Seqs!$A:$B,2,0),I273,1),"")</f>
        <v/>
      </c>
      <c r="I273" s="23" t="s">
        <v>23</v>
      </c>
      <c r="J273" s="3" t="str">
        <f>IFERROR(MID(VLOOKUP($B273,Seqs!$A:$B,2,0),K273,1),"")</f>
        <v/>
      </c>
      <c r="K273" s="23" t="s">
        <v>23</v>
      </c>
      <c r="L273" s="3" t="str">
        <f>IFERROR(MID(VLOOKUP($B273,Seqs!$A:$B,2,0),M273,1),"")</f>
        <v>S</v>
      </c>
      <c r="M273" s="3">
        <v>97</v>
      </c>
      <c r="N273" s="3" t="str">
        <f>IFERROR(MID(VLOOKUP($B273,Seqs!$A:$B,2,0),O273,1),"")</f>
        <v>V</v>
      </c>
      <c r="O273" s="3">
        <v>131</v>
      </c>
      <c r="P273" s="3" t="str">
        <f>IFERROR(MID(VLOOKUP($B273,Seqs!$A:$B,2,0),Q273,1),"")</f>
        <v>P</v>
      </c>
      <c r="Q273" s="3">
        <v>134</v>
      </c>
      <c r="R273" s="3" t="str">
        <f>IFERROR(MID(VLOOKUP($B273,Seqs!$A:$B,2,0),S273,1),"")</f>
        <v>F</v>
      </c>
      <c r="S273" s="3">
        <v>137</v>
      </c>
      <c r="T273" s="3" t="str">
        <f>IFERROR(MID(VLOOKUP($B273,Seqs!$A:$B,2,0),U273,1),"")</f>
        <v>G</v>
      </c>
      <c r="U273" s="3">
        <v>138</v>
      </c>
      <c r="V273" s="3" t="str">
        <f>IFERROR(MID(VLOOKUP($B273,Seqs!$A:$B,2,0),W273,1),"")</f>
        <v>H</v>
      </c>
      <c r="W273" s="3">
        <v>173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S</v>
      </c>
      <c r="AC273" s="9">
        <v>182</v>
      </c>
      <c r="AD273" s="3" t="str">
        <f>IFERROR(MID(VLOOKUP($B273,Seqs!$A:$B,2,0),AE273,1),"")</f>
        <v>M</v>
      </c>
      <c r="AE273" s="3">
        <v>208</v>
      </c>
      <c r="AF273" s="3" t="str">
        <f>IFERROR(MID(VLOOKUP($B273,Seqs!$A:$B,2,0),AG273,1),"")</f>
        <v>C</v>
      </c>
      <c r="AG273" s="3">
        <v>225</v>
      </c>
      <c r="AH273" s="3" t="str">
        <f>IFERROR(MID(VLOOKUP($B273,Seqs!$A:$B,2,0),AI273,1),"")</f>
        <v>P</v>
      </c>
      <c r="AI273" s="3">
        <v>227</v>
      </c>
      <c r="AJ273" s="3" t="str">
        <f>IFERROR(MID(VLOOKUP($B273,Seqs!$A:$B,2,0),AK273,1),"")</f>
        <v>T</v>
      </c>
      <c r="AK273" s="3">
        <v>231</v>
      </c>
      <c r="AL273" s="3" t="str">
        <f>IFERROR(MID(VLOOKUP($B273,Seqs!$A:$B,2,0),AM273,1),"")</f>
        <v>Q</v>
      </c>
      <c r="AM273" s="3">
        <v>270</v>
      </c>
      <c r="AN273" s="3" t="str">
        <f>IFERROR(MID(VLOOKUP($B273,Seqs!$A:$B,2,0),AO273,1),"")</f>
        <v>G</v>
      </c>
      <c r="AO273" s="3">
        <v>298</v>
      </c>
      <c r="AP273" s="3" t="str">
        <f>IFERROR(MID(VLOOKUP($B273,Seqs!$A:$B,2,0),AQ273,1),"")</f>
        <v>I</v>
      </c>
      <c r="AQ273" s="3">
        <v>334</v>
      </c>
      <c r="AR273" s="3" t="str">
        <f>IFERROR(MID(VLOOKUP($B273,Seqs!$A:$B,2,0),AS273,1),"")</f>
        <v>T</v>
      </c>
      <c r="AS273" s="3">
        <v>340</v>
      </c>
      <c r="AT273" s="3" t="str">
        <f>IFERROR(MID(VLOOKUP($B273,Seqs!$A:$B,2,0),AU273,1),"")</f>
        <v>V</v>
      </c>
      <c r="AU273" s="3">
        <v>372</v>
      </c>
      <c r="AV273" s="3" t="str">
        <f>IFERROR(MID(VLOOKUP($B273,Seqs!$A:$B,2,0),AW273,1),"")</f>
        <v>S</v>
      </c>
      <c r="AW273" s="3">
        <v>373</v>
      </c>
      <c r="AX273" s="3" t="str">
        <f>IFERROR(MID(VLOOKUP($B273,Seqs!$A:$B,2,0),AY273,1),"")</f>
        <v>L</v>
      </c>
      <c r="AY273" s="3">
        <v>384</v>
      </c>
      <c r="AZ273" s="77" t="str">
        <f>VLOOKUP(B273,Classification!A:D,2,0)</f>
        <v>A</v>
      </c>
      <c r="BA273" s="94" t="str">
        <f>VLOOKUP(B273,Classification!A:D,4,0)</f>
        <v>Neurotensin</v>
      </c>
      <c r="BB273" s="27" t="b">
        <f t="shared" si="1956"/>
        <v>1</v>
      </c>
      <c r="BC273" s="23">
        <f t="shared" si="1705"/>
        <v>260</v>
      </c>
      <c r="BD273" s="16" t="s">
        <v>1376</v>
      </c>
      <c r="BE273" s="3" t="s">
        <v>1374</v>
      </c>
      <c r="BF273" s="118">
        <v>2.75</v>
      </c>
      <c r="BG273" s="49" t="s">
        <v>1377</v>
      </c>
      <c r="BH273" s="49" t="s">
        <v>1377</v>
      </c>
      <c r="BI273" s="1"/>
      <c r="BJ273" s="70" t="s">
        <v>1287</v>
      </c>
      <c r="BK273" s="57" t="s">
        <v>1287</v>
      </c>
      <c r="BL273" s="57" t="s">
        <v>1287</v>
      </c>
      <c r="BM273" s="57" t="s">
        <v>1287</v>
      </c>
      <c r="BN273" s="57" t="s">
        <v>1287</v>
      </c>
      <c r="BO273" s="57" t="s">
        <v>1287</v>
      </c>
      <c r="BP273" s="57" t="s">
        <v>1287</v>
      </c>
      <c r="BQ273" s="57" t="s">
        <v>1287</v>
      </c>
      <c r="BR273" s="57" t="s">
        <v>1287</v>
      </c>
      <c r="BS273" s="57" t="s">
        <v>1287</v>
      </c>
      <c r="BT273" s="57" t="s">
        <v>1287</v>
      </c>
      <c r="BU273" s="57" t="s">
        <v>1287</v>
      </c>
      <c r="BV273" s="70">
        <f t="shared" si="1706"/>
        <v>61</v>
      </c>
      <c r="BW273" s="71" t="str">
        <f t="shared" si="1707"/>
        <v>-</v>
      </c>
      <c r="BX273" s="72">
        <f t="shared" si="1708"/>
        <v>97</v>
      </c>
      <c r="BY273" s="71">
        <f t="shared" si="1709"/>
        <v>134</v>
      </c>
      <c r="BZ273" s="72">
        <f t="shared" si="1710"/>
        <v>138</v>
      </c>
      <c r="CA273" s="71" t="str">
        <f t="shared" si="1711"/>
        <v>-</v>
      </c>
      <c r="CB273" s="72">
        <f t="shared" si="1712"/>
        <v>182</v>
      </c>
      <c r="CC273" s="71">
        <f t="shared" si="1713"/>
        <v>225</v>
      </c>
      <c r="CD273" s="72">
        <f t="shared" si="1714"/>
        <v>231</v>
      </c>
      <c r="CE273" s="71">
        <f t="shared" si="1715"/>
        <v>298</v>
      </c>
      <c r="CF273" s="72">
        <f t="shared" si="1716"/>
        <v>340</v>
      </c>
      <c r="CG273" s="71">
        <f t="shared" si="1717"/>
        <v>373</v>
      </c>
      <c r="CH273" s="70">
        <f t="shared" si="1718"/>
        <v>91</v>
      </c>
      <c r="CI273" s="71" t="str">
        <f t="shared" si="1719"/>
        <v>-</v>
      </c>
      <c r="CJ273" s="72">
        <f t="shared" si="1720"/>
        <v>131</v>
      </c>
      <c r="CK273" s="72">
        <f t="shared" si="1721"/>
        <v>137</v>
      </c>
      <c r="CL273" s="72">
        <f t="shared" si="1722"/>
        <v>173</v>
      </c>
      <c r="CM273" s="72" t="str">
        <f t="shared" si="1723"/>
        <v>-</v>
      </c>
      <c r="CN273" s="72">
        <f t="shared" si="1724"/>
        <v>208</v>
      </c>
      <c r="CO273" s="72">
        <f t="shared" si="1725"/>
        <v>227</v>
      </c>
      <c r="CP273" s="72">
        <f t="shared" si="1726"/>
        <v>270</v>
      </c>
      <c r="CQ273" s="72">
        <f t="shared" si="1727"/>
        <v>334</v>
      </c>
      <c r="CR273" s="72">
        <f t="shared" si="1728"/>
        <v>372</v>
      </c>
      <c r="CS273" s="72">
        <f t="shared" si="1729"/>
        <v>384</v>
      </c>
      <c r="CT273" s="23" t="e">
        <f t="shared" si="1730"/>
        <v>#VALUE!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30" x14ac:dyDescent="0.2">
      <c r="A274" s="3" t="str">
        <f t="shared" si="1955"/>
        <v>ntr1_rat_4GRV</v>
      </c>
      <c r="B274" s="3" t="s">
        <v>913</v>
      </c>
      <c r="C274" s="3" t="s">
        <v>50</v>
      </c>
      <c r="D274" s="3" t="str">
        <f>IFERROR(MID(VLOOKUP($B274,Seqs!$A:$B,2,0),E274,1),"")</f>
        <v>I</v>
      </c>
      <c r="E274" s="3">
        <v>61</v>
      </c>
      <c r="F274" s="3" t="str">
        <f>IFERROR(MID(VLOOKUP($B274,Seqs!$A:$B,2,0),G274,1),"")</f>
        <v>T</v>
      </c>
      <c r="G274" s="3">
        <v>88</v>
      </c>
      <c r="H274" s="3" t="str">
        <f>IFERROR(MID(VLOOKUP($B274,Seqs!$A:$B,2,0),I274,1),"")</f>
        <v/>
      </c>
      <c r="I274" s="23" t="s">
        <v>23</v>
      </c>
      <c r="J274" s="3" t="str">
        <f>IFERROR(MID(VLOOKUP($B274,Seqs!$A:$B,2,0),K274,1),"")</f>
        <v/>
      </c>
      <c r="K274" s="23" t="s">
        <v>23</v>
      </c>
      <c r="L274" s="3" t="str">
        <f>IFERROR(MID(VLOOKUP($B274,Seqs!$A:$B,2,0),M274,1),"")</f>
        <v>Q</v>
      </c>
      <c r="M274" s="3">
        <v>99</v>
      </c>
      <c r="N274" s="3" t="str">
        <f>IFERROR(MID(VLOOKUP($B274,Seqs!$A:$B,2,0),O274,1),"")</f>
        <v>V</v>
      </c>
      <c r="O274" s="3">
        <v>131</v>
      </c>
      <c r="P274" s="3" t="str">
        <f>IFERROR(MID(VLOOKUP($B274,Seqs!$A:$B,2,0),Q274,1),"")</f>
        <v>P</v>
      </c>
      <c r="Q274" s="3">
        <v>134</v>
      </c>
      <c r="R274" s="3" t="str">
        <f>IFERROR(MID(VLOOKUP($B274,Seqs!$A:$B,2,0),S274,1),"")</f>
        <v>F</v>
      </c>
      <c r="S274" s="3">
        <v>137</v>
      </c>
      <c r="T274" s="3" t="str">
        <f>IFERROR(MID(VLOOKUP($B274,Seqs!$A:$B,2,0),U274,1),"")</f>
        <v>G</v>
      </c>
      <c r="U274" s="3">
        <v>138</v>
      </c>
      <c r="V274" s="3" t="str">
        <f>IFERROR(MID(VLOOKUP($B274,Seqs!$A:$B,2,0),W274,1),"")</f>
        <v>H</v>
      </c>
      <c r="W274" s="3">
        <v>173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T</v>
      </c>
      <c r="AC274" s="9">
        <v>186</v>
      </c>
      <c r="AD274" s="3" t="str">
        <f>IFERROR(MID(VLOOKUP($B274,Seqs!$A:$B,2,0),AE274,1),"")</f>
        <v>M</v>
      </c>
      <c r="AE274" s="3">
        <v>208</v>
      </c>
      <c r="AF274" s="3" t="str">
        <f>IFERROR(MID(VLOOKUP($B274,Seqs!$A:$B,2,0),AG274,1),"")</f>
        <v>C</v>
      </c>
      <c r="AG274" s="3">
        <v>225</v>
      </c>
      <c r="AH274" s="3" t="str">
        <f>IFERROR(MID(VLOOKUP($B274,Seqs!$A:$B,2,0),AI274,1),"")</f>
        <v>P</v>
      </c>
      <c r="AI274" s="3">
        <v>227</v>
      </c>
      <c r="AJ274" s="3" t="str">
        <f>IFERROR(MID(VLOOKUP($B274,Seqs!$A:$B,2,0),AK274,1),"")</f>
        <v>T</v>
      </c>
      <c r="AK274" s="3">
        <v>231</v>
      </c>
      <c r="AL274" s="3" t="str">
        <f>IFERROR(MID(VLOOKUP($B274,Seqs!$A:$B,2,0),AM274,1),"")</f>
        <v>T</v>
      </c>
      <c r="AM274" s="3">
        <v>265</v>
      </c>
      <c r="AN274" s="3" t="str">
        <f>IFERROR(MID(VLOOKUP($B274,Seqs!$A:$B,2,0),AO274,1),"")</f>
        <v>A</v>
      </c>
      <c r="AO274" s="3">
        <v>302</v>
      </c>
      <c r="AP274" s="3" t="str">
        <f>IFERROR(MID(VLOOKUP($B274,Seqs!$A:$B,2,0),AQ274,1),"")</f>
        <v>I</v>
      </c>
      <c r="AQ274" s="3">
        <v>334</v>
      </c>
      <c r="AR274" s="3" t="str">
        <f>IFERROR(MID(VLOOKUP($B274,Seqs!$A:$B,2,0),AS274,1),"")</f>
        <v>T</v>
      </c>
      <c r="AS274" s="3">
        <v>340</v>
      </c>
      <c r="AT274" s="3" t="str">
        <f>IFERROR(MID(VLOOKUP($B274,Seqs!$A:$B,2,0),AU274,1),"")</f>
        <v>S</v>
      </c>
      <c r="AU274" s="3">
        <v>361</v>
      </c>
      <c r="AV274" s="3" t="str">
        <f>IFERROR(MID(VLOOKUP($B274,Seqs!$A:$B,2,0),AW274,1),"")</f>
        <v/>
      </c>
      <c r="AW274" s="3" t="s">
        <v>23</v>
      </c>
      <c r="AX274" s="3" t="str">
        <f>IFERROR(MID(VLOOKUP($B274,Seqs!$A:$B,2,0),AY274,1),"")</f>
        <v/>
      </c>
      <c r="AY274" s="3" t="s">
        <v>23</v>
      </c>
      <c r="AZ274" s="77" t="str">
        <f>VLOOKUP(B274,Classification!A:D,2,0)</f>
        <v>A</v>
      </c>
      <c r="BA274" s="94" t="str">
        <f>VLOOKUP(B274,Classification!A:D,4,0)</f>
        <v>Neurotensin</v>
      </c>
      <c r="BB274" s="27" t="b">
        <f t="shared" si="1956"/>
        <v>1</v>
      </c>
      <c r="BC274" s="23">
        <f t="shared" si="1705"/>
        <v>220</v>
      </c>
      <c r="BD274" s="5" t="s">
        <v>23</v>
      </c>
      <c r="BE274" s="3" t="s">
        <v>1428</v>
      </c>
      <c r="BF274" s="118">
        <v>2.8</v>
      </c>
      <c r="BG274" s="49" t="s">
        <v>1377</v>
      </c>
      <c r="BH274" s="49" t="s">
        <v>1377</v>
      </c>
      <c r="BI274" s="1"/>
      <c r="BJ274" s="70" t="s">
        <v>1287</v>
      </c>
      <c r="BK274" s="57" t="s">
        <v>1287</v>
      </c>
      <c r="BL274" s="57" t="s">
        <v>1287</v>
      </c>
      <c r="BM274" s="57" t="s">
        <v>1287</v>
      </c>
      <c r="BN274" s="57" t="s">
        <v>1287</v>
      </c>
      <c r="BO274" s="57" t="s">
        <v>1287</v>
      </c>
      <c r="BP274" s="57" t="s">
        <v>1287</v>
      </c>
      <c r="BQ274" s="57" t="s">
        <v>1287</v>
      </c>
      <c r="BR274" s="57" t="s">
        <v>1287</v>
      </c>
      <c r="BS274" s="57" t="s">
        <v>1287</v>
      </c>
      <c r="BT274" s="57" t="s">
        <v>1287</v>
      </c>
      <c r="BU274" s="57" t="s">
        <v>1287</v>
      </c>
      <c r="BV274" s="70">
        <f t="shared" si="1706"/>
        <v>61</v>
      </c>
      <c r="BW274" s="71" t="str">
        <f t="shared" si="1707"/>
        <v>-</v>
      </c>
      <c r="BX274" s="72">
        <f t="shared" si="1708"/>
        <v>99</v>
      </c>
      <c r="BY274" s="71">
        <f t="shared" si="1709"/>
        <v>134</v>
      </c>
      <c r="BZ274" s="72">
        <f t="shared" si="1710"/>
        <v>138</v>
      </c>
      <c r="CA274" s="71" t="str">
        <f t="shared" si="1711"/>
        <v>-</v>
      </c>
      <c r="CB274" s="72">
        <f t="shared" si="1712"/>
        <v>186</v>
      </c>
      <c r="CC274" s="71">
        <f t="shared" si="1713"/>
        <v>225</v>
      </c>
      <c r="CD274" s="72">
        <f t="shared" si="1714"/>
        <v>231</v>
      </c>
      <c r="CE274" s="71">
        <f t="shared" si="1715"/>
        <v>302</v>
      </c>
      <c r="CF274" s="72">
        <f t="shared" si="1716"/>
        <v>340</v>
      </c>
      <c r="CG274" s="71" t="str">
        <f t="shared" si="1717"/>
        <v>-</v>
      </c>
      <c r="CH274" s="70">
        <f t="shared" si="1718"/>
        <v>88</v>
      </c>
      <c r="CI274" s="71" t="str">
        <f t="shared" si="1719"/>
        <v>-</v>
      </c>
      <c r="CJ274" s="72">
        <f t="shared" si="1720"/>
        <v>131</v>
      </c>
      <c r="CK274" s="72">
        <f t="shared" si="1721"/>
        <v>137</v>
      </c>
      <c r="CL274" s="72">
        <f t="shared" si="1722"/>
        <v>173</v>
      </c>
      <c r="CM274" s="72" t="str">
        <f t="shared" si="1723"/>
        <v>-</v>
      </c>
      <c r="CN274" s="72">
        <f t="shared" si="1724"/>
        <v>208</v>
      </c>
      <c r="CO274" s="72">
        <f t="shared" si="1725"/>
        <v>227</v>
      </c>
      <c r="CP274" s="72">
        <f t="shared" si="1726"/>
        <v>265</v>
      </c>
      <c r="CQ274" s="72">
        <f t="shared" si="1727"/>
        <v>334</v>
      </c>
      <c r="CR274" s="72">
        <f t="shared" si="1728"/>
        <v>361</v>
      </c>
      <c r="CS274" s="72" t="str">
        <f t="shared" si="1729"/>
        <v>-</v>
      </c>
      <c r="CT274" s="23" t="e">
        <f t="shared" si="1730"/>
        <v>#VALUE!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x14ac:dyDescent="0.2">
      <c r="A275" s="3" t="str">
        <f t="shared" si="1955"/>
        <v>ntr1_rat_4XEE</v>
      </c>
      <c r="B275" s="3" t="s">
        <v>913</v>
      </c>
      <c r="C275" s="3" t="s">
        <v>1350</v>
      </c>
      <c r="D275" s="3" t="str">
        <f>IFERROR(MID(VLOOKUP($B275,Seqs!$A:$B,2,0),E275,1),"")</f>
        <v>I</v>
      </c>
      <c r="E275" s="3">
        <v>61</v>
      </c>
      <c r="F275" s="3" t="str">
        <f>IFERROR(MID(VLOOKUP($B275,Seqs!$A:$B,2,0),G275,1),"")</f>
        <v>R</v>
      </c>
      <c r="G275" s="3">
        <v>91</v>
      </c>
      <c r="H275" s="3" t="str">
        <f>IFERROR(MID(VLOOKUP($B275,Seqs!$A:$B,2,0),I275,1),"")</f>
        <v/>
      </c>
      <c r="I275" s="23" t="s">
        <v>23</v>
      </c>
      <c r="J275" s="3" t="str">
        <f>IFERROR(MID(VLOOKUP($B275,Seqs!$A:$B,2,0),K275,1),"")</f>
        <v/>
      </c>
      <c r="K275" s="23" t="s">
        <v>23</v>
      </c>
      <c r="L275" s="3" t="str">
        <f>IFERROR(MID(VLOOKUP($B275,Seqs!$A:$B,2,0),M275,1),"")</f>
        <v>S</v>
      </c>
      <c r="M275" s="3">
        <v>100</v>
      </c>
      <c r="N275" s="3" t="str">
        <f>IFERROR(MID(VLOOKUP($B275,Seqs!$A:$B,2,0),O275,1),"")</f>
        <v>V</v>
      </c>
      <c r="O275" s="3">
        <v>131</v>
      </c>
      <c r="P275" s="3" t="str">
        <f>IFERROR(MID(VLOOKUP($B275,Seqs!$A:$B,2,0),Q275,1),"")</f>
        <v>P</v>
      </c>
      <c r="Q275" s="3">
        <v>134</v>
      </c>
      <c r="R275" s="3" t="str">
        <f>IFERROR(MID(VLOOKUP($B275,Seqs!$A:$B,2,0),S275,1),"")</f>
        <v>F</v>
      </c>
      <c r="S275" s="3">
        <v>137</v>
      </c>
      <c r="T275" s="3" t="str">
        <f>IFERROR(MID(VLOOKUP($B275,Seqs!$A:$B,2,0),U275,1),"")</f>
        <v>G</v>
      </c>
      <c r="U275" s="3">
        <v>138</v>
      </c>
      <c r="V275" s="3" t="str">
        <f>IFERROR(MID(VLOOKUP($B275,Seqs!$A:$B,2,0),W275,1),"")</f>
        <v>H</v>
      </c>
      <c r="W275" s="3">
        <v>173</v>
      </c>
      <c r="X275" s="3" t="str">
        <f>IFERROR(MID(VLOOKUP($B275,Seqs!$A:$B,2,0),Y275,1),"")</f>
        <v>P</v>
      </c>
      <c r="Y275" s="3">
        <v>174</v>
      </c>
      <c r="Z275" s="3" t="str">
        <f>IFERROR(MID(VLOOKUP($B275,Seqs!$A:$B,2,0),AA275,1),"")</f>
        <v>M</v>
      </c>
      <c r="AA275" s="3">
        <v>181</v>
      </c>
      <c r="AB275" s="3" t="str">
        <f>IFERROR(MID(VLOOKUP($B275,Seqs!$A:$B,2,0),AC275,1),"")</f>
        <v>S</v>
      </c>
      <c r="AC275" s="9">
        <v>182</v>
      </c>
      <c r="AD275" s="3" t="str">
        <f>IFERROR(MID(VLOOKUP($B275,Seqs!$A:$B,2,0),AE275,1),"")</f>
        <v>M</v>
      </c>
      <c r="AE275" s="3">
        <v>208</v>
      </c>
      <c r="AF275" s="3" t="str">
        <f>IFERROR(MID(VLOOKUP($B275,Seqs!$A:$B,2,0),AG275,1),"")</f>
        <v>C</v>
      </c>
      <c r="AG275" s="3">
        <v>225</v>
      </c>
      <c r="AH275" s="3" t="str">
        <f>IFERROR(MID(VLOOKUP($B275,Seqs!$A:$B,2,0),AI275,1),"")</f>
        <v>P</v>
      </c>
      <c r="AI275" s="3">
        <v>227</v>
      </c>
      <c r="AJ275" s="3" t="str">
        <f>IFERROR(MID(VLOOKUP($B275,Seqs!$A:$B,2,0),AK275,1),"")</f>
        <v>T</v>
      </c>
      <c r="AK275" s="3">
        <v>231</v>
      </c>
      <c r="AL275" s="3" t="str">
        <f>IFERROR(MID(VLOOKUP($B275,Seqs!$A:$B,2,0),AM275,1),"")</f>
        <v>V</v>
      </c>
      <c r="AM275" s="3">
        <v>268</v>
      </c>
      <c r="AN275" s="3" t="str">
        <f>IFERROR(MID(VLOOKUP($B275,Seqs!$A:$B,2,0),AO275,1),"")</f>
        <v>Q</v>
      </c>
      <c r="AO275" s="3">
        <v>301</v>
      </c>
      <c r="AP275" s="3" t="str">
        <f>IFERROR(MID(VLOOKUP($B275,Seqs!$A:$B,2,0),AQ275,1),"")</f>
        <v>I</v>
      </c>
      <c r="AQ275" s="3">
        <v>334</v>
      </c>
      <c r="AR275" s="3" t="str">
        <f>IFERROR(MID(VLOOKUP($B275,Seqs!$A:$B,2,0),AS275,1),"")</f>
        <v>T</v>
      </c>
      <c r="AS275" s="3">
        <v>340</v>
      </c>
      <c r="AT275" s="3" t="str">
        <f>IFERROR(MID(VLOOKUP($B275,Seqs!$A:$B,2,0),AU275,1),"")</f>
        <v>I</v>
      </c>
      <c r="AU275" s="3">
        <v>364</v>
      </c>
      <c r="AV275" s="3" t="str">
        <f>IFERROR(MID(VLOOKUP($B275,Seqs!$A:$B,2,0),AW275,1),"")</f>
        <v/>
      </c>
      <c r="AW275" s="3" t="s">
        <v>23</v>
      </c>
      <c r="AX275" s="3" t="str">
        <f>IFERROR(MID(VLOOKUP($B275,Seqs!$A:$B,2,0),AY275,1),"")</f>
        <v/>
      </c>
      <c r="AY275" s="3" t="s">
        <v>23</v>
      </c>
      <c r="AZ275" s="77" t="str">
        <f>VLOOKUP(B275,Classification!A:D,2,0)</f>
        <v>A</v>
      </c>
      <c r="BA275" s="94" t="str">
        <f>VLOOKUP(B275,Classification!A:D,4,0)</f>
        <v>Neurotensin</v>
      </c>
      <c r="BB275" s="27" t="b">
        <f t="shared" si="1956"/>
        <v>1</v>
      </c>
      <c r="BC275" s="23">
        <f t="shared" si="1705"/>
        <v>240</v>
      </c>
      <c r="BD275" s="4" t="s">
        <v>23</v>
      </c>
      <c r="BE275" s="3" t="s">
        <v>1428</v>
      </c>
      <c r="BF275" s="118">
        <v>2.9</v>
      </c>
      <c r="BG275" s="49" t="s">
        <v>1377</v>
      </c>
      <c r="BH275" s="49" t="s">
        <v>1377</v>
      </c>
      <c r="BI275" s="1"/>
      <c r="BJ275" s="70" t="s">
        <v>1287</v>
      </c>
      <c r="BK275" s="57" t="s">
        <v>1287</v>
      </c>
      <c r="BL275" s="57" t="s">
        <v>1287</v>
      </c>
      <c r="BM275" s="57" t="s">
        <v>1287</v>
      </c>
      <c r="BN275" s="57" t="s">
        <v>1287</v>
      </c>
      <c r="BO275" s="57" t="s">
        <v>1287</v>
      </c>
      <c r="BP275" s="57" t="s">
        <v>1287</v>
      </c>
      <c r="BQ275" s="57" t="s">
        <v>1287</v>
      </c>
      <c r="BR275" s="57" t="s">
        <v>1287</v>
      </c>
      <c r="BS275" s="57" t="s">
        <v>1287</v>
      </c>
      <c r="BT275" s="57" t="s">
        <v>1287</v>
      </c>
      <c r="BU275" s="57" t="s">
        <v>1287</v>
      </c>
      <c r="BV275" s="70">
        <f t="shared" si="1706"/>
        <v>61</v>
      </c>
      <c r="BW275" s="71" t="str">
        <f t="shared" si="1707"/>
        <v>-</v>
      </c>
      <c r="BX275" s="72">
        <f t="shared" si="1708"/>
        <v>100</v>
      </c>
      <c r="BY275" s="71">
        <f t="shared" si="1709"/>
        <v>134</v>
      </c>
      <c r="BZ275" s="72">
        <f t="shared" si="1710"/>
        <v>138</v>
      </c>
      <c r="CA275" s="71">
        <f t="shared" si="1711"/>
        <v>174</v>
      </c>
      <c r="CB275" s="72">
        <f t="shared" si="1712"/>
        <v>182</v>
      </c>
      <c r="CC275" s="71">
        <f t="shared" si="1713"/>
        <v>225</v>
      </c>
      <c r="CD275" s="72">
        <f t="shared" si="1714"/>
        <v>231</v>
      </c>
      <c r="CE275" s="71">
        <f t="shared" si="1715"/>
        <v>301</v>
      </c>
      <c r="CF275" s="72">
        <f t="shared" si="1716"/>
        <v>340</v>
      </c>
      <c r="CG275" s="71" t="str">
        <f t="shared" si="1717"/>
        <v>-</v>
      </c>
      <c r="CH275" s="70">
        <f t="shared" si="1718"/>
        <v>91</v>
      </c>
      <c r="CI275" s="71" t="str">
        <f t="shared" si="1719"/>
        <v>-</v>
      </c>
      <c r="CJ275" s="72">
        <f t="shared" si="1720"/>
        <v>131</v>
      </c>
      <c r="CK275" s="72">
        <f t="shared" si="1721"/>
        <v>137</v>
      </c>
      <c r="CL275" s="72">
        <f t="shared" si="1722"/>
        <v>173</v>
      </c>
      <c r="CM275" s="72">
        <f t="shared" si="1723"/>
        <v>181</v>
      </c>
      <c r="CN275" s="72">
        <f t="shared" si="1724"/>
        <v>208</v>
      </c>
      <c r="CO275" s="72">
        <f t="shared" si="1725"/>
        <v>227</v>
      </c>
      <c r="CP275" s="72">
        <f t="shared" si="1726"/>
        <v>268</v>
      </c>
      <c r="CQ275" s="72">
        <f t="shared" si="1727"/>
        <v>334</v>
      </c>
      <c r="CR275" s="72">
        <f t="shared" si="1728"/>
        <v>364</v>
      </c>
      <c r="CS275" s="72" t="str">
        <f t="shared" si="1729"/>
        <v>-</v>
      </c>
      <c r="CT275" s="23" t="e">
        <f t="shared" si="1730"/>
        <v>#VALUE!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30" x14ac:dyDescent="0.2">
      <c r="A276" s="3" t="str">
        <f t="shared" si="1955"/>
        <v>ntr1_rat_4XES</v>
      </c>
      <c r="B276" s="3" t="s">
        <v>913</v>
      </c>
      <c r="C276" s="3" t="s">
        <v>1351</v>
      </c>
      <c r="D276" s="3" t="str">
        <f>IFERROR(MID(VLOOKUP($B276,Seqs!$A:$B,2,0),E276,1),"")</f>
        <v>I</v>
      </c>
      <c r="E276" s="3">
        <v>61</v>
      </c>
      <c r="F276" s="3" t="str">
        <f>IFERROR(MID(VLOOKUP($B276,Seqs!$A:$B,2,0),G276,1),"")</f>
        <v>K</v>
      </c>
      <c r="G276" s="3">
        <v>92</v>
      </c>
      <c r="H276" s="3" t="str">
        <f>IFERROR(MID(VLOOKUP($B276,Seqs!$A:$B,2,0),I276,1),"")</f>
        <v/>
      </c>
      <c r="I276" s="23" t="s">
        <v>23</v>
      </c>
      <c r="J276" s="3" t="str">
        <f>IFERROR(MID(VLOOKUP($B276,Seqs!$A:$B,2,0),K276,1),"")</f>
        <v/>
      </c>
      <c r="K276" s="23" t="s">
        <v>23</v>
      </c>
      <c r="L276" s="3" t="str">
        <f>IFERROR(MID(VLOOKUP($B276,Seqs!$A:$B,2,0),M276,1),"")</f>
        <v>S</v>
      </c>
      <c r="M276" s="3">
        <v>97</v>
      </c>
      <c r="N276" s="3" t="str">
        <f>IFERROR(MID(VLOOKUP($B276,Seqs!$A:$B,2,0),O276,1),"")</f>
        <v>V</v>
      </c>
      <c r="O276" s="3">
        <v>131</v>
      </c>
      <c r="P276" s="3" t="str">
        <f>IFERROR(MID(VLOOKUP($B276,Seqs!$A:$B,2,0),Q276,1),"")</f>
        <v>P</v>
      </c>
      <c r="Q276" s="3">
        <v>134</v>
      </c>
      <c r="R276" s="3" t="str">
        <f>IFERROR(MID(VLOOKUP($B276,Seqs!$A:$B,2,0),S276,1),"")</f>
        <v>F</v>
      </c>
      <c r="S276" s="3">
        <v>137</v>
      </c>
      <c r="T276" s="3" t="str">
        <f>IFERROR(MID(VLOOKUP($B276,Seqs!$A:$B,2,0),U276,1),"")</f>
        <v>G</v>
      </c>
      <c r="U276" s="3">
        <v>138</v>
      </c>
      <c r="V276" s="3" t="str">
        <f>IFERROR(MID(VLOOKUP($B276,Seqs!$A:$B,2,0),W276,1),"")</f>
        <v>H</v>
      </c>
      <c r="W276" s="3">
        <v>173</v>
      </c>
      <c r="X276" s="3" t="str">
        <f>IFERROR(MID(VLOOKUP($B276,Seqs!$A:$B,2,0),Y276,1),"")</f>
        <v>P</v>
      </c>
      <c r="Y276" s="3">
        <v>174</v>
      </c>
      <c r="Z276" s="3" t="str">
        <f>IFERROR(MID(VLOOKUP($B276,Seqs!$A:$B,2,0),AA276,1),"")</f>
        <v>M</v>
      </c>
      <c r="AA276" s="3">
        <v>181</v>
      </c>
      <c r="AB276" s="3" t="str">
        <f>IFERROR(MID(VLOOKUP($B276,Seqs!$A:$B,2,0),AC276,1),"")</f>
        <v>S</v>
      </c>
      <c r="AC276" s="9">
        <v>182</v>
      </c>
      <c r="AD276" s="3" t="str">
        <f>IFERROR(MID(VLOOKUP($B276,Seqs!$A:$B,2,0),AE276,1),"")</f>
        <v>M</v>
      </c>
      <c r="AE276" s="3">
        <v>208</v>
      </c>
      <c r="AF276" s="3" t="str">
        <f>IFERROR(MID(VLOOKUP($B276,Seqs!$A:$B,2,0),AG276,1),"")</f>
        <v>C</v>
      </c>
      <c r="AG276" s="3">
        <v>225</v>
      </c>
      <c r="AH276" s="3" t="str">
        <f>IFERROR(MID(VLOOKUP($B276,Seqs!$A:$B,2,0),AI276,1),"")</f>
        <v>P</v>
      </c>
      <c r="AI276" s="3">
        <v>227</v>
      </c>
      <c r="AJ276" s="3" t="str">
        <f>IFERROR(MID(VLOOKUP($B276,Seqs!$A:$B,2,0),AK276,1),"")</f>
        <v>T</v>
      </c>
      <c r="AK276" s="3">
        <v>231</v>
      </c>
      <c r="AL276" s="3" t="str">
        <f>IFERROR(MID(VLOOKUP($B276,Seqs!$A:$B,2,0),AM276,1),"")</f>
        <v>V</v>
      </c>
      <c r="AM276" s="3">
        <v>268</v>
      </c>
      <c r="AN276" s="3" t="str">
        <f>IFERROR(MID(VLOOKUP($B276,Seqs!$A:$B,2,0),AO276,1),"")</f>
        <v>A</v>
      </c>
      <c r="AO276" s="3">
        <v>302</v>
      </c>
      <c r="AP276" s="3" t="str">
        <f>IFERROR(MID(VLOOKUP($B276,Seqs!$A:$B,2,0),AQ276,1),"")</f>
        <v>I</v>
      </c>
      <c r="AQ276" s="3">
        <v>334</v>
      </c>
      <c r="AR276" s="3" t="str">
        <f>IFERROR(MID(VLOOKUP($B276,Seqs!$A:$B,2,0),AS276,1),"")</f>
        <v>T</v>
      </c>
      <c r="AS276" s="3">
        <v>340</v>
      </c>
      <c r="AT276" s="3" t="str">
        <f>IFERROR(MID(VLOOKUP($B276,Seqs!$A:$B,2,0),AU276,1),"")</f>
        <v>I</v>
      </c>
      <c r="AU276" s="3">
        <v>364</v>
      </c>
      <c r="AV276" s="3" t="str">
        <f>IFERROR(MID(VLOOKUP($B276,Seqs!$A:$B,2,0),AW276,1),"")</f>
        <v/>
      </c>
      <c r="AW276" s="3" t="s">
        <v>23</v>
      </c>
      <c r="AX276" s="3" t="str">
        <f>IFERROR(MID(VLOOKUP($B276,Seqs!$A:$B,2,0),AY276,1),"")</f>
        <v/>
      </c>
      <c r="AY276" s="3" t="s">
        <v>23</v>
      </c>
      <c r="AZ276" s="77" t="str">
        <f>VLOOKUP(B276,Classification!A:D,2,0)</f>
        <v>A</v>
      </c>
      <c r="BA276" s="94" t="str">
        <f>VLOOKUP(B276,Classification!A:D,4,0)</f>
        <v>Neurotensin</v>
      </c>
      <c r="BB276" s="27" t="b">
        <f t="shared" si="1956"/>
        <v>1</v>
      </c>
      <c r="BC276" s="23">
        <f t="shared" si="1705"/>
        <v>243</v>
      </c>
      <c r="BD276" s="5" t="s">
        <v>23</v>
      </c>
      <c r="BE276" s="3" t="s">
        <v>1428</v>
      </c>
      <c r="BF276" s="118">
        <v>2.6</v>
      </c>
      <c r="BG276" s="49" t="s">
        <v>1377</v>
      </c>
      <c r="BH276" s="49" t="s">
        <v>1377</v>
      </c>
      <c r="BI276" s="1"/>
      <c r="BJ276" s="70" t="s">
        <v>1287</v>
      </c>
      <c r="BK276" s="57" t="s">
        <v>1287</v>
      </c>
      <c r="BL276" s="57" t="s">
        <v>1287</v>
      </c>
      <c r="BM276" s="57" t="s">
        <v>1287</v>
      </c>
      <c r="BN276" s="57" t="s">
        <v>1287</v>
      </c>
      <c r="BO276" s="57" t="s">
        <v>1287</v>
      </c>
      <c r="BP276" s="57" t="s">
        <v>1287</v>
      </c>
      <c r="BQ276" s="57" t="s">
        <v>1287</v>
      </c>
      <c r="BR276" s="57" t="s">
        <v>1287</v>
      </c>
      <c r="BS276" s="57" t="s">
        <v>1287</v>
      </c>
      <c r="BT276" s="57" t="s">
        <v>1287</v>
      </c>
      <c r="BU276" s="57" t="s">
        <v>1287</v>
      </c>
      <c r="BV276" s="70">
        <f t="shared" si="1706"/>
        <v>61</v>
      </c>
      <c r="BW276" s="71" t="str">
        <f t="shared" si="1707"/>
        <v>-</v>
      </c>
      <c r="BX276" s="72">
        <f t="shared" si="1708"/>
        <v>97</v>
      </c>
      <c r="BY276" s="71">
        <f t="shared" si="1709"/>
        <v>134</v>
      </c>
      <c r="BZ276" s="72">
        <f t="shared" si="1710"/>
        <v>138</v>
      </c>
      <c r="CA276" s="71">
        <f t="shared" si="1711"/>
        <v>174</v>
      </c>
      <c r="CB276" s="72">
        <f t="shared" si="1712"/>
        <v>182</v>
      </c>
      <c r="CC276" s="71">
        <f t="shared" si="1713"/>
        <v>225</v>
      </c>
      <c r="CD276" s="72">
        <f t="shared" si="1714"/>
        <v>231</v>
      </c>
      <c r="CE276" s="71">
        <f t="shared" si="1715"/>
        <v>302</v>
      </c>
      <c r="CF276" s="72">
        <f t="shared" si="1716"/>
        <v>340</v>
      </c>
      <c r="CG276" s="71" t="str">
        <f t="shared" si="1717"/>
        <v>-</v>
      </c>
      <c r="CH276" s="70">
        <f t="shared" si="1718"/>
        <v>92</v>
      </c>
      <c r="CI276" s="71" t="str">
        <f t="shared" si="1719"/>
        <v>-</v>
      </c>
      <c r="CJ276" s="72">
        <f t="shared" si="1720"/>
        <v>131</v>
      </c>
      <c r="CK276" s="72">
        <f t="shared" si="1721"/>
        <v>137</v>
      </c>
      <c r="CL276" s="72">
        <f t="shared" si="1722"/>
        <v>173</v>
      </c>
      <c r="CM276" s="72">
        <f t="shared" si="1723"/>
        <v>181</v>
      </c>
      <c r="CN276" s="72">
        <f t="shared" si="1724"/>
        <v>208</v>
      </c>
      <c r="CO276" s="72">
        <f t="shared" si="1725"/>
        <v>227</v>
      </c>
      <c r="CP276" s="72">
        <f t="shared" si="1726"/>
        <v>268</v>
      </c>
      <c r="CQ276" s="72">
        <f t="shared" si="1727"/>
        <v>334</v>
      </c>
      <c r="CR276" s="72">
        <f t="shared" si="1728"/>
        <v>364</v>
      </c>
      <c r="CS276" s="72" t="str">
        <f t="shared" si="1729"/>
        <v>-</v>
      </c>
      <c r="CT276" s="23" t="e">
        <f t="shared" si="1730"/>
        <v>#VALUE!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30" x14ac:dyDescent="0.2">
      <c r="A277" s="3" t="str">
        <f>CONCATENATE(B277,"_",C277)</f>
        <v>ntr1_rat_5T04</v>
      </c>
      <c r="B277" s="3" t="s">
        <v>913</v>
      </c>
      <c r="C277" s="3" t="s">
        <v>1385</v>
      </c>
      <c r="D277" s="3" t="str">
        <f>IFERROR(MID(VLOOKUP($B277,Seqs!$A:$B,2,0),E277,1),"")</f>
        <v>I</v>
      </c>
      <c r="E277" s="3">
        <v>61</v>
      </c>
      <c r="F277" s="3" t="str">
        <f>IFERROR(MID(VLOOKUP($B277,Seqs!$A:$B,2,0),G277,1),"")</f>
        <v>T</v>
      </c>
      <c r="G277" s="3">
        <v>88</v>
      </c>
      <c r="H277" s="3" t="str">
        <f>IFERROR(MID(VLOOKUP($B277,Seqs!$A:$B,2,0),I277,1),"")</f>
        <v/>
      </c>
      <c r="I277" s="23" t="s">
        <v>23</v>
      </c>
      <c r="J277" s="3" t="str">
        <f>IFERROR(MID(VLOOKUP($B277,Seqs!$A:$B,2,0),K277,1),"")</f>
        <v/>
      </c>
      <c r="K277" s="23" t="s">
        <v>23</v>
      </c>
      <c r="L277" s="3" t="str">
        <f>IFERROR(MID(VLOOKUP($B277,Seqs!$A:$B,2,0),M277,1),"")</f>
        <v>H</v>
      </c>
      <c r="M277" s="3">
        <v>103</v>
      </c>
      <c r="N277" s="3" t="str">
        <f>IFERROR(MID(VLOOKUP($B277,Seqs!$A:$B,2,0),O277,1),"")</f>
        <v>V</v>
      </c>
      <c r="O277" s="3">
        <v>131</v>
      </c>
      <c r="P277" s="3" t="str">
        <f>IFERROR(MID(VLOOKUP($B277,Seqs!$A:$B,2,0),Q277,1),"")</f>
        <v>P</v>
      </c>
      <c r="Q277" s="3">
        <v>134</v>
      </c>
      <c r="R277" s="3" t="str">
        <f>IFERROR(MID(VLOOKUP($B277,Seqs!$A:$B,2,0),S277,1),"")</f>
        <v>F</v>
      </c>
      <c r="S277" s="3">
        <v>137</v>
      </c>
      <c r="T277" s="3" t="str">
        <f>IFERROR(MID(VLOOKUP($B277,Seqs!$A:$B,2,0),U277,1),"")</f>
        <v>G</v>
      </c>
      <c r="U277" s="3">
        <v>138</v>
      </c>
      <c r="V277" s="3" t="str">
        <f>IFERROR(MID(VLOOKUP($B277,Seqs!$A:$B,2,0),W277,1),"")</f>
        <v>H</v>
      </c>
      <c r="W277" s="3">
        <v>173</v>
      </c>
      <c r="X277" s="3" t="str">
        <f>IFERROR(MID(VLOOKUP($B277,Seqs!$A:$B,2,0),Y277,1),"")</f>
        <v>P</v>
      </c>
      <c r="Y277" s="3">
        <v>174</v>
      </c>
      <c r="Z277" s="3" t="str">
        <f>IFERROR(MID(VLOOKUP($B277,Seqs!$A:$B,2,0),AA277,1),"")</f>
        <v>M</v>
      </c>
      <c r="AA277" s="3">
        <v>181</v>
      </c>
      <c r="AB277" s="3" t="str">
        <f>IFERROR(MID(VLOOKUP($B277,Seqs!$A:$B,2,0),AC277,1),"")</f>
        <v>S</v>
      </c>
      <c r="AC277" s="3">
        <v>182</v>
      </c>
      <c r="AD277" s="3" t="str">
        <f>IFERROR(MID(VLOOKUP($B277,Seqs!$A:$B,2,0),AE277,1),"")</f>
        <v>M</v>
      </c>
      <c r="AE277" s="3">
        <v>208</v>
      </c>
      <c r="AF277" s="3" t="str">
        <f>IFERROR(MID(VLOOKUP($B277,Seqs!$A:$B,2,0),AG277,1),"")</f>
        <v>C</v>
      </c>
      <c r="AG277" s="3">
        <v>225</v>
      </c>
      <c r="AH277" s="3" t="str">
        <f>IFERROR(MID(VLOOKUP($B277,Seqs!$A:$B,2,0),AI277,1),"")</f>
        <v>P</v>
      </c>
      <c r="AI277" s="3">
        <v>227</v>
      </c>
      <c r="AJ277" s="3" t="str">
        <f>IFERROR(MID(VLOOKUP($B277,Seqs!$A:$B,2,0),AK277,1),"")</f>
        <v>T</v>
      </c>
      <c r="AK277" s="3">
        <v>231</v>
      </c>
      <c r="AL277" s="3" t="str">
        <f>IFERROR(MID(VLOOKUP($B277,Seqs!$A:$B,2,0),AM277,1),"")</f>
        <v>V</v>
      </c>
      <c r="AM277" s="3">
        <v>268</v>
      </c>
      <c r="AN277" s="3" t="str">
        <f>IFERROR(MID(VLOOKUP($B277,Seqs!$A:$B,2,0),AO277,1),"")</f>
        <v>P</v>
      </c>
      <c r="AO277" s="3">
        <v>297</v>
      </c>
      <c r="AP277" s="3" t="str">
        <f>IFERROR(MID(VLOOKUP($B277,Seqs!$A:$B,2,0),AQ277,1),"")</f>
        <v>I</v>
      </c>
      <c r="AQ277" s="3">
        <v>334</v>
      </c>
      <c r="AR277" s="3" t="str">
        <f>IFERROR(MID(VLOOKUP($B277,Seqs!$A:$B,2,0),AS277,1),"")</f>
        <v>T</v>
      </c>
      <c r="AS277" s="3">
        <v>340</v>
      </c>
      <c r="AT277" s="3" t="str">
        <f>IFERROR(MID(VLOOKUP($B277,Seqs!$A:$B,2,0),AU277,1),"")</f>
        <v>I</v>
      </c>
      <c r="AU277" s="3">
        <v>364</v>
      </c>
      <c r="AV277" s="3" t="str">
        <f>IFERROR(MID(VLOOKUP($B277,Seqs!$A:$B,2,0),AW277,1),"")</f>
        <v/>
      </c>
      <c r="AW277" s="3" t="s">
        <v>23</v>
      </c>
      <c r="AX277" s="3" t="str">
        <f>IFERROR(MID(VLOOKUP($B277,Seqs!$A:$B,2,0),AY277,1),"")</f>
        <v/>
      </c>
      <c r="AY277" s="3" t="s">
        <v>23</v>
      </c>
      <c r="AZ277" s="77" t="str">
        <f>VLOOKUP(B277,Classification!A:D,2,0)</f>
        <v>A</v>
      </c>
      <c r="BA277" s="94" t="str">
        <f>VLOOKUP(B277,Classification!A:D,4,0)</f>
        <v>Neurotensin</v>
      </c>
      <c r="BB277" s="27" t="b">
        <f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23">
        <f>_xlfn.AGGREGATE(9,6,CH277:CS277)-_xlfn.AGGREGATE(9,6,BV277:CG277)+12</f>
        <v>238</v>
      </c>
      <c r="BD277" s="5" t="s">
        <v>23</v>
      </c>
      <c r="BE277" s="3" t="s">
        <v>1291</v>
      </c>
      <c r="BF277" s="118">
        <v>3.3</v>
      </c>
      <c r="BG277" s="49" t="s">
        <v>1377</v>
      </c>
      <c r="BH277" s="49" t="s">
        <v>1377</v>
      </c>
      <c r="BI277" s="1"/>
      <c r="BJ277" s="70" t="s">
        <v>1287</v>
      </c>
      <c r="BK277" s="57" t="s">
        <v>1287</v>
      </c>
      <c r="BL277" s="57" t="s">
        <v>1287</v>
      </c>
      <c r="BM277" s="57" t="s">
        <v>1287</v>
      </c>
      <c r="BN277" s="57" t="s">
        <v>1287</v>
      </c>
      <c r="BO277" s="57" t="s">
        <v>1287</v>
      </c>
      <c r="BP277" s="57" t="s">
        <v>1287</v>
      </c>
      <c r="BQ277" s="57" t="s">
        <v>1287</v>
      </c>
      <c r="BR277" s="57" t="s">
        <v>1287</v>
      </c>
      <c r="BS277" s="57" t="s">
        <v>1287</v>
      </c>
      <c r="BT277" s="57" t="s">
        <v>1287</v>
      </c>
      <c r="BU277" s="57" t="s">
        <v>1287</v>
      </c>
      <c r="BV277" s="70">
        <f>E277</f>
        <v>61</v>
      </c>
      <c r="BW277" s="71" t="str">
        <f>I277</f>
        <v>-</v>
      </c>
      <c r="BX277" s="72">
        <f>M277</f>
        <v>103</v>
      </c>
      <c r="BY277" s="71">
        <f>Q277</f>
        <v>134</v>
      </c>
      <c r="BZ277" s="72">
        <f>U277</f>
        <v>138</v>
      </c>
      <c r="CA277" s="71">
        <f>Y277</f>
        <v>174</v>
      </c>
      <c r="CB277" s="72">
        <f>AC277</f>
        <v>182</v>
      </c>
      <c r="CC277" s="71">
        <f>AG277</f>
        <v>225</v>
      </c>
      <c r="CD277" s="72">
        <f>AK277</f>
        <v>231</v>
      </c>
      <c r="CE277" s="71">
        <f>AO277</f>
        <v>297</v>
      </c>
      <c r="CF277" s="72">
        <f>AS277</f>
        <v>340</v>
      </c>
      <c r="CG277" s="71" t="str">
        <f>AW277</f>
        <v>-</v>
      </c>
      <c r="CH277" s="70">
        <f>G277</f>
        <v>88</v>
      </c>
      <c r="CI277" s="71" t="str">
        <f>K277</f>
        <v>-</v>
      </c>
      <c r="CJ277" s="72">
        <f>O277</f>
        <v>131</v>
      </c>
      <c r="CK277" s="72">
        <f>S277</f>
        <v>137</v>
      </c>
      <c r="CL277" s="72">
        <f>W277</f>
        <v>173</v>
      </c>
      <c r="CM277" s="72">
        <f>AA277</f>
        <v>181</v>
      </c>
      <c r="CN277" s="72">
        <f>AE277</f>
        <v>208</v>
      </c>
      <c r="CO277" s="72">
        <f>AI277</f>
        <v>227</v>
      </c>
      <c r="CP277" s="72">
        <f>AM277</f>
        <v>268</v>
      </c>
      <c r="CQ277" s="72">
        <f>AQ277</f>
        <v>334</v>
      </c>
      <c r="CR277" s="72">
        <f>AU277</f>
        <v>364</v>
      </c>
      <c r="CS277" s="72" t="str">
        <f>AY277</f>
        <v>-</v>
      </c>
      <c r="CT277" s="23" t="e">
        <f>M277-K277</f>
        <v>#VALUE!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30" x14ac:dyDescent="0.2">
      <c r="A278" s="3" t="str">
        <f t="shared" si="1955"/>
        <v>oprd_human__wt</v>
      </c>
      <c r="B278" s="3" t="s">
        <v>335</v>
      </c>
      <c r="C278" s="3" t="s">
        <v>100</v>
      </c>
      <c r="D278" s="3" t="str">
        <f>IFERROR(MID(VLOOKUP($B278,Seqs!$A:$B,2,0),E278,1),"")</f>
        <v>G</v>
      </c>
      <c r="E278" s="3">
        <v>39</v>
      </c>
      <c r="F278" s="3" t="str">
        <f>IFERROR(MID(VLOOKUP($B278,Seqs!$A:$B,2,0),G278,1),"")</f>
        <v>Y</v>
      </c>
      <c r="G278" s="3">
        <v>77</v>
      </c>
      <c r="H278" s="3" t="str">
        <f>IFERROR(MID(VLOOKUP($B278,Seqs!$A:$B,2,0),I278,1),"")</f>
        <v>T</v>
      </c>
      <c r="I278" s="23">
        <v>78</v>
      </c>
      <c r="J278" s="3" t="str">
        <f>IFERROR(MID(VLOOKUP($B278,Seqs!$A:$B,2,0),K278,1),"")</f>
        <v>K</v>
      </c>
      <c r="K278" s="23">
        <v>81</v>
      </c>
      <c r="L278" s="3" t="str">
        <f>IFERROR(MID(VLOOKUP($B278,Seqs!$A:$B,2,0),M278,1),"")</f>
        <v>T</v>
      </c>
      <c r="M278" s="3">
        <v>82</v>
      </c>
      <c r="N278" s="3" t="str">
        <f>IFERROR(MID(VLOOKUP($B278,Seqs!$A:$B,2,0),O278,1),"")</f>
        <v>M</v>
      </c>
      <c r="O278" s="3">
        <v>111</v>
      </c>
      <c r="P278" s="3" t="str">
        <f>IFERROR(MID(VLOOKUP($B278,Seqs!$A:$B,2,0),Q278,1),"")</f>
        <v>T</v>
      </c>
      <c r="Q278" s="3">
        <v>113</v>
      </c>
      <c r="R278" s="3" t="str">
        <f>IFERROR(MID(VLOOKUP($B278,Seqs!$A:$B,2,0),S278,1),"")</f>
        <v>F</v>
      </c>
      <c r="S278" s="3">
        <v>116</v>
      </c>
      <c r="T278" s="3" t="str">
        <f>IFERROR(MID(VLOOKUP($B278,Seqs!$A:$B,2,0),U278,1),"")</f>
        <v>G</v>
      </c>
      <c r="U278" s="3">
        <v>117</v>
      </c>
      <c r="V278" s="3" t="str">
        <f>IFERROR(MID(VLOOKUP($B278,Seqs!$A:$B,2,0),W278,1),"")</f>
        <v>H</v>
      </c>
      <c r="W278" s="3">
        <v>152</v>
      </c>
      <c r="X278" s="3" t="str">
        <f>IFERROR(MID(VLOOKUP($B278,Seqs!$A:$B,2,0),Y278,1),"")</f>
        <v>P</v>
      </c>
      <c r="Y278" s="3">
        <v>153</v>
      </c>
      <c r="Z278" s="3" t="str">
        <f>IFERROR(MID(VLOOKUP($B278,Seqs!$A:$B,2,0),AA278,1),"")</f>
        <v>R</v>
      </c>
      <c r="AA278" s="3">
        <v>160</v>
      </c>
      <c r="AB278" s="3" t="str">
        <f>IFERROR(MID(VLOOKUP($B278,Seqs!$A:$B,2,0),AC278,1),"")</f>
        <v>T</v>
      </c>
      <c r="AC278" s="9">
        <v>161</v>
      </c>
      <c r="AD278" s="3" t="str">
        <f>IFERROR(MID(VLOOKUP($B278,Seqs!$A:$B,2,0),AE278,1),"")</f>
        <v>A</v>
      </c>
      <c r="AE278" s="3">
        <v>187</v>
      </c>
      <c r="AF278" s="3" t="str">
        <f>IFERROR(MID(VLOOKUP($B278,Seqs!$A:$B,2,0),AG278,1),"")</f>
        <v>C</v>
      </c>
      <c r="AG278" s="3">
        <v>198</v>
      </c>
      <c r="AH278" s="3" t="str">
        <f>IFERROR(MID(VLOOKUP($B278,Seqs!$A:$B,2,0),AI278,1),"")</f>
        <v>L</v>
      </c>
      <c r="AI278" s="3">
        <v>200</v>
      </c>
      <c r="AJ278" s="3" t="str">
        <f>IFERROR(MID(VLOOKUP($B278,Seqs!$A:$B,2,0),AK278,1),"")</f>
        <v>S</v>
      </c>
      <c r="AK278" s="3">
        <v>206</v>
      </c>
      <c r="AL278" s="3" t="str">
        <f>IFERROR(MID(VLOOKUP($B278,Seqs!$A:$B,2,0),AM278,1),"")</f>
        <v>V</v>
      </c>
      <c r="AM278" s="3">
        <v>243</v>
      </c>
      <c r="AN278" s="3" t="str">
        <f>IFERROR(MID(VLOOKUP($B278,Seqs!$A:$B,2,0),AO278,1),"")</f>
        <v>S</v>
      </c>
      <c r="AO278" s="3">
        <v>249</v>
      </c>
      <c r="AP278" s="3" t="str">
        <f>IFERROR(MID(VLOOKUP($B278,Seqs!$A:$B,2,0),AQ278,1),"")</f>
        <v>V</v>
      </c>
      <c r="AQ278" s="3">
        <v>287</v>
      </c>
      <c r="AR278" s="3" t="str">
        <f>IFERROR(MID(VLOOKUP($B278,Seqs!$A:$B,2,0),AS278,1),"")</f>
        <v>D</v>
      </c>
      <c r="AS278" s="3">
        <v>293</v>
      </c>
      <c r="AT278" s="3" t="str">
        <f>IFERROR(MID(VLOOKUP($B278,Seqs!$A:$B,2,0),AU278,1),"")</f>
        <v>L</v>
      </c>
      <c r="AU278" s="3">
        <v>321</v>
      </c>
      <c r="AV278" s="3" t="str">
        <f>IFERROR(MID(VLOOKUP($B278,Seqs!$A:$B,2,0),AW278,1),"")</f>
        <v>D</v>
      </c>
      <c r="AW278" s="3">
        <v>322</v>
      </c>
      <c r="AX278" s="3" t="str">
        <f>IFERROR(MID(VLOOKUP($B278,Seqs!$A:$B,2,0),AY278,1),"")</f>
        <v>K</v>
      </c>
      <c r="AY278" s="3">
        <v>335</v>
      </c>
      <c r="AZ278" s="77" t="str">
        <f>VLOOKUP(B278,Classification!A:D,2,0)</f>
        <v>A</v>
      </c>
      <c r="BA278" s="94" t="str">
        <f>VLOOKUP(B278,Classification!A:D,4,0)</f>
        <v>Opioid</v>
      </c>
      <c r="BB278" s="27" t="b">
        <f t="shared" si="1956"/>
        <v>1</v>
      </c>
      <c r="BC278" s="23">
        <f t="shared" si="1705"/>
        <v>271</v>
      </c>
      <c r="BD278" s="56" t="s">
        <v>23</v>
      </c>
      <c r="BE278" s="3" t="s">
        <v>23</v>
      </c>
      <c r="BF278" s="118" t="s">
        <v>23</v>
      </c>
      <c r="BG278" s="49" t="s">
        <v>1372</v>
      </c>
      <c r="BH278" s="49" t="s">
        <v>1377</v>
      </c>
      <c r="BI278" s="1"/>
      <c r="BJ278" s="70" t="s">
        <v>1287</v>
      </c>
      <c r="BK278" s="57" t="s">
        <v>1287</v>
      </c>
      <c r="BL278" s="57" t="s">
        <v>1287</v>
      </c>
      <c r="BM278" s="57" t="s">
        <v>1287</v>
      </c>
      <c r="BN278" s="57" t="s">
        <v>1287</v>
      </c>
      <c r="BO278" s="57" t="s">
        <v>1287</v>
      </c>
      <c r="BP278" s="57" t="s">
        <v>1287</v>
      </c>
      <c r="BQ278" s="57" t="s">
        <v>1287</v>
      </c>
      <c r="BR278" s="57" t="s">
        <v>1287</v>
      </c>
      <c r="BS278" s="57" t="s">
        <v>1287</v>
      </c>
      <c r="BT278" s="57" t="s">
        <v>1287</v>
      </c>
      <c r="BU278" s="57" t="s">
        <v>1287</v>
      </c>
      <c r="BV278" s="70">
        <f t="shared" si="1706"/>
        <v>39</v>
      </c>
      <c r="BW278" s="71">
        <f t="shared" si="1707"/>
        <v>78</v>
      </c>
      <c r="BX278" s="72">
        <f t="shared" si="1708"/>
        <v>82</v>
      </c>
      <c r="BY278" s="71">
        <f t="shared" si="1709"/>
        <v>113</v>
      </c>
      <c r="BZ278" s="72">
        <f t="shared" si="1710"/>
        <v>117</v>
      </c>
      <c r="CA278" s="71">
        <f t="shared" si="1711"/>
        <v>153</v>
      </c>
      <c r="CB278" s="72">
        <f t="shared" si="1712"/>
        <v>161</v>
      </c>
      <c r="CC278" s="71">
        <f t="shared" si="1713"/>
        <v>198</v>
      </c>
      <c r="CD278" s="72">
        <f t="shared" si="1714"/>
        <v>206</v>
      </c>
      <c r="CE278" s="71">
        <f t="shared" si="1715"/>
        <v>249</v>
      </c>
      <c r="CF278" s="72">
        <f t="shared" si="1716"/>
        <v>293</v>
      </c>
      <c r="CG278" s="71">
        <f t="shared" si="1717"/>
        <v>322</v>
      </c>
      <c r="CH278" s="70">
        <f t="shared" si="1718"/>
        <v>77</v>
      </c>
      <c r="CI278" s="71">
        <f t="shared" si="1719"/>
        <v>81</v>
      </c>
      <c r="CJ278" s="72">
        <f t="shared" si="1720"/>
        <v>111</v>
      </c>
      <c r="CK278" s="72">
        <f t="shared" si="1721"/>
        <v>116</v>
      </c>
      <c r="CL278" s="72">
        <f t="shared" si="1722"/>
        <v>152</v>
      </c>
      <c r="CM278" s="72">
        <f t="shared" si="1723"/>
        <v>160</v>
      </c>
      <c r="CN278" s="72">
        <f t="shared" si="1724"/>
        <v>187</v>
      </c>
      <c r="CO278" s="72">
        <f t="shared" si="1725"/>
        <v>200</v>
      </c>
      <c r="CP278" s="72">
        <f t="shared" si="1726"/>
        <v>243</v>
      </c>
      <c r="CQ278" s="72">
        <f t="shared" si="1727"/>
        <v>287</v>
      </c>
      <c r="CR278" s="72">
        <f t="shared" si="1728"/>
        <v>321</v>
      </c>
      <c r="CS278" s="72">
        <f t="shared" si="1729"/>
        <v>335</v>
      </c>
      <c r="CT278" s="23">
        <f t="shared" si="1730"/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30" x14ac:dyDescent="0.2">
      <c r="A279" s="3" t="str">
        <f t="shared" si="1955"/>
        <v>oprd_human_4N6H</v>
      </c>
      <c r="B279" s="3" t="s">
        <v>335</v>
      </c>
      <c r="C279" s="3" t="s">
        <v>87</v>
      </c>
      <c r="D279" s="3" t="str">
        <f>IFERROR(MID(VLOOKUP($B279,Seqs!$A:$B,2,0),E279,1),"")</f>
        <v>G</v>
      </c>
      <c r="E279" s="3">
        <v>39</v>
      </c>
      <c r="F279" s="3" t="str">
        <f>IFERROR(MID(VLOOKUP($B279,Seqs!$A:$B,2,0),G279,1),"")</f>
        <v>Y</v>
      </c>
      <c r="G279" s="3">
        <v>77</v>
      </c>
      <c r="H279" s="3" t="str">
        <f>IFERROR(MID(VLOOKUP($B279,Seqs!$A:$B,2,0),I279,1),"")</f>
        <v>T</v>
      </c>
      <c r="I279" s="23">
        <v>78</v>
      </c>
      <c r="J279" s="3" t="str">
        <f>IFERROR(MID(VLOOKUP($B279,Seqs!$A:$B,2,0),K279,1),"")</f>
        <v>K</v>
      </c>
      <c r="K279" s="23">
        <v>81</v>
      </c>
      <c r="L279" s="3" t="str">
        <f>IFERROR(MID(VLOOKUP($B279,Seqs!$A:$B,2,0),M279,1),"")</f>
        <v>T</v>
      </c>
      <c r="M279" s="3">
        <v>82</v>
      </c>
      <c r="N279" s="3" t="str">
        <f>IFERROR(MID(VLOOKUP($B279,Seqs!$A:$B,2,0),O279,1),"")</f>
        <v>M</v>
      </c>
      <c r="O279" s="3">
        <v>111</v>
      </c>
      <c r="P279" s="3" t="str">
        <f>IFERROR(MID(VLOOKUP($B279,Seqs!$A:$B,2,0),Q279,1),"")</f>
        <v>T</v>
      </c>
      <c r="Q279" s="3">
        <v>113</v>
      </c>
      <c r="R279" s="3" t="str">
        <f>IFERROR(MID(VLOOKUP($B279,Seqs!$A:$B,2,0),S279,1),"")</f>
        <v>F</v>
      </c>
      <c r="S279" s="3">
        <v>116</v>
      </c>
      <c r="T279" s="3" t="str">
        <f>IFERROR(MID(VLOOKUP($B279,Seqs!$A:$B,2,0),U279,1),"")</f>
        <v>G</v>
      </c>
      <c r="U279" s="3">
        <v>117</v>
      </c>
      <c r="V279" s="3" t="str">
        <f>IFERROR(MID(VLOOKUP($B279,Seqs!$A:$B,2,0),W279,1),"")</f>
        <v>H</v>
      </c>
      <c r="W279" s="3">
        <v>152</v>
      </c>
      <c r="X279" s="3" t="str">
        <f>IFERROR(MID(VLOOKUP($B279,Seqs!$A:$B,2,0),Y279,1),"")</f>
        <v>P</v>
      </c>
      <c r="Y279" s="3">
        <v>153</v>
      </c>
      <c r="Z279" s="3" t="str">
        <f>IFERROR(MID(VLOOKUP($B279,Seqs!$A:$B,2,0),AA279,1),"")</f>
        <v>R</v>
      </c>
      <c r="AA279" s="3">
        <v>160</v>
      </c>
      <c r="AB279" s="3" t="str">
        <f>IFERROR(MID(VLOOKUP($B279,Seqs!$A:$B,2,0),AC279,1),"")</f>
        <v>T</v>
      </c>
      <c r="AC279" s="9">
        <v>161</v>
      </c>
      <c r="AD279" s="3" t="str">
        <f>IFERROR(MID(VLOOKUP($B279,Seqs!$A:$B,2,0),AE279,1),"")</f>
        <v>A</v>
      </c>
      <c r="AE279" s="3">
        <v>187</v>
      </c>
      <c r="AF279" s="3" t="str">
        <f>IFERROR(MID(VLOOKUP($B279,Seqs!$A:$B,2,0),AG279,1),"")</f>
        <v>C</v>
      </c>
      <c r="AG279" s="3">
        <v>198</v>
      </c>
      <c r="AH279" s="3" t="str">
        <f>IFERROR(MID(VLOOKUP($B279,Seqs!$A:$B,2,0),AI279,1),"")</f>
        <v>L</v>
      </c>
      <c r="AI279" s="3">
        <v>200</v>
      </c>
      <c r="AJ279" s="3" t="str">
        <f>IFERROR(MID(VLOOKUP($B279,Seqs!$A:$B,2,0),AK279,1),"")</f>
        <v>S</v>
      </c>
      <c r="AK279" s="3">
        <v>206</v>
      </c>
      <c r="AL279" s="3" t="str">
        <f>IFERROR(MID(VLOOKUP($B279,Seqs!$A:$B,2,0),AM279,1),"")</f>
        <v>V</v>
      </c>
      <c r="AM279" s="3">
        <v>243</v>
      </c>
      <c r="AN279" s="3" t="str">
        <f>IFERROR(MID(VLOOKUP($B279,Seqs!$A:$B,2,0),AO279,1),"")</f>
        <v>S</v>
      </c>
      <c r="AO279" s="3">
        <v>249</v>
      </c>
      <c r="AP279" s="3" t="str">
        <f>IFERROR(MID(VLOOKUP($B279,Seqs!$A:$B,2,0),AQ279,1),"")</f>
        <v>V</v>
      </c>
      <c r="AQ279" s="3">
        <v>287</v>
      </c>
      <c r="AR279" s="3" t="str">
        <f>IFERROR(MID(VLOOKUP($B279,Seqs!$A:$B,2,0),AS279,1),"")</f>
        <v>D</v>
      </c>
      <c r="AS279" s="3">
        <v>293</v>
      </c>
      <c r="AT279" s="3" t="str">
        <f>IFERROR(MID(VLOOKUP($B279,Seqs!$A:$B,2,0),AU279,1),"")</f>
        <v>L</v>
      </c>
      <c r="AU279" s="3">
        <v>321</v>
      </c>
      <c r="AV279" s="3" t="str">
        <f>IFERROR(MID(VLOOKUP($B279,Seqs!$A:$B,2,0),AW279,1),"")</f>
        <v>D</v>
      </c>
      <c r="AW279" s="3">
        <v>322</v>
      </c>
      <c r="AX279" s="3" t="str">
        <f>IFERROR(MID(VLOOKUP($B279,Seqs!$A:$B,2,0),AY279,1),"")</f>
        <v>K</v>
      </c>
      <c r="AY279" s="3">
        <v>335</v>
      </c>
      <c r="AZ279" s="77" t="str">
        <f>VLOOKUP(B279,Classification!A:D,2,0)</f>
        <v>A</v>
      </c>
      <c r="BA279" s="94" t="str">
        <f>VLOOKUP(B279,Classification!A:D,4,0)</f>
        <v>Opioid</v>
      </c>
      <c r="BB279" s="27" t="b">
        <f t="shared" si="1956"/>
        <v>1</v>
      </c>
      <c r="BC279" s="23">
        <f t="shared" si="1705"/>
        <v>271</v>
      </c>
      <c r="BD279" s="16" t="s">
        <v>1376</v>
      </c>
      <c r="BE279" s="3" t="s">
        <v>1374</v>
      </c>
      <c r="BF279" s="118">
        <v>1.8</v>
      </c>
      <c r="BG279" s="49" t="s">
        <v>1377</v>
      </c>
      <c r="BH279" s="49" t="s">
        <v>1377</v>
      </c>
      <c r="BJ279" s="70" t="s">
        <v>1287</v>
      </c>
      <c r="BK279" s="57" t="s">
        <v>1287</v>
      </c>
      <c r="BL279" s="57" t="s">
        <v>1287</v>
      </c>
      <c r="BM279" s="57" t="s">
        <v>1287</v>
      </c>
      <c r="BN279" s="57" t="s">
        <v>1287</v>
      </c>
      <c r="BO279" s="57" t="s">
        <v>1287</v>
      </c>
      <c r="BP279" s="57" t="s">
        <v>1287</v>
      </c>
      <c r="BQ279" s="57" t="s">
        <v>1287</v>
      </c>
      <c r="BR279" s="57" t="s">
        <v>1287</v>
      </c>
      <c r="BS279" s="57" t="s">
        <v>1287</v>
      </c>
      <c r="BT279" s="57" t="s">
        <v>1287</v>
      </c>
      <c r="BU279" s="57" t="s">
        <v>1287</v>
      </c>
      <c r="BV279" s="70">
        <f t="shared" si="1706"/>
        <v>39</v>
      </c>
      <c r="BW279" s="71">
        <f t="shared" si="1707"/>
        <v>78</v>
      </c>
      <c r="BX279" s="72">
        <f t="shared" si="1708"/>
        <v>82</v>
      </c>
      <c r="BY279" s="71">
        <f t="shared" si="1709"/>
        <v>113</v>
      </c>
      <c r="BZ279" s="72">
        <f t="shared" si="1710"/>
        <v>117</v>
      </c>
      <c r="CA279" s="71">
        <f t="shared" si="1711"/>
        <v>153</v>
      </c>
      <c r="CB279" s="72">
        <f t="shared" si="1712"/>
        <v>161</v>
      </c>
      <c r="CC279" s="71">
        <f t="shared" si="1713"/>
        <v>198</v>
      </c>
      <c r="CD279" s="72">
        <f t="shared" si="1714"/>
        <v>206</v>
      </c>
      <c r="CE279" s="71">
        <f t="shared" si="1715"/>
        <v>249</v>
      </c>
      <c r="CF279" s="72">
        <f t="shared" si="1716"/>
        <v>293</v>
      </c>
      <c r="CG279" s="71">
        <f t="shared" si="1717"/>
        <v>322</v>
      </c>
      <c r="CH279" s="70">
        <f t="shared" si="1718"/>
        <v>77</v>
      </c>
      <c r="CI279" s="71">
        <f t="shared" si="1719"/>
        <v>81</v>
      </c>
      <c r="CJ279" s="72">
        <f t="shared" si="1720"/>
        <v>111</v>
      </c>
      <c r="CK279" s="72">
        <f t="shared" si="1721"/>
        <v>116</v>
      </c>
      <c r="CL279" s="72">
        <f t="shared" si="1722"/>
        <v>152</v>
      </c>
      <c r="CM279" s="72">
        <f t="shared" si="1723"/>
        <v>160</v>
      </c>
      <c r="CN279" s="72">
        <f t="shared" si="1724"/>
        <v>187</v>
      </c>
      <c r="CO279" s="72">
        <f t="shared" si="1725"/>
        <v>200</v>
      </c>
      <c r="CP279" s="72">
        <f t="shared" si="1726"/>
        <v>243</v>
      </c>
      <c r="CQ279" s="72">
        <f t="shared" si="1727"/>
        <v>287</v>
      </c>
      <c r="CR279" s="72">
        <f t="shared" si="1728"/>
        <v>321</v>
      </c>
      <c r="CS279" s="72">
        <f t="shared" si="1729"/>
        <v>335</v>
      </c>
      <c r="CT279" s="23">
        <f t="shared" si="1730"/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30" s="2" customFormat="1" x14ac:dyDescent="0.2">
      <c r="A280" s="3" t="str">
        <f t="shared" si="1955"/>
        <v>oprd_human_4RWD</v>
      </c>
      <c r="B280" s="1" t="s">
        <v>335</v>
      </c>
      <c r="C280" s="1" t="s">
        <v>1338</v>
      </c>
      <c r="D280" s="3" t="str">
        <f>IFERROR(MID(VLOOKUP($B280,Seqs!$A:$B,2,0),E280,1),"")</f>
        <v>A</v>
      </c>
      <c r="E280" s="3">
        <v>43</v>
      </c>
      <c r="F280" s="3" t="str">
        <f>IFERROR(MID(VLOOKUP($B280,Seqs!$A:$B,2,0),G280,1),"")</f>
        <v>Y</v>
      </c>
      <c r="G280" s="3">
        <v>77</v>
      </c>
      <c r="H280" s="3" t="str">
        <f>IFERROR(MID(VLOOKUP($B280,Seqs!$A:$B,2,0),I280,1),"")</f>
        <v>T</v>
      </c>
      <c r="I280" s="23">
        <v>78</v>
      </c>
      <c r="J280" s="3" t="str">
        <f>IFERROR(MID(VLOOKUP($B280,Seqs!$A:$B,2,0),K280,1),"")</f>
        <v>K</v>
      </c>
      <c r="K280" s="23">
        <v>81</v>
      </c>
      <c r="L280" s="3" t="str">
        <f>IFERROR(MID(VLOOKUP($B280,Seqs!$A:$B,2,0),M280,1),"")</f>
        <v>T</v>
      </c>
      <c r="M280" s="3">
        <v>82</v>
      </c>
      <c r="N280" s="3" t="str">
        <f>IFERROR(MID(VLOOKUP($B280,Seqs!$A:$B,2,0),O280,1),"")</f>
        <v>M</v>
      </c>
      <c r="O280" s="3">
        <v>111</v>
      </c>
      <c r="P280" s="3" t="str">
        <f>IFERROR(MID(VLOOKUP($B280,Seqs!$A:$B,2,0),Q280,1),"")</f>
        <v>T</v>
      </c>
      <c r="Q280" s="3">
        <v>113</v>
      </c>
      <c r="R280" s="3" t="str">
        <f>IFERROR(MID(VLOOKUP($B280,Seqs!$A:$B,2,0),S280,1),"")</f>
        <v>F</v>
      </c>
      <c r="S280" s="3">
        <v>116</v>
      </c>
      <c r="T280" s="3" t="str">
        <f>IFERROR(MID(VLOOKUP($B280,Seqs!$A:$B,2,0),U280,1),"")</f>
        <v>G</v>
      </c>
      <c r="U280" s="3">
        <v>117</v>
      </c>
      <c r="V280" s="3" t="str">
        <f>IFERROR(MID(VLOOKUP($B280,Seqs!$A:$B,2,0),W280,1),"")</f>
        <v>H</v>
      </c>
      <c r="W280" s="3">
        <v>152</v>
      </c>
      <c r="X280" s="3" t="str">
        <f>IFERROR(MID(VLOOKUP($B280,Seqs!$A:$B,2,0),Y280,1),"")</f>
        <v>P</v>
      </c>
      <c r="Y280" s="3">
        <v>153</v>
      </c>
      <c r="Z280" s="3" t="str">
        <f>IFERROR(MID(VLOOKUP($B280,Seqs!$A:$B,2,0),AA280,1),"")</f>
        <v>R</v>
      </c>
      <c r="AA280" s="3">
        <v>160</v>
      </c>
      <c r="AB280" s="3" t="str">
        <f>IFERROR(MID(VLOOKUP($B280,Seqs!$A:$B,2,0),AC280,1),"")</f>
        <v>T</v>
      </c>
      <c r="AC280" s="9">
        <v>161</v>
      </c>
      <c r="AD280" s="3" t="str">
        <f>IFERROR(MID(VLOOKUP($B280,Seqs!$A:$B,2,0),AE280,1),"")</f>
        <v>A</v>
      </c>
      <c r="AE280" s="3">
        <v>187</v>
      </c>
      <c r="AF280" s="3" t="str">
        <f>IFERROR(MID(VLOOKUP($B280,Seqs!$A:$B,2,0),AG280,1),"")</f>
        <v>C</v>
      </c>
      <c r="AG280" s="3">
        <v>198</v>
      </c>
      <c r="AH280" s="3" t="str">
        <f>IFERROR(MID(VLOOKUP($B280,Seqs!$A:$B,2,0),AI280,1),"")</f>
        <v>L</v>
      </c>
      <c r="AI280" s="3">
        <v>200</v>
      </c>
      <c r="AJ280" s="3" t="str">
        <f>IFERROR(MID(VLOOKUP($B280,Seqs!$A:$B,2,0),AK280,1),"")</f>
        <v>S</v>
      </c>
      <c r="AK280" s="3">
        <v>206</v>
      </c>
      <c r="AL280" s="3" t="str">
        <f>IFERROR(MID(VLOOKUP($B280,Seqs!$A:$B,2,0),AM280,1),"")</f>
        <v>V</v>
      </c>
      <c r="AM280" s="3">
        <v>243</v>
      </c>
      <c r="AN280" s="3" t="str">
        <f>IFERROR(MID(VLOOKUP($B280,Seqs!$A:$B,2,0),AO280,1),"")</f>
        <v>S</v>
      </c>
      <c r="AO280" s="3">
        <v>249</v>
      </c>
      <c r="AP280" s="3" t="str">
        <f>IFERROR(MID(VLOOKUP($B280,Seqs!$A:$B,2,0),AQ280,1),"")</f>
        <v>V</v>
      </c>
      <c r="AQ280" s="3">
        <v>287</v>
      </c>
      <c r="AR280" s="3" t="str">
        <f>IFERROR(MID(VLOOKUP($B280,Seqs!$A:$B,2,0),AS280,1),"")</f>
        <v>D</v>
      </c>
      <c r="AS280" s="3">
        <v>293</v>
      </c>
      <c r="AT280" s="3" t="str">
        <f>IFERROR(MID(VLOOKUP($B280,Seqs!$A:$B,2,0),AU280,1),"")</f>
        <v>L</v>
      </c>
      <c r="AU280" s="3">
        <v>321</v>
      </c>
      <c r="AV280" s="3" t="str">
        <f>IFERROR(MID(VLOOKUP($B280,Seqs!$A:$B,2,0),AW280,1),"")</f>
        <v>D</v>
      </c>
      <c r="AW280" s="3">
        <v>322</v>
      </c>
      <c r="AX280" s="3" t="str">
        <f>IFERROR(MID(VLOOKUP($B280,Seqs!$A:$B,2,0),AY280,1),"")</f>
        <v>C</v>
      </c>
      <c r="AY280" s="3">
        <v>333</v>
      </c>
      <c r="AZ280" s="77" t="str">
        <f>VLOOKUP(B280,Classification!A:D,2,0)</f>
        <v>A</v>
      </c>
      <c r="BA280" s="94" t="str">
        <f>VLOOKUP(B280,Classification!A:D,4,0)</f>
        <v>Opioid</v>
      </c>
      <c r="BB280" s="27" t="b">
        <f t="shared" si="1956"/>
        <v>1</v>
      </c>
      <c r="BC280" s="23">
        <f t="shared" si="1705"/>
        <v>265</v>
      </c>
      <c r="BD280" s="16" t="s">
        <v>23</v>
      </c>
      <c r="BE280" s="3" t="s">
        <v>1374</v>
      </c>
      <c r="BF280" s="118">
        <v>2.7</v>
      </c>
      <c r="BG280" s="49" t="s">
        <v>1377</v>
      </c>
      <c r="BH280" s="49" t="s">
        <v>1377</v>
      </c>
      <c r="BI280" s="3"/>
      <c r="BJ280" s="70" t="s">
        <v>1287</v>
      </c>
      <c r="BK280" s="57" t="s">
        <v>1287</v>
      </c>
      <c r="BL280" s="57" t="s">
        <v>1287</v>
      </c>
      <c r="BM280" s="57" t="s">
        <v>1287</v>
      </c>
      <c r="BN280" s="57" t="s">
        <v>1287</v>
      </c>
      <c r="BO280" s="57" t="s">
        <v>1287</v>
      </c>
      <c r="BP280" s="57" t="s">
        <v>1287</v>
      </c>
      <c r="BQ280" s="57" t="s">
        <v>1287</v>
      </c>
      <c r="BR280" s="57" t="s">
        <v>1287</v>
      </c>
      <c r="BS280" s="57" t="s">
        <v>1287</v>
      </c>
      <c r="BT280" s="57" t="s">
        <v>1287</v>
      </c>
      <c r="BU280" s="57" t="s">
        <v>1287</v>
      </c>
      <c r="BV280" s="70">
        <f t="shared" si="1706"/>
        <v>43</v>
      </c>
      <c r="BW280" s="71">
        <f t="shared" si="1707"/>
        <v>78</v>
      </c>
      <c r="BX280" s="72">
        <f t="shared" si="1708"/>
        <v>82</v>
      </c>
      <c r="BY280" s="71">
        <f t="shared" si="1709"/>
        <v>113</v>
      </c>
      <c r="BZ280" s="72">
        <f t="shared" si="1710"/>
        <v>117</v>
      </c>
      <c r="CA280" s="71">
        <f t="shared" si="1711"/>
        <v>153</v>
      </c>
      <c r="CB280" s="72">
        <f t="shared" si="1712"/>
        <v>161</v>
      </c>
      <c r="CC280" s="71">
        <f t="shared" si="1713"/>
        <v>198</v>
      </c>
      <c r="CD280" s="72">
        <f t="shared" si="1714"/>
        <v>206</v>
      </c>
      <c r="CE280" s="71">
        <f t="shared" si="1715"/>
        <v>249</v>
      </c>
      <c r="CF280" s="72">
        <f t="shared" si="1716"/>
        <v>293</v>
      </c>
      <c r="CG280" s="71">
        <f t="shared" si="1717"/>
        <v>322</v>
      </c>
      <c r="CH280" s="70">
        <f t="shared" si="1718"/>
        <v>77</v>
      </c>
      <c r="CI280" s="71">
        <f t="shared" si="1719"/>
        <v>81</v>
      </c>
      <c r="CJ280" s="72">
        <f t="shared" si="1720"/>
        <v>111</v>
      </c>
      <c r="CK280" s="72">
        <f t="shared" si="1721"/>
        <v>116</v>
      </c>
      <c r="CL280" s="72">
        <f t="shared" si="1722"/>
        <v>152</v>
      </c>
      <c r="CM280" s="72">
        <f t="shared" si="1723"/>
        <v>160</v>
      </c>
      <c r="CN280" s="72">
        <f t="shared" si="1724"/>
        <v>187</v>
      </c>
      <c r="CO280" s="72">
        <f t="shared" si="1725"/>
        <v>200</v>
      </c>
      <c r="CP280" s="72">
        <f t="shared" si="1726"/>
        <v>243</v>
      </c>
      <c r="CQ280" s="72">
        <f t="shared" si="1727"/>
        <v>287</v>
      </c>
      <c r="CR280" s="72">
        <f t="shared" si="1728"/>
        <v>321</v>
      </c>
      <c r="CS280" s="72">
        <f t="shared" si="1729"/>
        <v>333</v>
      </c>
      <c r="CT280" s="23">
        <f t="shared" si="1730"/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</row>
    <row r="281" spans="1:1030" s="2" customFormat="1" x14ac:dyDescent="0.2">
      <c r="A281" s="3" t="str">
        <f t="shared" si="1955"/>
        <v>oprd_mouse__wt</v>
      </c>
      <c r="B281" s="3" t="s">
        <v>915</v>
      </c>
      <c r="C281" s="3" t="s">
        <v>100</v>
      </c>
      <c r="D281" s="3" t="str">
        <f>IFERROR(MID(VLOOKUP($B281,Seqs!$A:$B,2,0),E281,1),"")</f>
        <v>R</v>
      </c>
      <c r="E281" s="3">
        <v>41</v>
      </c>
      <c r="F281" s="3" t="str">
        <f>IFERROR(MID(VLOOKUP($B281,Seqs!$A:$B,2,0),G281,1),"")</f>
        <v>Y</v>
      </c>
      <c r="G281" s="3">
        <v>77</v>
      </c>
      <c r="H281" s="3" t="str">
        <f>IFERROR(MID(VLOOKUP($B281,Seqs!$A:$B,2,0),I281,1),"")</f>
        <v>T</v>
      </c>
      <c r="I281" s="23">
        <v>78</v>
      </c>
      <c r="J281" s="3" t="str">
        <f>IFERROR(MID(VLOOKUP($B281,Seqs!$A:$B,2,0),K281,1),"")</f>
        <v>K</v>
      </c>
      <c r="K281" s="23">
        <v>81</v>
      </c>
      <c r="L281" s="3" t="str">
        <f>IFERROR(MID(VLOOKUP($B281,Seqs!$A:$B,2,0),M281,1),"")</f>
        <v>T</v>
      </c>
      <c r="M281" s="3">
        <v>82</v>
      </c>
      <c r="N281" s="3" t="str">
        <f>IFERROR(MID(VLOOKUP($B281,Seqs!$A:$B,2,0),O281,1),"")</f>
        <v>M</v>
      </c>
      <c r="O281" s="3">
        <v>111</v>
      </c>
      <c r="P281" s="3" t="str">
        <f>IFERROR(MID(VLOOKUP($B281,Seqs!$A:$B,2,0),Q281,1),"")</f>
        <v>T</v>
      </c>
      <c r="Q281" s="3">
        <v>113</v>
      </c>
      <c r="R281" s="3" t="str">
        <f>IFERROR(MID(VLOOKUP($B281,Seqs!$A:$B,2,0),S281,1),"")</f>
        <v>F</v>
      </c>
      <c r="S281" s="3">
        <v>116</v>
      </c>
      <c r="T281" s="3" t="str">
        <f>IFERROR(MID(VLOOKUP($B281,Seqs!$A:$B,2,0),U281,1),"")</f>
        <v>G</v>
      </c>
      <c r="U281" s="3">
        <v>117</v>
      </c>
      <c r="V281" s="3" t="str">
        <f>IFERROR(MID(VLOOKUP($B281,Seqs!$A:$B,2,0),W281,1),"")</f>
        <v>H</v>
      </c>
      <c r="W281" s="3">
        <v>152</v>
      </c>
      <c r="X281" s="3" t="str">
        <f>IFERROR(MID(VLOOKUP($B281,Seqs!$A:$B,2,0),Y281,1),"")</f>
        <v>P</v>
      </c>
      <c r="Y281" s="3">
        <v>153</v>
      </c>
      <c r="Z281" s="3" t="str">
        <f>IFERROR(MID(VLOOKUP($B281,Seqs!$A:$B,2,0),AA281,1),"")</f>
        <v>R</v>
      </c>
      <c r="AA281" s="3">
        <v>160</v>
      </c>
      <c r="AB281" s="3" t="str">
        <f>IFERROR(MID(VLOOKUP($B281,Seqs!$A:$B,2,0),AC281,1),"")</f>
        <v>T</v>
      </c>
      <c r="AC281" s="9">
        <v>161</v>
      </c>
      <c r="AD281" s="3" t="str">
        <f>IFERROR(MID(VLOOKUP($B281,Seqs!$A:$B,2,0),AE281,1),"")</f>
        <v>A</v>
      </c>
      <c r="AE281" s="3">
        <v>187</v>
      </c>
      <c r="AF281" s="3" t="str">
        <f>IFERROR(MID(VLOOKUP($B281,Seqs!$A:$B,2,0),AG281,1),"")</f>
        <v>C</v>
      </c>
      <c r="AG281" s="3">
        <v>198</v>
      </c>
      <c r="AH281" s="3" t="str">
        <f>IFERROR(MID(VLOOKUP($B281,Seqs!$A:$B,2,0),AI281,1),"")</f>
        <v>L</v>
      </c>
      <c r="AI281" s="3">
        <v>200</v>
      </c>
      <c r="AJ281" s="3" t="str">
        <f>IFERROR(MID(VLOOKUP($B281,Seqs!$A:$B,2,0),AK281,1),"")</f>
        <v>S</v>
      </c>
      <c r="AK281" s="3">
        <v>206</v>
      </c>
      <c r="AL281" s="3" t="str">
        <f>IFERROR(MID(VLOOKUP($B281,Seqs!$A:$B,2,0),AM281,1),"")</f>
        <v>V</v>
      </c>
      <c r="AM281" s="3">
        <v>243</v>
      </c>
      <c r="AN281" s="3" t="str">
        <f>IFERROR(MID(VLOOKUP($B281,Seqs!$A:$B,2,0),AO281,1),"")</f>
        <v>S</v>
      </c>
      <c r="AO281" s="3">
        <v>249</v>
      </c>
      <c r="AP281" s="3" t="str">
        <f>IFERROR(MID(VLOOKUP($B281,Seqs!$A:$B,2,0),AQ281,1),"")</f>
        <v>V</v>
      </c>
      <c r="AQ281" s="3">
        <v>287</v>
      </c>
      <c r="AR281" s="3" t="str">
        <f>IFERROR(MID(VLOOKUP($B281,Seqs!$A:$B,2,0),AS281,1),"")</f>
        <v>D</v>
      </c>
      <c r="AS281" s="3">
        <v>293</v>
      </c>
      <c r="AT281" s="3" t="str">
        <f>IFERROR(MID(VLOOKUP($B281,Seqs!$A:$B,2,0),AU281,1),"")</f>
        <v>L</v>
      </c>
      <c r="AU281" s="3">
        <v>321</v>
      </c>
      <c r="AV281" s="3" t="str">
        <f>IFERROR(MID(VLOOKUP($B281,Seqs!$A:$B,2,0),AW281,1),"")</f>
        <v>D</v>
      </c>
      <c r="AW281" s="3">
        <v>322</v>
      </c>
      <c r="AX281" s="3" t="str">
        <f>IFERROR(MID(VLOOKUP($B281,Seqs!$A:$B,2,0),AY281,1),"")</f>
        <v>T</v>
      </c>
      <c r="AY281" s="3">
        <v>335</v>
      </c>
      <c r="AZ281" s="77" t="str">
        <f>VLOOKUP(B281,Classification!A:D,2,0)</f>
        <v>A</v>
      </c>
      <c r="BA281" s="94" t="str">
        <f>VLOOKUP(B281,Classification!A:D,4,0)</f>
        <v>Opioid</v>
      </c>
      <c r="BB281" s="27" t="b">
        <f t="shared" si="1956"/>
        <v>1</v>
      </c>
      <c r="BC281" s="23">
        <f t="shared" si="1705"/>
        <v>269</v>
      </c>
      <c r="BD281" s="56" t="s">
        <v>23</v>
      </c>
      <c r="BE281" s="3" t="s">
        <v>23</v>
      </c>
      <c r="BF281" s="118" t="s">
        <v>23</v>
      </c>
      <c r="BG281" s="49" t="s">
        <v>1372</v>
      </c>
      <c r="BH281" s="49" t="s">
        <v>1377</v>
      </c>
      <c r="BI281" s="1"/>
      <c r="BJ281" s="70" t="s">
        <v>1287</v>
      </c>
      <c r="BK281" s="57" t="s">
        <v>1287</v>
      </c>
      <c r="BL281" s="57" t="s">
        <v>1287</v>
      </c>
      <c r="BM281" s="57" t="s">
        <v>1287</v>
      </c>
      <c r="BN281" s="57" t="s">
        <v>1287</v>
      </c>
      <c r="BO281" s="57" t="s">
        <v>1287</v>
      </c>
      <c r="BP281" s="57" t="s">
        <v>1287</v>
      </c>
      <c r="BQ281" s="57" t="s">
        <v>1287</v>
      </c>
      <c r="BR281" s="57" t="s">
        <v>1287</v>
      </c>
      <c r="BS281" s="57" t="s">
        <v>1287</v>
      </c>
      <c r="BT281" s="57" t="s">
        <v>1287</v>
      </c>
      <c r="BU281" s="57" t="s">
        <v>1287</v>
      </c>
      <c r="BV281" s="70">
        <f t="shared" si="1706"/>
        <v>41</v>
      </c>
      <c r="BW281" s="71">
        <f t="shared" si="1707"/>
        <v>78</v>
      </c>
      <c r="BX281" s="72">
        <f t="shared" si="1708"/>
        <v>82</v>
      </c>
      <c r="BY281" s="71">
        <f t="shared" si="1709"/>
        <v>113</v>
      </c>
      <c r="BZ281" s="72">
        <f t="shared" si="1710"/>
        <v>117</v>
      </c>
      <c r="CA281" s="71">
        <f t="shared" si="1711"/>
        <v>153</v>
      </c>
      <c r="CB281" s="72">
        <f t="shared" si="1712"/>
        <v>161</v>
      </c>
      <c r="CC281" s="71">
        <f t="shared" si="1713"/>
        <v>198</v>
      </c>
      <c r="CD281" s="72">
        <f t="shared" si="1714"/>
        <v>206</v>
      </c>
      <c r="CE281" s="71">
        <f t="shared" si="1715"/>
        <v>249</v>
      </c>
      <c r="CF281" s="72">
        <f t="shared" si="1716"/>
        <v>293</v>
      </c>
      <c r="CG281" s="71">
        <f t="shared" si="1717"/>
        <v>322</v>
      </c>
      <c r="CH281" s="70">
        <f t="shared" si="1718"/>
        <v>77</v>
      </c>
      <c r="CI281" s="71">
        <f t="shared" si="1719"/>
        <v>81</v>
      </c>
      <c r="CJ281" s="72">
        <f t="shared" si="1720"/>
        <v>111</v>
      </c>
      <c r="CK281" s="72">
        <f t="shared" si="1721"/>
        <v>116</v>
      </c>
      <c r="CL281" s="72">
        <f t="shared" si="1722"/>
        <v>152</v>
      </c>
      <c r="CM281" s="72">
        <f t="shared" si="1723"/>
        <v>160</v>
      </c>
      <c r="CN281" s="72">
        <f t="shared" si="1724"/>
        <v>187</v>
      </c>
      <c r="CO281" s="72">
        <f t="shared" si="1725"/>
        <v>200</v>
      </c>
      <c r="CP281" s="72">
        <f t="shared" si="1726"/>
        <v>243</v>
      </c>
      <c r="CQ281" s="72">
        <f t="shared" si="1727"/>
        <v>287</v>
      </c>
      <c r="CR281" s="72">
        <f t="shared" si="1728"/>
        <v>321</v>
      </c>
      <c r="CS281" s="72">
        <f t="shared" si="1729"/>
        <v>335</v>
      </c>
      <c r="CT281" s="23">
        <f t="shared" si="1730"/>
        <v>1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</row>
    <row r="282" spans="1:1030" s="2" customFormat="1" x14ac:dyDescent="0.2">
      <c r="A282" s="3" t="str">
        <f t="shared" si="1955"/>
        <v>oprd_mouse_4EJ4</v>
      </c>
      <c r="B282" s="3" t="s">
        <v>915</v>
      </c>
      <c r="C282" s="3" t="s">
        <v>64</v>
      </c>
      <c r="D282" s="3" t="str">
        <f>IFERROR(MID(VLOOKUP($B282,Seqs!$A:$B,2,0),E282,1),"")</f>
        <v>R</v>
      </c>
      <c r="E282" s="3">
        <v>41</v>
      </c>
      <c r="F282" s="3" t="str">
        <f>IFERROR(MID(VLOOKUP($B282,Seqs!$A:$B,2,0),G282,1),"")</f>
        <v>Y</v>
      </c>
      <c r="G282" s="3">
        <v>77</v>
      </c>
      <c r="H282" s="3" t="str">
        <f>IFERROR(MID(VLOOKUP($B282,Seqs!$A:$B,2,0),I282,1),"")</f>
        <v>T</v>
      </c>
      <c r="I282" s="23">
        <v>78</v>
      </c>
      <c r="J282" s="3" t="str">
        <f>IFERROR(MID(VLOOKUP($B282,Seqs!$A:$B,2,0),K282,1),"")</f>
        <v>K</v>
      </c>
      <c r="K282" s="23">
        <v>81</v>
      </c>
      <c r="L282" s="3" t="str">
        <f>IFERROR(MID(VLOOKUP($B282,Seqs!$A:$B,2,0),M282,1),"")</f>
        <v>T</v>
      </c>
      <c r="M282" s="3">
        <v>82</v>
      </c>
      <c r="N282" s="3" t="str">
        <f>IFERROR(MID(VLOOKUP($B282,Seqs!$A:$B,2,0),O282,1),"")</f>
        <v>M</v>
      </c>
      <c r="O282" s="3">
        <v>111</v>
      </c>
      <c r="P282" s="3" t="str">
        <f>IFERROR(MID(VLOOKUP($B282,Seqs!$A:$B,2,0),Q282,1),"")</f>
        <v>T</v>
      </c>
      <c r="Q282" s="3">
        <v>113</v>
      </c>
      <c r="R282" s="3" t="str">
        <f>IFERROR(MID(VLOOKUP($B282,Seqs!$A:$B,2,0),S282,1),"")</f>
        <v>F</v>
      </c>
      <c r="S282" s="3">
        <v>116</v>
      </c>
      <c r="T282" s="3" t="str">
        <f>IFERROR(MID(VLOOKUP($B282,Seqs!$A:$B,2,0),U282,1),"")</f>
        <v>G</v>
      </c>
      <c r="U282" s="3">
        <v>117</v>
      </c>
      <c r="V282" s="3" t="str">
        <f>IFERROR(MID(VLOOKUP($B282,Seqs!$A:$B,2,0),W282,1),"")</f>
        <v>H</v>
      </c>
      <c r="W282" s="3">
        <v>152</v>
      </c>
      <c r="X282" s="3" t="str">
        <f>IFERROR(MID(VLOOKUP($B282,Seqs!$A:$B,2,0),Y282,1),"")</f>
        <v>P</v>
      </c>
      <c r="Y282" s="3">
        <v>153</v>
      </c>
      <c r="Z282" s="3" t="str">
        <f>IFERROR(MID(VLOOKUP($B282,Seqs!$A:$B,2,0),AA282,1),"")</f>
        <v>R</v>
      </c>
      <c r="AA282" s="3">
        <v>160</v>
      </c>
      <c r="AB282" s="3" t="str">
        <f>IFERROR(MID(VLOOKUP($B282,Seqs!$A:$B,2,0),AC282,1),"")</f>
        <v>T</v>
      </c>
      <c r="AC282" s="9">
        <v>161</v>
      </c>
      <c r="AD282" s="3" t="str">
        <f>IFERROR(MID(VLOOKUP($B282,Seqs!$A:$B,2,0),AE282,1),"")</f>
        <v>A</v>
      </c>
      <c r="AE282" s="3">
        <v>187</v>
      </c>
      <c r="AF282" s="3" t="str">
        <f>IFERROR(MID(VLOOKUP($B282,Seqs!$A:$B,2,0),AG282,1),"")</f>
        <v>C</v>
      </c>
      <c r="AG282" s="3">
        <v>198</v>
      </c>
      <c r="AH282" s="3" t="str">
        <f>IFERROR(MID(VLOOKUP($B282,Seqs!$A:$B,2,0),AI282,1),"")</f>
        <v>L</v>
      </c>
      <c r="AI282" s="3">
        <v>200</v>
      </c>
      <c r="AJ282" s="3" t="str">
        <f>IFERROR(MID(VLOOKUP($B282,Seqs!$A:$B,2,0),AK282,1),"")</f>
        <v>S</v>
      </c>
      <c r="AK282" s="3">
        <v>206</v>
      </c>
      <c r="AL282" s="3" t="str">
        <f>IFERROR(MID(VLOOKUP($B282,Seqs!$A:$B,2,0),AM282,1),"")</f>
        <v>L</v>
      </c>
      <c r="AM282" s="3">
        <v>238</v>
      </c>
      <c r="AN282" s="3" t="str">
        <f>IFERROR(MID(VLOOKUP($B282,Seqs!$A:$B,2,0),AO282,1),"")</f>
        <v>R</v>
      </c>
      <c r="AO282" s="3">
        <v>258</v>
      </c>
      <c r="AP282" s="3" t="str">
        <f>IFERROR(MID(VLOOKUP($B282,Seqs!$A:$B,2,0),AQ282,1),"")</f>
        <v>V</v>
      </c>
      <c r="AQ282" s="3">
        <v>287</v>
      </c>
      <c r="AR282" s="3" t="str">
        <f>IFERROR(MID(VLOOKUP($B282,Seqs!$A:$B,2,0),AS282,1),"")</f>
        <v>D</v>
      </c>
      <c r="AS282" s="3">
        <v>293</v>
      </c>
      <c r="AT282" s="3" t="str">
        <f>IFERROR(MID(VLOOKUP($B282,Seqs!$A:$B,2,0),AU282,1),"")</f>
        <v>L</v>
      </c>
      <c r="AU282" s="3">
        <v>321</v>
      </c>
      <c r="AV282" s="3" t="str">
        <f>IFERROR(MID(VLOOKUP($B282,Seqs!$A:$B,2,0),AW282,1),"")</f>
        <v>D</v>
      </c>
      <c r="AW282" s="3">
        <v>322</v>
      </c>
      <c r="AX282" s="3" t="str">
        <f>IFERROR(MID(VLOOKUP($B282,Seqs!$A:$B,2,0),AY282,1),"")</f>
        <v>C</v>
      </c>
      <c r="AY282" s="3">
        <v>328</v>
      </c>
      <c r="AZ282" s="77" t="str">
        <f>VLOOKUP(B282,Classification!A:D,2,0)</f>
        <v>A</v>
      </c>
      <c r="BA282" s="94" t="str">
        <f>VLOOKUP(B282,Classification!A:D,4,0)</f>
        <v>Opioid</v>
      </c>
      <c r="BB282" s="27" t="b">
        <f t="shared" si="1956"/>
        <v>1</v>
      </c>
      <c r="BC282" s="23">
        <f t="shared" si="1705"/>
        <v>248</v>
      </c>
      <c r="BD282" s="2" t="s">
        <v>23</v>
      </c>
      <c r="BE282" s="3" t="s">
        <v>1374</v>
      </c>
      <c r="BF282" s="118">
        <v>3.4</v>
      </c>
      <c r="BG282" s="49" t="s">
        <v>1377</v>
      </c>
      <c r="BH282" s="49" t="s">
        <v>1377</v>
      </c>
      <c r="BI282" s="1"/>
      <c r="BJ282" s="70" t="s">
        <v>1287</v>
      </c>
      <c r="BK282" s="57" t="s">
        <v>1287</v>
      </c>
      <c r="BL282" s="57" t="s">
        <v>1287</v>
      </c>
      <c r="BM282" s="57" t="s">
        <v>1287</v>
      </c>
      <c r="BN282" s="57" t="s">
        <v>1287</v>
      </c>
      <c r="BO282" s="57" t="s">
        <v>1287</v>
      </c>
      <c r="BP282" s="57" t="s">
        <v>1287</v>
      </c>
      <c r="BQ282" s="57" t="s">
        <v>1287</v>
      </c>
      <c r="BR282" s="57" t="s">
        <v>1287</v>
      </c>
      <c r="BS282" s="57" t="s">
        <v>1287</v>
      </c>
      <c r="BT282" s="57" t="s">
        <v>1287</v>
      </c>
      <c r="BU282" s="57" t="s">
        <v>1287</v>
      </c>
      <c r="BV282" s="70">
        <f t="shared" si="1706"/>
        <v>41</v>
      </c>
      <c r="BW282" s="71">
        <f t="shared" si="1707"/>
        <v>78</v>
      </c>
      <c r="BX282" s="72">
        <f t="shared" si="1708"/>
        <v>82</v>
      </c>
      <c r="BY282" s="71">
        <f t="shared" si="1709"/>
        <v>113</v>
      </c>
      <c r="BZ282" s="72">
        <f t="shared" si="1710"/>
        <v>117</v>
      </c>
      <c r="CA282" s="71">
        <f t="shared" si="1711"/>
        <v>153</v>
      </c>
      <c r="CB282" s="72">
        <f t="shared" si="1712"/>
        <v>161</v>
      </c>
      <c r="CC282" s="71">
        <f t="shared" si="1713"/>
        <v>198</v>
      </c>
      <c r="CD282" s="72">
        <f t="shared" si="1714"/>
        <v>206</v>
      </c>
      <c r="CE282" s="71">
        <f t="shared" si="1715"/>
        <v>258</v>
      </c>
      <c r="CF282" s="72">
        <f t="shared" si="1716"/>
        <v>293</v>
      </c>
      <c r="CG282" s="71">
        <f t="shared" si="1717"/>
        <v>322</v>
      </c>
      <c r="CH282" s="70">
        <f t="shared" si="1718"/>
        <v>77</v>
      </c>
      <c r="CI282" s="71">
        <f t="shared" si="1719"/>
        <v>81</v>
      </c>
      <c r="CJ282" s="72">
        <f t="shared" si="1720"/>
        <v>111</v>
      </c>
      <c r="CK282" s="72">
        <f t="shared" si="1721"/>
        <v>116</v>
      </c>
      <c r="CL282" s="72">
        <f t="shared" si="1722"/>
        <v>152</v>
      </c>
      <c r="CM282" s="72">
        <f t="shared" si="1723"/>
        <v>160</v>
      </c>
      <c r="CN282" s="72">
        <f t="shared" si="1724"/>
        <v>187</v>
      </c>
      <c r="CO282" s="72">
        <f t="shared" si="1725"/>
        <v>200</v>
      </c>
      <c r="CP282" s="72">
        <f t="shared" si="1726"/>
        <v>238</v>
      </c>
      <c r="CQ282" s="72">
        <f t="shared" si="1727"/>
        <v>287</v>
      </c>
      <c r="CR282" s="72">
        <f t="shared" si="1728"/>
        <v>321</v>
      </c>
      <c r="CS282" s="72">
        <f t="shared" si="1729"/>
        <v>328</v>
      </c>
      <c r="CT282" s="23">
        <f t="shared" si="1730"/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</row>
    <row r="283" spans="1:1030" x14ac:dyDescent="0.2">
      <c r="A283" s="3" t="str">
        <f t="shared" si="1955"/>
        <v>oprk_human__wt</v>
      </c>
      <c r="B283" s="3" t="s">
        <v>336</v>
      </c>
      <c r="C283" s="3" t="s">
        <v>100</v>
      </c>
      <c r="D283" s="3" t="str">
        <f>IFERROR(MID(VLOOKUP($B283,Seqs!$A:$B,2,0),E283,1),"")</f>
        <v>A</v>
      </c>
      <c r="E283" s="3">
        <v>57</v>
      </c>
      <c r="F283" s="3" t="str">
        <f>IFERROR(MID(VLOOKUP($B283,Seqs!$A:$B,2,0),G283,1),"")</f>
        <v>Y</v>
      </c>
      <c r="G283" s="3">
        <v>87</v>
      </c>
      <c r="H283" s="3" t="str">
        <f>IFERROR(MID(VLOOKUP($B283,Seqs!$A:$B,2,0),I283,1),"")</f>
        <v>T</v>
      </c>
      <c r="I283" s="23">
        <v>88</v>
      </c>
      <c r="J283" s="3" t="str">
        <f>IFERROR(MID(VLOOKUP($B283,Seqs!$A:$B,2,0),K283,1),"")</f>
        <v>K</v>
      </c>
      <c r="K283" s="23">
        <v>91</v>
      </c>
      <c r="L283" s="3" t="str">
        <f>IFERROR(MID(VLOOKUP($B283,Seqs!$A:$B,2,0),M283,1),"")</f>
        <v>T</v>
      </c>
      <c r="M283" s="3">
        <v>92</v>
      </c>
      <c r="N283" s="3" t="str">
        <f>IFERROR(MID(VLOOKUP($B283,Seqs!$A:$B,2,0),O283,1),"")</f>
        <v>N</v>
      </c>
      <c r="O283" s="105">
        <v>122</v>
      </c>
      <c r="P283" s="3" t="str">
        <f>IFERROR(MID(VLOOKUP($B283,Seqs!$A:$B,2,0),Q283,1),"")</f>
        <v>S</v>
      </c>
      <c r="Q283" s="3">
        <v>123</v>
      </c>
      <c r="R283" s="3" t="str">
        <f>IFERROR(MID(VLOOKUP($B283,Seqs!$A:$B,2,0),S283,1),"")</f>
        <v>F</v>
      </c>
      <c r="S283" s="3">
        <v>126</v>
      </c>
      <c r="T283" s="3" t="str">
        <f>IFERROR(MID(VLOOKUP($B283,Seqs!$A:$B,2,0),U283,1),"")</f>
        <v>G</v>
      </c>
      <c r="U283" s="3">
        <v>127</v>
      </c>
      <c r="V283" s="3" t="str">
        <f>IFERROR(MID(VLOOKUP($B283,Seqs!$A:$B,2,0),W283,1),"")</f>
        <v>H</v>
      </c>
      <c r="W283" s="3">
        <v>162</v>
      </c>
      <c r="X283" s="3" t="str">
        <f>IFERROR(MID(VLOOKUP($B283,Seqs!$A:$B,2,0),Y283,1),"")</f>
        <v>P</v>
      </c>
      <c r="Y283" s="3">
        <v>163</v>
      </c>
      <c r="Z283" s="3" t="str">
        <f>IFERROR(MID(VLOOKUP($B283,Seqs!$A:$B,2,0),AA283,1),"")</f>
        <v>R</v>
      </c>
      <c r="AA283" s="3">
        <v>170</v>
      </c>
      <c r="AB283" s="3" t="str">
        <f>IFERROR(MID(VLOOKUP($B283,Seqs!$A:$B,2,0),AC283,1),"")</f>
        <v>T</v>
      </c>
      <c r="AC283" s="9">
        <v>171</v>
      </c>
      <c r="AD283" s="3" t="str">
        <f>IFERROR(MID(VLOOKUP($B283,Seqs!$A:$B,2,0),AE283,1),"")</f>
        <v>G</v>
      </c>
      <c r="AE283" s="3">
        <v>197</v>
      </c>
      <c r="AF283" s="3" t="str">
        <f>IFERROR(MID(VLOOKUP($B283,Seqs!$A:$B,2,0),AG283,1),"")</f>
        <v>C</v>
      </c>
      <c r="AG283" s="3">
        <v>210</v>
      </c>
      <c r="AH283" s="3" t="str">
        <f>IFERROR(MID(VLOOKUP($B283,Seqs!$A:$B,2,0),AI283,1),"")</f>
        <v>L</v>
      </c>
      <c r="AI283" s="3">
        <v>212</v>
      </c>
      <c r="AJ283" s="3" t="str">
        <f>IFERROR(MID(VLOOKUP($B283,Seqs!$A:$B,2,0),AK283,1),"")</f>
        <v>D</v>
      </c>
      <c r="AK283" s="105">
        <v>218</v>
      </c>
      <c r="AL283" s="3" t="str">
        <f>IFERROR(MID(VLOOKUP($B283,Seqs!$A:$B,2,0),AM283,1),"")</f>
        <v>V</v>
      </c>
      <c r="AM283" s="3">
        <v>256</v>
      </c>
      <c r="AN283" s="3" t="str">
        <f>IFERROR(MID(VLOOKUP($B283,Seqs!$A:$B,2,0),AO283,1),"")</f>
        <v>S</v>
      </c>
      <c r="AO283" s="3">
        <v>262</v>
      </c>
      <c r="AP283" s="3" t="str">
        <f>IFERROR(MID(VLOOKUP($B283,Seqs!$A:$B,2,0),AQ283,1),"")</f>
        <v>G</v>
      </c>
      <c r="AQ283" s="3">
        <v>300</v>
      </c>
      <c r="AR283" s="3" t="str">
        <f>IFERROR(MID(VLOOKUP($B283,Seqs!$A:$B,2,0),AS283,1),"")</f>
        <v>S</v>
      </c>
      <c r="AS283" s="3">
        <v>305</v>
      </c>
      <c r="AT283" s="3" t="str">
        <f>IFERROR(MID(VLOOKUP($B283,Seqs!$A:$B,2,0),AU283,1),"")</f>
        <v>L</v>
      </c>
      <c r="AU283" s="3">
        <v>333</v>
      </c>
      <c r="AV283" s="3" t="str">
        <f>IFERROR(MID(VLOOKUP($B283,Seqs!$A:$B,2,0),AW283,1),"")</f>
        <v>D</v>
      </c>
      <c r="AW283" s="3">
        <v>334</v>
      </c>
      <c r="AX283" s="3" t="str">
        <f>IFERROR(MID(VLOOKUP($B283,Seqs!$A:$B,2,0),AY283,1),"")</f>
        <v>F</v>
      </c>
      <c r="AY283" s="3">
        <v>346</v>
      </c>
      <c r="AZ283" s="77" t="str">
        <f>VLOOKUP(B283,Classification!A:D,2,0)</f>
        <v>A</v>
      </c>
      <c r="BA283" s="94" t="str">
        <f>VLOOKUP(B283,Classification!A:D,4,0)</f>
        <v>Opioid</v>
      </c>
      <c r="BB283" s="27" t="b">
        <f t="shared" si="1956"/>
        <v>1</v>
      </c>
      <c r="BC283" s="23">
        <f t="shared" si="1705"/>
        <v>264</v>
      </c>
      <c r="BD283" s="56" t="s">
        <v>23</v>
      </c>
      <c r="BE283" s="3" t="s">
        <v>23</v>
      </c>
      <c r="BF283" s="118" t="s">
        <v>23</v>
      </c>
      <c r="BG283" s="49" t="s">
        <v>1372</v>
      </c>
      <c r="BH283" s="49" t="s">
        <v>1377</v>
      </c>
      <c r="BI283" s="1"/>
      <c r="BJ283" s="70" t="s">
        <v>1287</v>
      </c>
      <c r="BK283" s="57" t="s">
        <v>1287</v>
      </c>
      <c r="BL283" s="57" t="s">
        <v>1287</v>
      </c>
      <c r="BM283" s="57" t="s">
        <v>1287</v>
      </c>
      <c r="BN283" s="57" t="s">
        <v>1287</v>
      </c>
      <c r="BO283" s="57" t="s">
        <v>1287</v>
      </c>
      <c r="BP283" s="57" t="s">
        <v>1287</v>
      </c>
      <c r="BQ283" s="57" t="s">
        <v>1287</v>
      </c>
      <c r="BR283" s="57" t="s">
        <v>1287</v>
      </c>
      <c r="BS283" s="57" t="s">
        <v>1287</v>
      </c>
      <c r="BT283" s="57" t="s">
        <v>1287</v>
      </c>
      <c r="BU283" s="57" t="s">
        <v>1287</v>
      </c>
      <c r="BV283" s="70">
        <f t="shared" si="1706"/>
        <v>57</v>
      </c>
      <c r="BW283" s="71">
        <f t="shared" si="1707"/>
        <v>88</v>
      </c>
      <c r="BX283" s="72">
        <f t="shared" si="1708"/>
        <v>92</v>
      </c>
      <c r="BY283" s="71">
        <f t="shared" si="1709"/>
        <v>123</v>
      </c>
      <c r="BZ283" s="72">
        <f t="shared" si="1710"/>
        <v>127</v>
      </c>
      <c r="CA283" s="71">
        <f t="shared" si="1711"/>
        <v>163</v>
      </c>
      <c r="CB283" s="72">
        <f t="shared" si="1712"/>
        <v>171</v>
      </c>
      <c r="CC283" s="71">
        <f t="shared" si="1713"/>
        <v>210</v>
      </c>
      <c r="CD283" s="72">
        <f t="shared" si="1714"/>
        <v>218</v>
      </c>
      <c r="CE283" s="71">
        <f t="shared" si="1715"/>
        <v>262</v>
      </c>
      <c r="CF283" s="72">
        <f t="shared" si="1716"/>
        <v>305</v>
      </c>
      <c r="CG283" s="71">
        <f t="shared" si="1717"/>
        <v>334</v>
      </c>
      <c r="CH283" s="70">
        <f t="shared" si="1718"/>
        <v>87</v>
      </c>
      <c r="CI283" s="71">
        <f t="shared" si="1719"/>
        <v>91</v>
      </c>
      <c r="CJ283" s="72">
        <f t="shared" si="1720"/>
        <v>122</v>
      </c>
      <c r="CK283" s="72">
        <f t="shared" si="1721"/>
        <v>126</v>
      </c>
      <c r="CL283" s="72">
        <f t="shared" si="1722"/>
        <v>162</v>
      </c>
      <c r="CM283" s="72">
        <f t="shared" si="1723"/>
        <v>170</v>
      </c>
      <c r="CN283" s="72">
        <f t="shared" si="1724"/>
        <v>197</v>
      </c>
      <c r="CO283" s="72">
        <f t="shared" si="1725"/>
        <v>212</v>
      </c>
      <c r="CP283" s="72">
        <f t="shared" si="1726"/>
        <v>256</v>
      </c>
      <c r="CQ283" s="72">
        <f t="shared" si="1727"/>
        <v>300</v>
      </c>
      <c r="CR283" s="72">
        <f t="shared" si="1728"/>
        <v>333</v>
      </c>
      <c r="CS283" s="72">
        <f t="shared" si="1729"/>
        <v>346</v>
      </c>
      <c r="CT283" s="23">
        <f t="shared" si="1730"/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30" x14ac:dyDescent="0.2">
      <c r="A284" s="3" t="str">
        <f t="shared" si="1955"/>
        <v>oprk_human_4DJH</v>
      </c>
      <c r="B284" s="3" t="s">
        <v>336</v>
      </c>
      <c r="C284" s="3" t="s">
        <v>88</v>
      </c>
      <c r="D284" s="3" t="str">
        <f>IFERROR(MID(VLOOKUP($B284,Seqs!$A:$B,2,0),E284,1),"")</f>
        <v>A</v>
      </c>
      <c r="E284" s="3">
        <v>57</v>
      </c>
      <c r="F284" s="3" t="str">
        <f>IFERROR(MID(VLOOKUP($B284,Seqs!$A:$B,2,0),G284,1),"")</f>
        <v>Y</v>
      </c>
      <c r="G284" s="3">
        <v>87</v>
      </c>
      <c r="H284" s="3" t="str">
        <f>IFERROR(MID(VLOOKUP($B284,Seqs!$A:$B,2,0),I284,1),"")</f>
        <v>T</v>
      </c>
      <c r="I284" s="23">
        <v>88</v>
      </c>
      <c r="J284" s="3" t="str">
        <f>IFERROR(MID(VLOOKUP($B284,Seqs!$A:$B,2,0),K284,1),"")</f>
        <v>K</v>
      </c>
      <c r="K284" s="23">
        <v>91</v>
      </c>
      <c r="L284" s="3" t="str">
        <f>IFERROR(MID(VLOOKUP($B284,Seqs!$A:$B,2,0),M284,1),"")</f>
        <v>T</v>
      </c>
      <c r="M284" s="3">
        <v>92</v>
      </c>
      <c r="N284" s="3" t="str">
        <f>IFERROR(MID(VLOOKUP($B284,Seqs!$A:$B,2,0),O284,1),"")</f>
        <v>N</v>
      </c>
      <c r="O284" s="3">
        <v>122</v>
      </c>
      <c r="P284" s="3" t="str">
        <f>IFERROR(MID(VLOOKUP($B284,Seqs!$A:$B,2,0),Q284,1),"")</f>
        <v>S</v>
      </c>
      <c r="Q284" s="3">
        <v>123</v>
      </c>
      <c r="R284" s="3" t="str">
        <f>IFERROR(MID(VLOOKUP($B284,Seqs!$A:$B,2,0),S284,1),"")</f>
        <v>F</v>
      </c>
      <c r="S284" s="3">
        <v>126</v>
      </c>
      <c r="T284" s="3" t="str">
        <f>IFERROR(MID(VLOOKUP($B284,Seqs!$A:$B,2,0),U284,1),"")</f>
        <v>G</v>
      </c>
      <c r="U284" s="3">
        <v>127</v>
      </c>
      <c r="V284" s="3" t="str">
        <f>IFERROR(MID(VLOOKUP($B284,Seqs!$A:$B,2,0),W284,1),"")</f>
        <v>H</v>
      </c>
      <c r="W284" s="3">
        <v>162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R</v>
      </c>
      <c r="AC284" s="9">
        <v>170</v>
      </c>
      <c r="AD284" s="3" t="str">
        <f>IFERROR(MID(VLOOKUP($B284,Seqs!$A:$B,2,0),AE284,1),"")</f>
        <v>G</v>
      </c>
      <c r="AE284" s="3">
        <v>197</v>
      </c>
      <c r="AF284" s="3" t="str">
        <f>IFERROR(MID(VLOOKUP($B284,Seqs!$A:$B,2,0),AG284,1),"")</f>
        <v>C</v>
      </c>
      <c r="AG284" s="3">
        <v>210</v>
      </c>
      <c r="AH284" s="3" t="str">
        <f>IFERROR(MID(VLOOKUP($B284,Seqs!$A:$B,2,0),AI284,1),"")</f>
        <v>L</v>
      </c>
      <c r="AI284" s="3">
        <v>212</v>
      </c>
      <c r="AJ284" s="3" t="str">
        <f>IFERROR(MID(VLOOKUP($B284,Seqs!$A:$B,2,0),AK284,1),"")</f>
        <v>D</v>
      </c>
      <c r="AK284" s="3">
        <v>218</v>
      </c>
      <c r="AL284" s="3" t="str">
        <f>IFERROR(MID(VLOOKUP($B284,Seqs!$A:$B,2,0),AM284,1),"")</f>
        <v>V</v>
      </c>
      <c r="AM284" s="3">
        <v>256</v>
      </c>
      <c r="AN284" s="3" t="str">
        <f>IFERROR(MID(VLOOKUP($B284,Seqs!$A:$B,2,0),AO284,1),"")</f>
        <v>R</v>
      </c>
      <c r="AO284" s="3">
        <v>267</v>
      </c>
      <c r="AP284" s="3" t="str">
        <f>IFERROR(MID(VLOOKUP($B284,Seqs!$A:$B,2,0),AQ284,1),"")</f>
        <v>G</v>
      </c>
      <c r="AQ284" s="3">
        <v>300</v>
      </c>
      <c r="AR284" s="3" t="str">
        <f>IFERROR(MID(VLOOKUP($B284,Seqs!$A:$B,2,0),AS284,1),"")</f>
        <v>A</v>
      </c>
      <c r="AS284" s="3">
        <v>308</v>
      </c>
      <c r="AT284" s="3" t="str">
        <f>IFERROR(MID(VLOOKUP($B284,Seqs!$A:$B,2,0),AU284,1),"")</f>
        <v>L</v>
      </c>
      <c r="AU284" s="3">
        <v>333</v>
      </c>
      <c r="AV284" s="3" t="str">
        <f>IFERROR(MID(VLOOKUP($B284,Seqs!$A:$B,2,0),AW284,1),"")</f>
        <v>D</v>
      </c>
      <c r="AW284" s="3">
        <v>334</v>
      </c>
      <c r="AX284" s="3" t="str">
        <f>IFERROR(MID(VLOOKUP($B284,Seqs!$A:$B,2,0),AY284,1),"")</f>
        <v>F</v>
      </c>
      <c r="AY284" s="3">
        <v>346</v>
      </c>
      <c r="AZ284" s="77" t="str">
        <f>VLOOKUP(B284,Classification!A:D,2,0)</f>
        <v>A</v>
      </c>
      <c r="BA284" s="94" t="str">
        <f>VLOOKUP(B284,Classification!A:D,4,0)</f>
        <v>Opioid</v>
      </c>
      <c r="BB284" s="27" t="b">
        <f t="shared" si="1956"/>
        <v>1</v>
      </c>
      <c r="BC284" s="23">
        <f t="shared" si="1705"/>
        <v>250</v>
      </c>
      <c r="BD284" s="2" t="s">
        <v>23</v>
      </c>
      <c r="BE284" s="3" t="s">
        <v>1374</v>
      </c>
      <c r="BF284" s="118">
        <v>2.9</v>
      </c>
      <c r="BG284" s="49" t="s">
        <v>1377</v>
      </c>
      <c r="BH284" s="49" t="s">
        <v>1377</v>
      </c>
      <c r="BI284" s="1"/>
      <c r="BJ284" s="70" t="s">
        <v>1287</v>
      </c>
      <c r="BK284" s="57" t="s">
        <v>1287</v>
      </c>
      <c r="BL284" s="57" t="s">
        <v>1287</v>
      </c>
      <c r="BM284" s="57" t="s">
        <v>1287</v>
      </c>
      <c r="BN284" s="57" t="s">
        <v>1287</v>
      </c>
      <c r="BO284" s="57" t="s">
        <v>1287</v>
      </c>
      <c r="BP284" s="57" t="s">
        <v>1287</v>
      </c>
      <c r="BQ284" s="57" t="s">
        <v>1287</v>
      </c>
      <c r="BR284" s="57" t="s">
        <v>1287</v>
      </c>
      <c r="BS284" s="57" t="s">
        <v>1287</v>
      </c>
      <c r="BT284" s="57" t="s">
        <v>1287</v>
      </c>
      <c r="BU284" s="57" t="s">
        <v>1287</v>
      </c>
      <c r="BV284" s="70">
        <f t="shared" si="1706"/>
        <v>57</v>
      </c>
      <c r="BW284" s="71">
        <f t="shared" si="1707"/>
        <v>88</v>
      </c>
      <c r="BX284" s="72">
        <f t="shared" si="1708"/>
        <v>92</v>
      </c>
      <c r="BY284" s="71">
        <f t="shared" si="1709"/>
        <v>123</v>
      </c>
      <c r="BZ284" s="72">
        <f t="shared" si="1710"/>
        <v>127</v>
      </c>
      <c r="CA284" s="71" t="str">
        <f t="shared" si="1711"/>
        <v>-</v>
      </c>
      <c r="CB284" s="72">
        <f t="shared" si="1712"/>
        <v>170</v>
      </c>
      <c r="CC284" s="71">
        <f t="shared" si="1713"/>
        <v>210</v>
      </c>
      <c r="CD284" s="72">
        <f t="shared" si="1714"/>
        <v>218</v>
      </c>
      <c r="CE284" s="71">
        <f t="shared" si="1715"/>
        <v>267</v>
      </c>
      <c r="CF284" s="72">
        <f t="shared" si="1716"/>
        <v>308</v>
      </c>
      <c r="CG284" s="71">
        <f t="shared" si="1717"/>
        <v>334</v>
      </c>
      <c r="CH284" s="70">
        <f t="shared" si="1718"/>
        <v>87</v>
      </c>
      <c r="CI284" s="71">
        <f t="shared" si="1719"/>
        <v>91</v>
      </c>
      <c r="CJ284" s="72">
        <f t="shared" si="1720"/>
        <v>122</v>
      </c>
      <c r="CK284" s="72">
        <f t="shared" si="1721"/>
        <v>126</v>
      </c>
      <c r="CL284" s="72">
        <f t="shared" si="1722"/>
        <v>162</v>
      </c>
      <c r="CM284" s="72" t="str">
        <f t="shared" si="1723"/>
        <v>-</v>
      </c>
      <c r="CN284" s="72">
        <f t="shared" si="1724"/>
        <v>197</v>
      </c>
      <c r="CO284" s="72">
        <f t="shared" si="1725"/>
        <v>212</v>
      </c>
      <c r="CP284" s="72">
        <f t="shared" si="1726"/>
        <v>256</v>
      </c>
      <c r="CQ284" s="72">
        <f t="shared" si="1727"/>
        <v>300</v>
      </c>
      <c r="CR284" s="72">
        <f t="shared" si="1728"/>
        <v>333</v>
      </c>
      <c r="CS284" s="72">
        <f t="shared" si="1729"/>
        <v>346</v>
      </c>
      <c r="CT284" s="23">
        <f t="shared" si="1730"/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30" x14ac:dyDescent="0.2">
      <c r="A285" s="3" t="str">
        <f>CONCATENATE(B285,"_",C285)</f>
        <v>oprk_human_6B73</v>
      </c>
      <c r="B285" s="3" t="s">
        <v>336</v>
      </c>
      <c r="C285" s="3" t="s">
        <v>1463</v>
      </c>
      <c r="D285" s="3" t="str">
        <f>IFERROR(MID(VLOOKUP($B285,Seqs!$A:$B,2,0),E285,1),"")</f>
        <v>A</v>
      </c>
      <c r="E285" s="3">
        <v>57</v>
      </c>
      <c r="F285" s="3" t="str">
        <f>IFERROR(MID(VLOOKUP($B285,Seqs!$A:$B,2,0),G285,1),"")</f>
        <v>Y</v>
      </c>
      <c r="G285" s="3">
        <v>87</v>
      </c>
      <c r="H285" s="3" t="str">
        <f>IFERROR(MID(VLOOKUP($B285,Seqs!$A:$B,2,0),I285,1),"")</f>
        <v/>
      </c>
      <c r="I285" s="23" t="s">
        <v>23</v>
      </c>
      <c r="J285" s="3" t="str">
        <f>IFERROR(MID(VLOOKUP($B285,Seqs!$A:$B,2,0),K285,1),"")</f>
        <v/>
      </c>
      <c r="K285" s="23" t="s">
        <v>23</v>
      </c>
      <c r="L285" s="3" t="str">
        <f>IFERROR(MID(VLOOKUP($B285,Seqs!$A:$B,2,0),M285,1),"")</f>
        <v>T</v>
      </c>
      <c r="M285" s="3">
        <v>92</v>
      </c>
      <c r="N285" s="3" t="str">
        <f>IFERROR(MID(VLOOKUP($B285,Seqs!$A:$B,2,0),O285,1),"")</f>
        <v>N</v>
      </c>
      <c r="O285" s="3">
        <v>122</v>
      </c>
      <c r="P285" s="3" t="str">
        <f>IFERROR(MID(VLOOKUP($B285,Seqs!$A:$B,2,0),Q285,1),"")</f>
        <v>S</v>
      </c>
      <c r="Q285" s="3">
        <v>123</v>
      </c>
      <c r="R285" s="3" t="str">
        <f>IFERROR(MID(VLOOKUP($B285,Seqs!$A:$B,2,0),S285,1),"")</f>
        <v>F</v>
      </c>
      <c r="S285" s="3">
        <v>126</v>
      </c>
      <c r="T285" s="3" t="str">
        <f>IFERROR(MID(VLOOKUP($B285,Seqs!$A:$B,2,0),U285,1),"")</f>
        <v>G</v>
      </c>
      <c r="U285" s="3">
        <v>127</v>
      </c>
      <c r="V285" s="3" t="str">
        <f>IFERROR(MID(VLOOKUP($B285,Seqs!$A:$B,2,0),W285,1),"")</f>
        <v>H</v>
      </c>
      <c r="W285" s="3">
        <v>162</v>
      </c>
      <c r="X285" s="3" t="str">
        <f>IFERROR(MID(VLOOKUP($B285,Seqs!$A:$B,2,0),Y285,1),"")</f>
        <v>P</v>
      </c>
      <c r="Y285" s="3">
        <v>163</v>
      </c>
      <c r="Z285" s="3" t="str">
        <f>IFERROR(MID(VLOOKUP($B285,Seqs!$A:$B,2,0),AA285,1),"")</f>
        <v>R</v>
      </c>
      <c r="AA285" s="3">
        <v>170</v>
      </c>
      <c r="AB285" s="3" t="str">
        <f>IFERROR(MID(VLOOKUP($B285,Seqs!$A:$B,2,0),AC285,1),"")</f>
        <v>T</v>
      </c>
      <c r="AC285" s="3">
        <v>171</v>
      </c>
      <c r="AD285" s="3" t="str">
        <f>IFERROR(MID(VLOOKUP($B285,Seqs!$A:$B,2,0),AE285,1),"")</f>
        <v>G</v>
      </c>
      <c r="AE285" s="3">
        <v>197</v>
      </c>
      <c r="AF285" s="3" t="str">
        <f>IFERROR(MID(VLOOKUP($B285,Seqs!$A:$B,2,0),AG285,1),"")</f>
        <v>C</v>
      </c>
      <c r="AG285" s="3">
        <v>210</v>
      </c>
      <c r="AH285" s="3" t="str">
        <f>IFERROR(MID(VLOOKUP($B285,Seqs!$A:$B,2,0),AI285,1),"")</f>
        <v>L</v>
      </c>
      <c r="AI285" s="3">
        <v>212</v>
      </c>
      <c r="AJ285" s="3" t="str">
        <f>IFERROR(MID(VLOOKUP($B285,Seqs!$A:$B,2,0),AK285,1),"")</f>
        <v>W</v>
      </c>
      <c r="AK285" s="3">
        <v>221</v>
      </c>
      <c r="AL285" s="3" t="str">
        <f>IFERROR(MID(VLOOKUP($B285,Seqs!$A:$B,2,0),AM285,1),"")</f>
        <v>S</v>
      </c>
      <c r="AM285" s="3">
        <v>255</v>
      </c>
      <c r="AN285" s="3" t="str">
        <f>IFERROR(MID(VLOOKUP($B285,Seqs!$A:$B,2,0),AO285,1),"")</f>
        <v>S</v>
      </c>
      <c r="AO285" s="3">
        <v>262</v>
      </c>
      <c r="AP285" s="3" t="str">
        <f>IFERROR(MID(VLOOKUP($B285,Seqs!$A:$B,2,0),AQ285,1),"")</f>
        <v>G</v>
      </c>
      <c r="AQ285" s="3">
        <v>300</v>
      </c>
      <c r="AR285" s="3" t="str">
        <f>IFERROR(MID(VLOOKUP($B285,Seqs!$A:$B,2,0),AS285,1),"")</f>
        <v>S</v>
      </c>
      <c r="AS285" s="3">
        <v>305</v>
      </c>
      <c r="AT285" s="3" t="str">
        <f>IFERROR(MID(VLOOKUP($B285,Seqs!$A:$B,2,0),AU285,1),"")</f>
        <v>I</v>
      </c>
      <c r="AU285" s="3">
        <v>328</v>
      </c>
      <c r="AV285" s="3" t="str">
        <f>IFERROR(MID(VLOOKUP($B285,Seqs!$A:$B,2,0),AW285,1),"")</f>
        <v/>
      </c>
      <c r="AW285" s="3" t="s">
        <v>23</v>
      </c>
      <c r="AX285" s="3" t="str">
        <f>IFERROR(MID(VLOOKUP($B285,Seqs!$A:$B,2,0),AY285,1),"")</f>
        <v/>
      </c>
      <c r="AY285" s="3" t="s">
        <v>23</v>
      </c>
      <c r="AZ285" s="77" t="str">
        <f>VLOOKUP(B285,Classification!A:D,2,0)</f>
        <v>A</v>
      </c>
      <c r="BA285" s="94" t="str">
        <f>VLOOKUP(B285,Classification!A:D,4,0)</f>
        <v>Opioid</v>
      </c>
      <c r="BB285" s="27" t="b">
        <f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23">
        <f>_xlfn.AGGREGATE(9,6,CH285:CS285)-_xlfn.AGGREGATE(9,6,BV285:CG285)+12</f>
        <v>240</v>
      </c>
      <c r="BD285" s="2" t="s">
        <v>1375</v>
      </c>
      <c r="BE285" s="3" t="s">
        <v>1291</v>
      </c>
      <c r="BF285" s="118">
        <v>3.1</v>
      </c>
      <c r="BG285" s="49" t="s">
        <v>1</v>
      </c>
      <c r="BH285" s="49" t="s">
        <v>1</v>
      </c>
      <c r="BI285" s="1"/>
      <c r="BJ285" s="70" t="s">
        <v>1287</v>
      </c>
      <c r="BK285" s="57" t="s">
        <v>1287</v>
      </c>
      <c r="BL285" s="57" t="s">
        <v>1287</v>
      </c>
      <c r="BM285" s="57" t="s">
        <v>1287</v>
      </c>
      <c r="BN285" s="57" t="s">
        <v>1287</v>
      </c>
      <c r="BO285" s="57" t="s">
        <v>1287</v>
      </c>
      <c r="BP285" s="57" t="s">
        <v>1287</v>
      </c>
      <c r="BQ285" s="57" t="s">
        <v>1287</v>
      </c>
      <c r="BR285" s="57" t="s">
        <v>1287</v>
      </c>
      <c r="BS285" s="57" t="s">
        <v>1287</v>
      </c>
      <c r="BT285" s="57" t="s">
        <v>1287</v>
      </c>
      <c r="BU285" s="57" t="s">
        <v>1287</v>
      </c>
      <c r="BV285" s="70">
        <f>E285</f>
        <v>57</v>
      </c>
      <c r="BW285" s="71" t="str">
        <f>I285</f>
        <v>-</v>
      </c>
      <c r="BX285" s="72">
        <f>M285</f>
        <v>92</v>
      </c>
      <c r="BY285" s="71">
        <f>Q285</f>
        <v>123</v>
      </c>
      <c r="BZ285" s="72">
        <f>U285</f>
        <v>127</v>
      </c>
      <c r="CA285" s="71">
        <f>Y285</f>
        <v>163</v>
      </c>
      <c r="CB285" s="72">
        <f>AC285</f>
        <v>171</v>
      </c>
      <c r="CC285" s="71">
        <f>AG285</f>
        <v>210</v>
      </c>
      <c r="CD285" s="72">
        <f>AK285</f>
        <v>221</v>
      </c>
      <c r="CE285" s="71">
        <f>AO285</f>
        <v>262</v>
      </c>
      <c r="CF285" s="72">
        <f>AS285</f>
        <v>305</v>
      </c>
      <c r="CG285" s="71" t="str">
        <f>AW285</f>
        <v>-</v>
      </c>
      <c r="CH285" s="70">
        <f>G285</f>
        <v>87</v>
      </c>
      <c r="CI285" s="71" t="str">
        <f>K285</f>
        <v>-</v>
      </c>
      <c r="CJ285" s="72">
        <f>O285</f>
        <v>122</v>
      </c>
      <c r="CK285" s="72">
        <f>S285</f>
        <v>126</v>
      </c>
      <c r="CL285" s="72">
        <f>W285</f>
        <v>162</v>
      </c>
      <c r="CM285" s="72">
        <f>AA285</f>
        <v>170</v>
      </c>
      <c r="CN285" s="72">
        <f>AE285</f>
        <v>197</v>
      </c>
      <c r="CO285" s="72">
        <f>AI285</f>
        <v>212</v>
      </c>
      <c r="CP285" s="72">
        <f>AM285</f>
        <v>255</v>
      </c>
      <c r="CQ285" s="72">
        <f>AQ285</f>
        <v>300</v>
      </c>
      <c r="CR285" s="72">
        <f>AU285</f>
        <v>328</v>
      </c>
      <c r="CS285" s="72" t="str">
        <f>AY285</f>
        <v>-</v>
      </c>
      <c r="CT285" s="23" t="e">
        <f>M285-K285</f>
        <v>#VALUE!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30" s="12" customFormat="1" x14ac:dyDescent="0.2">
      <c r="A286" s="9" t="str">
        <f>CONCATENATE(B286,"_",C286)</f>
        <v>oprk_human_6VI4</v>
      </c>
      <c r="B286" s="9" t="s">
        <v>336</v>
      </c>
      <c r="C286" s="9" t="s">
        <v>1665</v>
      </c>
      <c r="D286" s="9" t="str">
        <f>IFERROR(MID(VLOOKUP($B286,Seqs!$A:$B,2,0),E286,1),"")</f>
        <v>T</v>
      </c>
      <c r="E286" s="9">
        <v>63</v>
      </c>
      <c r="F286" s="9" t="str">
        <f>IFERROR(MID(VLOOKUP($B286,Seqs!$A:$B,2,0),G286,1),"")</f>
        <v>Y</v>
      </c>
      <c r="G286" s="9">
        <v>87</v>
      </c>
      <c r="H286" s="9" t="str">
        <f>IFERROR(MID(VLOOKUP($B286,Seqs!$A:$B,2,0),I286,1),"")</f>
        <v>T</v>
      </c>
      <c r="I286" s="109">
        <v>88</v>
      </c>
      <c r="J286" s="9" t="str">
        <f>IFERROR(MID(VLOOKUP($B286,Seqs!$A:$B,2,0),K286,1),"")</f>
        <v>K</v>
      </c>
      <c r="K286" s="109">
        <v>91</v>
      </c>
      <c r="L286" s="9" t="str">
        <f>IFERROR(MID(VLOOKUP($B286,Seqs!$A:$B,2,0),M286,1),"")</f>
        <v>T</v>
      </c>
      <c r="M286" s="9">
        <v>92</v>
      </c>
      <c r="N286" s="9" t="str">
        <f>IFERROR(MID(VLOOKUP($B286,Seqs!$A:$B,2,0),O286,1),"")</f>
        <v>N</v>
      </c>
      <c r="O286" s="9">
        <v>122</v>
      </c>
      <c r="P286" s="9" t="str">
        <f>IFERROR(MID(VLOOKUP($B286,Seqs!$A:$B,2,0),Q286,1),"")</f>
        <v>S</v>
      </c>
      <c r="Q286" s="9">
        <v>123</v>
      </c>
      <c r="R286" s="9" t="str">
        <f>IFERROR(MID(VLOOKUP($B286,Seqs!$A:$B,2,0),S286,1),"")</f>
        <v>F</v>
      </c>
      <c r="S286" s="9">
        <v>126</v>
      </c>
      <c r="T286" s="9" t="str">
        <f>IFERROR(MID(VLOOKUP($B286,Seqs!$A:$B,2,0),U286,1),"")</f>
        <v>D</v>
      </c>
      <c r="U286" s="9">
        <v>128</v>
      </c>
      <c r="V286" s="9" t="str">
        <f>IFERROR(MID(VLOOKUP($B286,Seqs!$A:$B,2,0),W286,1),"")</f>
        <v>H</v>
      </c>
      <c r="W286" s="9">
        <v>162</v>
      </c>
      <c r="X286" s="9" t="str">
        <f>IFERROR(MID(VLOOKUP($B286,Seqs!$A:$B,2,0),Y286,1),"")</f>
        <v>P</v>
      </c>
      <c r="Y286" s="9">
        <v>163</v>
      </c>
      <c r="Z286" s="9" t="str">
        <f>IFERROR(MID(VLOOKUP($B286,Seqs!$A:$B,2,0),AA286,1),"")</f>
        <v>R</v>
      </c>
      <c r="AA286" s="9">
        <v>170</v>
      </c>
      <c r="AB286" s="9" t="str">
        <f>IFERROR(MID(VLOOKUP($B286,Seqs!$A:$B,2,0),AC286,1),"")</f>
        <v>T</v>
      </c>
      <c r="AC286" s="9">
        <v>171</v>
      </c>
      <c r="AD286" s="9" t="str">
        <f>IFERROR(MID(VLOOKUP($B286,Seqs!$A:$B,2,0),AE286,1),"")</f>
        <v>G</v>
      </c>
      <c r="AE286" s="9">
        <v>197</v>
      </c>
      <c r="AF286" s="9" t="str">
        <f>IFERROR(MID(VLOOKUP($B286,Seqs!$A:$B,2,0),AG286,1),"")</f>
        <v>C</v>
      </c>
      <c r="AG286" s="9">
        <v>210</v>
      </c>
      <c r="AH286" s="9" t="str">
        <f>IFERROR(MID(VLOOKUP($B286,Seqs!$A:$B,2,0),AI286,1),"")</f>
        <v>L</v>
      </c>
      <c r="AI286" s="9">
        <v>212</v>
      </c>
      <c r="AJ286" s="9" t="str">
        <f>IFERROR(MID(VLOOKUP($B286,Seqs!$A:$B,2,0),AK286,1),"")</f>
        <v>Y</v>
      </c>
      <c r="AK286" s="9">
        <v>219</v>
      </c>
      <c r="AL286" s="9" t="str">
        <f>IFERROR(MID(VLOOKUP($B286,Seqs!$A:$B,2,0),AM286,1),"")</f>
        <v>V</v>
      </c>
      <c r="AM286" s="9">
        <v>256</v>
      </c>
      <c r="AN286" s="9" t="str">
        <f>IFERROR(MID(VLOOKUP($B286,Seqs!$A:$B,2,0),AO286,1),"")</f>
        <v>S</v>
      </c>
      <c r="AO286" s="9">
        <v>262</v>
      </c>
      <c r="AP286" s="9" t="str">
        <f>IFERROR(MID(VLOOKUP($B286,Seqs!$A:$B,2,0),AQ286,1),"")</f>
        <v>L</v>
      </c>
      <c r="AQ286" s="9">
        <v>299</v>
      </c>
      <c r="AR286" s="9" t="str">
        <f>IFERROR(MID(VLOOKUP($B286,Seqs!$A:$B,2,0),AS286,1),"")</f>
        <v>A</v>
      </c>
      <c r="AS286" s="9">
        <v>308</v>
      </c>
      <c r="AT286" s="9" t="str">
        <f>IFERROR(MID(VLOOKUP($B286,Seqs!$A:$B,2,0),AU286,1),"")</f>
        <v>L</v>
      </c>
      <c r="AU286" s="9">
        <v>333</v>
      </c>
      <c r="AV286" s="9" t="str">
        <f>IFERROR(MID(VLOOKUP($B286,Seqs!$A:$B,2,0),AW286,1),"")</f>
        <v>D</v>
      </c>
      <c r="AW286" s="9">
        <v>334</v>
      </c>
      <c r="AX286" s="9" t="str">
        <f>IFERROR(MID(VLOOKUP($B286,Seqs!$A:$B,2,0),AY286,1),"")</f>
        <v>F</v>
      </c>
      <c r="AY286" s="9">
        <v>346</v>
      </c>
      <c r="AZ286" s="110" t="str">
        <f>VLOOKUP(B286,Classification!A:D,2,0)</f>
        <v>A</v>
      </c>
      <c r="BA286" s="98" t="str">
        <f>VLOOKUP(B286,Classification!A:D,4,0)</f>
        <v>Opioid</v>
      </c>
      <c r="BB286" s="36" t="b">
        <f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109">
        <f>_xlfn.AGGREGATE(9,6,CH286:CS286)-_xlfn.AGGREGATE(9,6,BV286:CG286)+12</f>
        <v>252</v>
      </c>
      <c r="BD286" s="40" t="s">
        <v>1376</v>
      </c>
      <c r="BE286" s="9" t="s">
        <v>1374</v>
      </c>
      <c r="BF286" s="119">
        <v>3.3</v>
      </c>
      <c r="BG286" s="51" t="s">
        <v>1281</v>
      </c>
      <c r="BH286" s="51" t="s">
        <v>1281</v>
      </c>
      <c r="BJ286" s="111" t="s">
        <v>1287</v>
      </c>
      <c r="BK286" s="112" t="s">
        <v>1287</v>
      </c>
      <c r="BL286" s="112" t="s">
        <v>1287</v>
      </c>
      <c r="BM286" s="112" t="s">
        <v>1287</v>
      </c>
      <c r="BN286" s="112" t="s">
        <v>1287</v>
      </c>
      <c r="BO286" s="112" t="s">
        <v>1287</v>
      </c>
      <c r="BP286" s="112" t="s">
        <v>1287</v>
      </c>
      <c r="BQ286" s="112" t="s">
        <v>1287</v>
      </c>
      <c r="BR286" s="112" t="s">
        <v>1287</v>
      </c>
      <c r="BS286" s="112" t="s">
        <v>1287</v>
      </c>
      <c r="BT286" s="112" t="s">
        <v>1287</v>
      </c>
      <c r="BU286" s="112" t="s">
        <v>1287</v>
      </c>
      <c r="BV286" s="111">
        <f>E286</f>
        <v>63</v>
      </c>
      <c r="BW286" s="113">
        <f>I286</f>
        <v>88</v>
      </c>
      <c r="BX286" s="114">
        <f>M286</f>
        <v>92</v>
      </c>
      <c r="BY286" s="113">
        <f>Q286</f>
        <v>123</v>
      </c>
      <c r="BZ286" s="114">
        <f>U286</f>
        <v>128</v>
      </c>
      <c r="CA286" s="113">
        <f>Y286</f>
        <v>163</v>
      </c>
      <c r="CB286" s="114">
        <f>AC286</f>
        <v>171</v>
      </c>
      <c r="CC286" s="113">
        <f>AG286</f>
        <v>210</v>
      </c>
      <c r="CD286" s="114">
        <f>AK286</f>
        <v>219</v>
      </c>
      <c r="CE286" s="113">
        <f>AO286</f>
        <v>262</v>
      </c>
      <c r="CF286" s="114">
        <f>AS286</f>
        <v>308</v>
      </c>
      <c r="CG286" s="113">
        <f>AW286</f>
        <v>334</v>
      </c>
      <c r="CH286" s="111">
        <f>G286</f>
        <v>87</v>
      </c>
      <c r="CI286" s="113">
        <f>K286</f>
        <v>91</v>
      </c>
      <c r="CJ286" s="114">
        <f>O286</f>
        <v>122</v>
      </c>
      <c r="CK286" s="114">
        <f>S286</f>
        <v>126</v>
      </c>
      <c r="CL286" s="114">
        <f>W286</f>
        <v>162</v>
      </c>
      <c r="CM286" s="114">
        <f>AA286</f>
        <v>170</v>
      </c>
      <c r="CN286" s="114">
        <f>AE286</f>
        <v>197</v>
      </c>
      <c r="CO286" s="114">
        <f>AI286</f>
        <v>212</v>
      </c>
      <c r="CP286" s="114">
        <f>AM286</f>
        <v>256</v>
      </c>
      <c r="CQ286" s="114">
        <f>AQ286</f>
        <v>299</v>
      </c>
      <c r="CR286" s="114">
        <f>AU286</f>
        <v>333</v>
      </c>
      <c r="CS286" s="114">
        <f>AY286</f>
        <v>346</v>
      </c>
      <c r="CT286" s="109">
        <f>M286-K286</f>
        <v>1</v>
      </c>
    </row>
    <row r="287" spans="1:1030" x14ac:dyDescent="0.2">
      <c r="A287" s="3" t="str">
        <f t="shared" si="1955"/>
        <v>oprm_mouse__wt</v>
      </c>
      <c r="B287" s="3" t="s">
        <v>917</v>
      </c>
      <c r="C287" s="3" t="s">
        <v>100</v>
      </c>
      <c r="D287" s="3" t="str">
        <f>IFERROR(MID(VLOOKUP($B287,Seqs!$A:$B,2,0),E287,1),"")</f>
        <v>M</v>
      </c>
      <c r="E287" s="3">
        <v>65</v>
      </c>
      <c r="F287" s="3" t="str">
        <f>IFERROR(MID(VLOOKUP($B287,Seqs!$A:$B,2,0),G287,1),"")</f>
        <v>Y</v>
      </c>
      <c r="G287" s="3">
        <v>96</v>
      </c>
      <c r="H287" s="3" t="str">
        <f>IFERROR(MID(VLOOKUP($B287,Seqs!$A:$B,2,0),I287,1),"")</f>
        <v>T</v>
      </c>
      <c r="I287" s="23">
        <v>97</v>
      </c>
      <c r="J287" s="3" t="str">
        <f>IFERROR(MID(VLOOKUP($B287,Seqs!$A:$B,2,0),K287,1),"")</f>
        <v>K</v>
      </c>
      <c r="K287" s="23">
        <v>100</v>
      </c>
      <c r="L287" s="3" t="str">
        <f>IFERROR(MID(VLOOKUP($B287,Seqs!$A:$B,2,0),M287,1),"")</f>
        <v>T</v>
      </c>
      <c r="M287" s="3">
        <v>101</v>
      </c>
      <c r="N287" s="3" t="str">
        <f>IFERROR(MID(VLOOKUP($B287,Seqs!$A:$B,2,0),O287,1),"")</f>
        <v>M</v>
      </c>
      <c r="O287" s="3">
        <v>130</v>
      </c>
      <c r="P287" s="3" t="str">
        <f>IFERROR(MID(VLOOKUP($B287,Seqs!$A:$B,2,0),Q287,1),"")</f>
        <v>T</v>
      </c>
      <c r="Q287" s="3">
        <v>132</v>
      </c>
      <c r="R287" s="3" t="str">
        <f>IFERROR(MID(VLOOKUP($B287,Seqs!$A:$B,2,0),S287,1),"")</f>
        <v>F</v>
      </c>
      <c r="S287" s="3">
        <v>135</v>
      </c>
      <c r="T287" s="3" t="str">
        <f>IFERROR(MID(VLOOKUP($B287,Seqs!$A:$B,2,0),U287,1),"")</f>
        <v>G</v>
      </c>
      <c r="U287" s="3">
        <v>136</v>
      </c>
      <c r="V287" s="3" t="str">
        <f>IFERROR(MID(VLOOKUP($B287,Seqs!$A:$B,2,0),W287,1),"")</f>
        <v>H</v>
      </c>
      <c r="W287" s="3">
        <v>171</v>
      </c>
      <c r="X287" s="3" t="str">
        <f>IFERROR(MID(VLOOKUP($B287,Seqs!$A:$B,2,0),Y287,1),"")</f>
        <v>P</v>
      </c>
      <c r="Y287" s="3">
        <v>172</v>
      </c>
      <c r="Z287" s="3" t="str">
        <f>IFERROR(MID(VLOOKUP($B287,Seqs!$A:$B,2,0),AA287,1),"")</f>
        <v>R</v>
      </c>
      <c r="AA287" s="3">
        <v>179</v>
      </c>
      <c r="AB287" s="3" t="str">
        <f>IFERROR(MID(VLOOKUP($B287,Seqs!$A:$B,2,0),AC287,1),"")</f>
        <v>T</v>
      </c>
      <c r="AC287" s="3">
        <v>180</v>
      </c>
      <c r="AD287" s="3" t="str">
        <f>IFERROR(MID(VLOOKUP($B287,Seqs!$A:$B,2,0),AE287,1),"")</f>
        <v>A</v>
      </c>
      <c r="AE287" s="3">
        <v>206</v>
      </c>
      <c r="AF287" s="3" t="str">
        <f>IFERROR(MID(VLOOKUP($B287,Seqs!$A:$B,2,0),AG287,1),"")</f>
        <v>C</v>
      </c>
      <c r="AG287" s="3">
        <v>217</v>
      </c>
      <c r="AH287" s="3" t="str">
        <f>IFERROR(MID(VLOOKUP($B287,Seqs!$A:$B,2,0),AI287,1),"")</f>
        <v>L</v>
      </c>
      <c r="AI287" s="3">
        <v>219</v>
      </c>
      <c r="AJ287" s="3" t="str">
        <f>IFERROR(MID(VLOOKUP($B287,Seqs!$A:$B,2,0),AK287,1),"")</f>
        <v>T</v>
      </c>
      <c r="AK287" s="3">
        <v>225</v>
      </c>
      <c r="AL287" s="3" t="str">
        <f>IFERROR(MID(VLOOKUP($B287,Seqs!$A:$B,2,0),AM287,1),"")</f>
        <v>V</v>
      </c>
      <c r="AM287" s="3">
        <v>262</v>
      </c>
      <c r="AN287" s="3" t="str">
        <f>IFERROR(MID(VLOOKUP($B287,Seqs!$A:$B,2,0),AO287,1),"")</f>
        <v>S</v>
      </c>
      <c r="AO287" s="3">
        <v>268</v>
      </c>
      <c r="AP287" s="3" t="str">
        <f>IFERROR(MID(VLOOKUP($B287,Seqs!$A:$B,2,0),AQ287,1),"")</f>
        <v>I</v>
      </c>
      <c r="AQ287" s="3">
        <v>306</v>
      </c>
      <c r="AR287" s="3" t="str">
        <f>IFERROR(MID(VLOOKUP($B287,Seqs!$A:$B,2,0),AS287,1),"")</f>
        <v>T</v>
      </c>
      <c r="AS287" s="3">
        <v>311</v>
      </c>
      <c r="AT287" s="3" t="str">
        <f>IFERROR(MID(VLOOKUP($B287,Seqs!$A:$B,2,0),AU287,1),"")</f>
        <v>L</v>
      </c>
      <c r="AU287" s="3">
        <v>339</v>
      </c>
      <c r="AV287" s="3" t="str">
        <f>IFERROR(MID(VLOOKUP($B287,Seqs!$A:$B,2,0),AW287,1),"")</f>
        <v>D</v>
      </c>
      <c r="AW287" s="3">
        <v>340</v>
      </c>
      <c r="AX287" s="3" t="str">
        <f>IFERROR(MID(VLOOKUP($B287,Seqs!$A:$B,2,0),AY287,1),"")</f>
        <v>I</v>
      </c>
      <c r="AY287" s="3">
        <v>352</v>
      </c>
      <c r="AZ287" s="77" t="str">
        <f>VLOOKUP(B287,Classification!A:D,2,0)</f>
        <v>A</v>
      </c>
      <c r="BA287" s="94" t="str">
        <f>VLOOKUP(B287,Classification!A:D,4,0)</f>
        <v>Opioid</v>
      </c>
      <c r="BB287" s="27" t="b">
        <f t="shared" si="1956"/>
        <v>1</v>
      </c>
      <c r="BC287" s="23">
        <f t="shared" si="1705"/>
        <v>263</v>
      </c>
      <c r="BD287" s="56" t="s">
        <v>23</v>
      </c>
      <c r="BE287" s="3" t="s">
        <v>23</v>
      </c>
      <c r="BF287" s="118" t="s">
        <v>23</v>
      </c>
      <c r="BG287" s="49" t="s">
        <v>1372</v>
      </c>
      <c r="BH287" s="49" t="s">
        <v>1377</v>
      </c>
      <c r="BI287" s="1"/>
      <c r="BJ287" s="70" t="s">
        <v>1287</v>
      </c>
      <c r="BK287" s="57" t="s">
        <v>1287</v>
      </c>
      <c r="BL287" s="57" t="s">
        <v>1287</v>
      </c>
      <c r="BM287" s="57" t="s">
        <v>1287</v>
      </c>
      <c r="BN287" s="57" t="s">
        <v>1287</v>
      </c>
      <c r="BO287" s="57" t="s">
        <v>1287</v>
      </c>
      <c r="BP287" s="57" t="s">
        <v>1287</v>
      </c>
      <c r="BQ287" s="57" t="s">
        <v>1287</v>
      </c>
      <c r="BR287" s="57" t="s">
        <v>1287</v>
      </c>
      <c r="BS287" s="57" t="s">
        <v>1287</v>
      </c>
      <c r="BT287" s="57" t="s">
        <v>1287</v>
      </c>
      <c r="BU287" s="57" t="s">
        <v>1287</v>
      </c>
      <c r="BV287" s="70">
        <f t="shared" si="1706"/>
        <v>65</v>
      </c>
      <c r="BW287" s="71">
        <f t="shared" si="1707"/>
        <v>97</v>
      </c>
      <c r="BX287" s="72">
        <f t="shared" si="1708"/>
        <v>101</v>
      </c>
      <c r="BY287" s="71">
        <f t="shared" si="1709"/>
        <v>132</v>
      </c>
      <c r="BZ287" s="72">
        <f t="shared" si="1710"/>
        <v>136</v>
      </c>
      <c r="CA287" s="71">
        <f t="shared" si="1711"/>
        <v>172</v>
      </c>
      <c r="CB287" s="72">
        <f t="shared" si="1712"/>
        <v>180</v>
      </c>
      <c r="CC287" s="71">
        <f t="shared" si="1713"/>
        <v>217</v>
      </c>
      <c r="CD287" s="72">
        <f t="shared" si="1714"/>
        <v>225</v>
      </c>
      <c r="CE287" s="71">
        <f t="shared" si="1715"/>
        <v>268</v>
      </c>
      <c r="CF287" s="72">
        <f t="shared" si="1716"/>
        <v>311</v>
      </c>
      <c r="CG287" s="71">
        <f t="shared" si="1717"/>
        <v>340</v>
      </c>
      <c r="CH287" s="70">
        <f t="shared" si="1718"/>
        <v>96</v>
      </c>
      <c r="CI287" s="71">
        <f t="shared" si="1719"/>
        <v>100</v>
      </c>
      <c r="CJ287" s="72">
        <f t="shared" si="1720"/>
        <v>130</v>
      </c>
      <c r="CK287" s="72">
        <f t="shared" si="1721"/>
        <v>135</v>
      </c>
      <c r="CL287" s="72">
        <f t="shared" si="1722"/>
        <v>171</v>
      </c>
      <c r="CM287" s="72">
        <f t="shared" si="1723"/>
        <v>179</v>
      </c>
      <c r="CN287" s="72">
        <f t="shared" si="1724"/>
        <v>206</v>
      </c>
      <c r="CO287" s="72">
        <f t="shared" si="1725"/>
        <v>219</v>
      </c>
      <c r="CP287" s="72">
        <f t="shared" si="1726"/>
        <v>262</v>
      </c>
      <c r="CQ287" s="72">
        <f t="shared" si="1727"/>
        <v>306</v>
      </c>
      <c r="CR287" s="72">
        <f t="shared" si="1728"/>
        <v>339</v>
      </c>
      <c r="CS287" s="72">
        <f t="shared" si="1729"/>
        <v>352</v>
      </c>
      <c r="CT287" s="23">
        <f t="shared" si="1730"/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30" x14ac:dyDescent="0.2">
      <c r="A288" s="3" t="str">
        <f t="shared" si="1955"/>
        <v>oprm_mouse_4DKL</v>
      </c>
      <c r="B288" s="3" t="s">
        <v>917</v>
      </c>
      <c r="C288" s="3" t="s">
        <v>65</v>
      </c>
      <c r="D288" s="3" t="str">
        <f>IFERROR(MID(VLOOKUP($B288,Seqs!$A:$B,2,0),E288,1),"")</f>
        <v>M</v>
      </c>
      <c r="E288" s="3">
        <v>65</v>
      </c>
      <c r="F288" s="3" t="str">
        <f>IFERROR(MID(VLOOKUP($B288,Seqs!$A:$B,2,0),G288,1),"")</f>
        <v>Y</v>
      </c>
      <c r="G288" s="3">
        <v>96</v>
      </c>
      <c r="H288" s="3" t="str">
        <f>IFERROR(MID(VLOOKUP($B288,Seqs!$A:$B,2,0),I288,1),"")</f>
        <v>T</v>
      </c>
      <c r="I288" s="23">
        <v>97</v>
      </c>
      <c r="J288" s="3" t="str">
        <f>IFERROR(MID(VLOOKUP($B288,Seqs!$A:$B,2,0),K288,1),"")</f>
        <v>K</v>
      </c>
      <c r="K288" s="23">
        <v>100</v>
      </c>
      <c r="L288" s="3" t="str">
        <f>IFERROR(MID(VLOOKUP($B288,Seqs!$A:$B,2,0),M288,1),"")</f>
        <v>T</v>
      </c>
      <c r="M288" s="3">
        <v>101</v>
      </c>
      <c r="N288" s="3" t="str">
        <f>IFERROR(MID(VLOOKUP($B288,Seqs!$A:$B,2,0),O288,1),"")</f>
        <v>M</v>
      </c>
      <c r="O288" s="3">
        <v>130</v>
      </c>
      <c r="P288" s="3" t="str">
        <f>IFERROR(MID(VLOOKUP($B288,Seqs!$A:$B,2,0),Q288,1),"")</f>
        <v>T</v>
      </c>
      <c r="Q288" s="3">
        <v>132</v>
      </c>
      <c r="R288" s="3" t="str">
        <f>IFERROR(MID(VLOOKUP($B288,Seqs!$A:$B,2,0),S288,1),"")</f>
        <v>F</v>
      </c>
      <c r="S288" s="3">
        <v>135</v>
      </c>
      <c r="T288" s="3" t="str">
        <f>IFERROR(MID(VLOOKUP($B288,Seqs!$A:$B,2,0),U288,1),"")</f>
        <v>G</v>
      </c>
      <c r="U288" s="3">
        <v>136</v>
      </c>
      <c r="V288" s="3" t="str">
        <f>IFERROR(MID(VLOOKUP($B288,Seqs!$A:$B,2,0),W288,1),"")</f>
        <v>H</v>
      </c>
      <c r="W288" s="3">
        <v>171</v>
      </c>
      <c r="X288" s="3" t="str">
        <f>IFERROR(MID(VLOOKUP($B288,Seqs!$A:$B,2,0),Y288,1),"")</f>
        <v>P</v>
      </c>
      <c r="Y288" s="3">
        <v>172</v>
      </c>
      <c r="Z288" s="3" t="str">
        <f>IFERROR(MID(VLOOKUP($B288,Seqs!$A:$B,2,0),AA288,1),"")</f>
        <v>R</v>
      </c>
      <c r="AA288" s="3">
        <v>179</v>
      </c>
      <c r="AB288" s="3" t="str">
        <f>IFERROR(MID(VLOOKUP($B288,Seqs!$A:$B,2,0),AC288,1),"")</f>
        <v>T</v>
      </c>
      <c r="AC288" s="3">
        <v>180</v>
      </c>
      <c r="AD288" s="3" t="str">
        <f>IFERROR(MID(VLOOKUP($B288,Seqs!$A:$B,2,0),AE288,1),"")</f>
        <v>A</v>
      </c>
      <c r="AE288" s="3">
        <v>206</v>
      </c>
      <c r="AF288" s="3" t="str">
        <f>IFERROR(MID(VLOOKUP($B288,Seqs!$A:$B,2,0),AG288,1),"")</f>
        <v>C</v>
      </c>
      <c r="AG288" s="3">
        <v>217</v>
      </c>
      <c r="AH288" s="3" t="str">
        <f>IFERROR(MID(VLOOKUP($B288,Seqs!$A:$B,2,0),AI288,1),"")</f>
        <v>L</v>
      </c>
      <c r="AI288" s="3">
        <v>219</v>
      </c>
      <c r="AJ288" s="3" t="str">
        <f>IFERROR(MID(VLOOKUP($B288,Seqs!$A:$B,2,0),AK288,1),"")</f>
        <v>T</v>
      </c>
      <c r="AK288" s="3">
        <v>225</v>
      </c>
      <c r="AL288" s="3" t="str">
        <f>IFERROR(MID(VLOOKUP($B288,Seqs!$A:$B,2,0),AM288,1),"")</f>
        <v>L</v>
      </c>
      <c r="AM288" s="3">
        <v>257</v>
      </c>
      <c r="AN288" s="3" t="str">
        <f>IFERROR(MID(VLOOKUP($B288,Seqs!$A:$B,2,0),AO288,1),"")</f>
        <v>N</v>
      </c>
      <c r="AO288" s="3">
        <v>274</v>
      </c>
      <c r="AP288" s="3" t="str">
        <f>IFERROR(MID(VLOOKUP($B288,Seqs!$A:$B,2,0),AQ288,1),"")</f>
        <v>I</v>
      </c>
      <c r="AQ288" s="3">
        <v>306</v>
      </c>
      <c r="AR288" s="3" t="str">
        <f>IFERROR(MID(VLOOKUP($B288,Seqs!$A:$B,2,0),AS288,1),"")</f>
        <v>T</v>
      </c>
      <c r="AS288" s="3">
        <v>311</v>
      </c>
      <c r="AT288" s="3" t="str">
        <f>IFERROR(MID(VLOOKUP($B288,Seqs!$A:$B,2,0),AU288,1),"")</f>
        <v>L</v>
      </c>
      <c r="AU288" s="3">
        <v>339</v>
      </c>
      <c r="AV288" s="3" t="str">
        <f>IFERROR(MID(VLOOKUP($B288,Seqs!$A:$B,2,0),AW288,1),"")</f>
        <v>D</v>
      </c>
      <c r="AW288" s="3">
        <v>340</v>
      </c>
      <c r="AX288" s="3" t="str">
        <f>IFERROR(MID(VLOOKUP($B288,Seqs!$A:$B,2,0),AY288,1),"")</f>
        <v>I</v>
      </c>
      <c r="AY288" s="3">
        <v>352</v>
      </c>
      <c r="AZ288" s="77" t="str">
        <f>VLOOKUP(B288,Classification!A:D,2,0)</f>
        <v>A</v>
      </c>
      <c r="BA288" s="94" t="str">
        <f>VLOOKUP(B288,Classification!A:D,4,0)</f>
        <v>Opioid</v>
      </c>
      <c r="BB288" s="27" t="b">
        <f t="shared" si="1956"/>
        <v>1</v>
      </c>
      <c r="BC288" s="23">
        <f t="shared" si="1705"/>
        <v>252</v>
      </c>
      <c r="BD288" s="2" t="s">
        <v>1376</v>
      </c>
      <c r="BE288" s="3" t="s">
        <v>1374</v>
      </c>
      <c r="BF288" s="118">
        <v>2.8</v>
      </c>
      <c r="BG288" s="49" t="s">
        <v>1377</v>
      </c>
      <c r="BH288" s="49" t="s">
        <v>1377</v>
      </c>
      <c r="BI288" s="1"/>
      <c r="BJ288" s="70" t="s">
        <v>1287</v>
      </c>
      <c r="BK288" s="57" t="s">
        <v>1287</v>
      </c>
      <c r="BL288" s="57" t="s">
        <v>1287</v>
      </c>
      <c r="BM288" s="57" t="s">
        <v>1287</v>
      </c>
      <c r="BN288" s="57" t="s">
        <v>1287</v>
      </c>
      <c r="BO288" s="57" t="s">
        <v>1287</v>
      </c>
      <c r="BP288" s="57" t="s">
        <v>1287</v>
      </c>
      <c r="BQ288" s="57" t="s">
        <v>1287</v>
      </c>
      <c r="BR288" s="57" t="s">
        <v>1287</v>
      </c>
      <c r="BS288" s="57" t="s">
        <v>1287</v>
      </c>
      <c r="BT288" s="57" t="s">
        <v>1287</v>
      </c>
      <c r="BU288" s="57" t="s">
        <v>1287</v>
      </c>
      <c r="BV288" s="70">
        <f t="shared" si="1706"/>
        <v>65</v>
      </c>
      <c r="BW288" s="71">
        <f t="shared" si="1707"/>
        <v>97</v>
      </c>
      <c r="BX288" s="72">
        <f t="shared" si="1708"/>
        <v>101</v>
      </c>
      <c r="BY288" s="71">
        <f t="shared" si="1709"/>
        <v>132</v>
      </c>
      <c r="BZ288" s="72">
        <f t="shared" si="1710"/>
        <v>136</v>
      </c>
      <c r="CA288" s="71">
        <f t="shared" si="1711"/>
        <v>172</v>
      </c>
      <c r="CB288" s="72">
        <f t="shared" si="1712"/>
        <v>180</v>
      </c>
      <c r="CC288" s="71">
        <f t="shared" si="1713"/>
        <v>217</v>
      </c>
      <c r="CD288" s="72">
        <f t="shared" si="1714"/>
        <v>225</v>
      </c>
      <c r="CE288" s="71">
        <f t="shared" si="1715"/>
        <v>274</v>
      </c>
      <c r="CF288" s="72">
        <f t="shared" si="1716"/>
        <v>311</v>
      </c>
      <c r="CG288" s="71">
        <f t="shared" si="1717"/>
        <v>340</v>
      </c>
      <c r="CH288" s="70">
        <f t="shared" si="1718"/>
        <v>96</v>
      </c>
      <c r="CI288" s="71">
        <f t="shared" si="1719"/>
        <v>100</v>
      </c>
      <c r="CJ288" s="72">
        <f t="shared" si="1720"/>
        <v>130</v>
      </c>
      <c r="CK288" s="72">
        <f t="shared" si="1721"/>
        <v>135</v>
      </c>
      <c r="CL288" s="72">
        <f t="shared" si="1722"/>
        <v>171</v>
      </c>
      <c r="CM288" s="72">
        <f t="shared" si="1723"/>
        <v>179</v>
      </c>
      <c r="CN288" s="72">
        <f t="shared" si="1724"/>
        <v>206</v>
      </c>
      <c r="CO288" s="72">
        <f t="shared" si="1725"/>
        <v>219</v>
      </c>
      <c r="CP288" s="72">
        <f t="shared" si="1726"/>
        <v>257</v>
      </c>
      <c r="CQ288" s="72">
        <f t="shared" si="1727"/>
        <v>306</v>
      </c>
      <c r="CR288" s="72">
        <f t="shared" si="1728"/>
        <v>339</v>
      </c>
      <c r="CS288" s="72">
        <f t="shared" si="1729"/>
        <v>352</v>
      </c>
      <c r="CT288" s="23">
        <f t="shared" si="1730"/>
        <v>1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 t="shared" si="1955"/>
        <v>oprm_mouse_5C1M</v>
      </c>
      <c r="B289" s="3" t="s">
        <v>917</v>
      </c>
      <c r="C289" s="3" t="s">
        <v>84</v>
      </c>
      <c r="D289" s="3" t="str">
        <f>IFERROR(MID(VLOOKUP($B289,Seqs!$A:$B,2,0),E289,1),"")</f>
        <v>M</v>
      </c>
      <c r="E289" s="3">
        <v>65</v>
      </c>
      <c r="F289" s="3" t="str">
        <f>IFERROR(MID(VLOOKUP($B289,Seqs!$A:$B,2,0),G289,1),"")</f>
        <v>Y</v>
      </c>
      <c r="G289" s="3">
        <v>96</v>
      </c>
      <c r="H289" s="3" t="str">
        <f>IFERROR(MID(VLOOKUP($B289,Seqs!$A:$B,2,0),I289,1),"")</f>
        <v/>
      </c>
      <c r="I289" s="23" t="s">
        <v>23</v>
      </c>
      <c r="J289" s="3" t="str">
        <f>IFERROR(MID(VLOOKUP($B289,Seqs!$A:$B,2,0),K289,1),"")</f>
        <v/>
      </c>
      <c r="K289" s="23" t="s">
        <v>23</v>
      </c>
      <c r="L289" s="3" t="str">
        <f>IFERROR(MID(VLOOKUP($B289,Seqs!$A:$B,2,0),M289,1),"")</f>
        <v>T</v>
      </c>
      <c r="M289" s="3">
        <v>101</v>
      </c>
      <c r="N289" s="3" t="str">
        <f>IFERROR(MID(VLOOKUP($B289,Seqs!$A:$B,2,0),O289,1),"")</f>
        <v>M</v>
      </c>
      <c r="O289" s="3">
        <v>130</v>
      </c>
      <c r="P289" s="3" t="str">
        <f>IFERROR(MID(VLOOKUP($B289,Seqs!$A:$B,2,0),Q289,1),"")</f>
        <v>T</v>
      </c>
      <c r="Q289" s="3">
        <v>132</v>
      </c>
      <c r="R289" s="3" t="str">
        <f>IFERROR(MID(VLOOKUP($B289,Seqs!$A:$B,2,0),S289,1),"")</f>
        <v>F</v>
      </c>
      <c r="S289" s="3">
        <v>135</v>
      </c>
      <c r="T289" s="3" t="str">
        <f>IFERROR(MID(VLOOKUP($B289,Seqs!$A:$B,2,0),U289,1),"")</f>
        <v>G</v>
      </c>
      <c r="U289" s="3">
        <v>136</v>
      </c>
      <c r="V289" s="3" t="str">
        <f>IFERROR(MID(VLOOKUP($B289,Seqs!$A:$B,2,0),W289,1),"")</f>
        <v>H</v>
      </c>
      <c r="W289" s="3">
        <v>171</v>
      </c>
      <c r="X289" s="3" t="str">
        <f>IFERROR(MID(VLOOKUP($B289,Seqs!$A:$B,2,0),Y289,1),"")</f>
        <v>P</v>
      </c>
      <c r="Y289" s="3">
        <v>172</v>
      </c>
      <c r="Z289" s="3" t="str">
        <f>IFERROR(MID(VLOOKUP($B289,Seqs!$A:$B,2,0),AA289,1),"")</f>
        <v>R</v>
      </c>
      <c r="AA289" s="3">
        <v>179</v>
      </c>
      <c r="AB289" s="3" t="str">
        <f>IFERROR(MID(VLOOKUP($B289,Seqs!$A:$B,2,0),AC289,1),"")</f>
        <v>T</v>
      </c>
      <c r="AC289" s="3">
        <v>180</v>
      </c>
      <c r="AD289" s="3" t="str">
        <f>IFERROR(MID(VLOOKUP($B289,Seqs!$A:$B,2,0),AE289,1),"")</f>
        <v>A</v>
      </c>
      <c r="AE289" s="3">
        <v>206</v>
      </c>
      <c r="AF289" s="3" t="str">
        <f>IFERROR(MID(VLOOKUP($B289,Seqs!$A:$B,2,0),AG289,1),"")</f>
        <v>C</v>
      </c>
      <c r="AG289" s="3">
        <v>217</v>
      </c>
      <c r="AH289" s="3" t="str">
        <f>IFERROR(MID(VLOOKUP($B289,Seqs!$A:$B,2,0),AI289,1),"")</f>
        <v>L</v>
      </c>
      <c r="AI289" s="3">
        <v>219</v>
      </c>
      <c r="AJ289" s="3" t="str">
        <f>IFERROR(MID(VLOOKUP($B289,Seqs!$A:$B,2,0),AK289,1),"")</f>
        <v>T</v>
      </c>
      <c r="AK289" s="3">
        <v>225</v>
      </c>
      <c r="AL289" s="3" t="str">
        <f>IFERROR(MID(VLOOKUP($B289,Seqs!$A:$B,2,0),AM289,1),"")</f>
        <v>V</v>
      </c>
      <c r="AM289" s="3">
        <v>262</v>
      </c>
      <c r="AN289" s="3" t="str">
        <f>IFERROR(MID(VLOOKUP($B289,Seqs!$A:$B,2,0),AO289,1),"")</f>
        <v>S</v>
      </c>
      <c r="AO289" s="3">
        <v>268</v>
      </c>
      <c r="AP289" s="3" t="str">
        <f>IFERROR(MID(VLOOKUP($B289,Seqs!$A:$B,2,0),AQ289,1),"")</f>
        <v>I</v>
      </c>
      <c r="AQ289" s="3">
        <v>306</v>
      </c>
      <c r="AR289" s="3" t="str">
        <f>IFERROR(MID(VLOOKUP($B289,Seqs!$A:$B,2,0),AS289,1),"")</f>
        <v>T</v>
      </c>
      <c r="AS289" s="3">
        <v>311</v>
      </c>
      <c r="AT289" s="3" t="str">
        <f>IFERROR(MID(VLOOKUP($B289,Seqs!$A:$B,2,0),AU289,1),"")</f>
        <v>P</v>
      </c>
      <c r="AU289" s="3">
        <v>333</v>
      </c>
      <c r="AV289" s="3" t="str">
        <f>IFERROR(MID(VLOOKUP($B289,Seqs!$A:$B,2,0),AW289,1),"")</f>
        <v/>
      </c>
      <c r="AW289" s="3" t="s">
        <v>23</v>
      </c>
      <c r="AX289" s="3" t="str">
        <f>IFERROR(MID(VLOOKUP($B289,Seqs!$A:$B,2,0),AY289,1),"")</f>
        <v/>
      </c>
      <c r="AY289" s="3" t="s">
        <v>23</v>
      </c>
      <c r="AZ289" s="77" t="str">
        <f>VLOOKUP(B289,Classification!A:D,2,0)</f>
        <v>A</v>
      </c>
      <c r="BA289" s="94" t="str">
        <f>VLOOKUP(B289,Classification!A:D,4,0)</f>
        <v>Opioid</v>
      </c>
      <c r="BB289" s="27" t="b">
        <f t="shared" si="1956"/>
        <v>1</v>
      </c>
      <c r="BC289" s="23">
        <f t="shared" si="1705"/>
        <v>242</v>
      </c>
      <c r="BD289" s="5" t="s">
        <v>1375</v>
      </c>
      <c r="BE289" s="3" t="s">
        <v>1291</v>
      </c>
      <c r="BF289" s="118">
        <v>2.1</v>
      </c>
      <c r="BG289" s="49" t="s">
        <v>1377</v>
      </c>
      <c r="BH289" s="49" t="s">
        <v>1377</v>
      </c>
      <c r="BI289" s="1"/>
      <c r="BJ289" s="70" t="s">
        <v>1287</v>
      </c>
      <c r="BK289" s="57" t="s">
        <v>1287</v>
      </c>
      <c r="BL289" s="57" t="s">
        <v>1287</v>
      </c>
      <c r="BM289" s="57" t="s">
        <v>1287</v>
      </c>
      <c r="BN289" s="57" t="s">
        <v>1287</v>
      </c>
      <c r="BO289" s="57" t="s">
        <v>1287</v>
      </c>
      <c r="BP289" s="57" t="s">
        <v>1287</v>
      </c>
      <c r="BQ289" s="57" t="s">
        <v>1287</v>
      </c>
      <c r="BR289" s="57" t="s">
        <v>1287</v>
      </c>
      <c r="BS289" s="57" t="s">
        <v>1287</v>
      </c>
      <c r="BT289" s="57" t="s">
        <v>1287</v>
      </c>
      <c r="BU289" s="57" t="s">
        <v>1287</v>
      </c>
      <c r="BV289" s="70">
        <f t="shared" si="1706"/>
        <v>65</v>
      </c>
      <c r="BW289" s="71" t="str">
        <f t="shared" si="1707"/>
        <v>-</v>
      </c>
      <c r="BX289" s="72">
        <f t="shared" si="1708"/>
        <v>101</v>
      </c>
      <c r="BY289" s="71">
        <f t="shared" si="1709"/>
        <v>132</v>
      </c>
      <c r="BZ289" s="72">
        <f t="shared" si="1710"/>
        <v>136</v>
      </c>
      <c r="CA289" s="71">
        <f t="shared" si="1711"/>
        <v>172</v>
      </c>
      <c r="CB289" s="72">
        <f t="shared" si="1712"/>
        <v>180</v>
      </c>
      <c r="CC289" s="71">
        <f t="shared" si="1713"/>
        <v>217</v>
      </c>
      <c r="CD289" s="72">
        <f t="shared" si="1714"/>
        <v>225</v>
      </c>
      <c r="CE289" s="71">
        <f t="shared" si="1715"/>
        <v>268</v>
      </c>
      <c r="CF289" s="72">
        <f t="shared" si="1716"/>
        <v>311</v>
      </c>
      <c r="CG289" s="71" t="str">
        <f t="shared" si="1717"/>
        <v>-</v>
      </c>
      <c r="CH289" s="70">
        <f t="shared" si="1718"/>
        <v>96</v>
      </c>
      <c r="CI289" s="71" t="str">
        <f t="shared" si="1719"/>
        <v>-</v>
      </c>
      <c r="CJ289" s="72">
        <f t="shared" si="1720"/>
        <v>130</v>
      </c>
      <c r="CK289" s="72">
        <f t="shared" si="1721"/>
        <v>135</v>
      </c>
      <c r="CL289" s="72">
        <f t="shared" si="1722"/>
        <v>171</v>
      </c>
      <c r="CM289" s="72">
        <f t="shared" si="1723"/>
        <v>179</v>
      </c>
      <c r="CN289" s="72">
        <f t="shared" si="1724"/>
        <v>206</v>
      </c>
      <c r="CO289" s="72">
        <f t="shared" si="1725"/>
        <v>219</v>
      </c>
      <c r="CP289" s="72">
        <f t="shared" si="1726"/>
        <v>262</v>
      </c>
      <c r="CQ289" s="72">
        <f t="shared" si="1727"/>
        <v>306</v>
      </c>
      <c r="CR289" s="72">
        <f t="shared" si="1728"/>
        <v>333</v>
      </c>
      <c r="CS289" s="72" t="str">
        <f t="shared" si="1729"/>
        <v>-</v>
      </c>
      <c r="CT289" s="23" t="e">
        <f t="shared" si="1730"/>
        <v>#VALUE!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30" x14ac:dyDescent="0.2">
      <c r="A290" s="3" t="str">
        <f>CONCATENATE(B290,"_",C290)</f>
        <v>oprm_mouse_6DDE</v>
      </c>
      <c r="B290" s="3" t="s">
        <v>917</v>
      </c>
      <c r="C290" s="3" t="s">
        <v>1500</v>
      </c>
      <c r="D290" s="3" t="str">
        <f>IFERROR(MID(VLOOKUP($B290,Seqs!$A:$B,2,0),E290,1),"")</f>
        <v>T</v>
      </c>
      <c r="E290" s="3">
        <v>67</v>
      </c>
      <c r="F290" s="3" t="str">
        <f>IFERROR(MID(VLOOKUP($B290,Seqs!$A:$B,2,0),G290,1),"")</f>
        <v>K</v>
      </c>
      <c r="G290" s="3">
        <v>98</v>
      </c>
      <c r="H290" s="3" t="str">
        <f>IFERROR(MID(VLOOKUP($B290,Seqs!$A:$B,2,0),I290,1),"")</f>
        <v/>
      </c>
      <c r="I290" s="23" t="s">
        <v>23</v>
      </c>
      <c r="J290" s="3" t="str">
        <f>IFERROR(MID(VLOOKUP($B290,Seqs!$A:$B,2,0),K290,1),"")</f>
        <v/>
      </c>
      <c r="K290" s="23" t="s">
        <v>23</v>
      </c>
      <c r="L290" s="3" t="str">
        <f>IFERROR(MID(VLOOKUP($B290,Seqs!$A:$B,2,0),M290,1),"")</f>
        <v>A</v>
      </c>
      <c r="M290" s="3">
        <v>102</v>
      </c>
      <c r="N290" s="3" t="str">
        <f>IFERROR(MID(VLOOKUP($B290,Seqs!$A:$B,2,0),O290,1),"")</f>
        <v>G</v>
      </c>
      <c r="O290" s="3">
        <v>131</v>
      </c>
      <c r="P290" s="3" t="str">
        <f>IFERROR(MID(VLOOKUP($B290,Seqs!$A:$B,2,0),Q290,1),"")</f>
        <v>T</v>
      </c>
      <c r="Q290" s="3">
        <v>132</v>
      </c>
      <c r="R290" s="3" t="str">
        <f>IFERROR(MID(VLOOKUP($B290,Seqs!$A:$B,2,0),S290,1),"")</f>
        <v>F</v>
      </c>
      <c r="S290" s="3">
        <v>135</v>
      </c>
      <c r="T290" s="3" t="str">
        <f>IFERROR(MID(VLOOKUP($B290,Seqs!$A:$B,2,0),U290,1),"")</f>
        <v>G</v>
      </c>
      <c r="U290" s="3">
        <v>136</v>
      </c>
      <c r="V290" s="3" t="str">
        <f>IFERROR(MID(VLOOKUP($B290,Seqs!$A:$B,2,0),W290,1),"")</f>
        <v>H</v>
      </c>
      <c r="W290" s="3">
        <v>171</v>
      </c>
      <c r="X290" s="3" t="str">
        <f>IFERROR(MID(VLOOKUP($B290,Seqs!$A:$B,2,0),Y290,1),"")</f>
        <v>P</v>
      </c>
      <c r="Y290" s="3">
        <v>172</v>
      </c>
      <c r="Z290" s="3" t="str">
        <f>IFERROR(MID(VLOOKUP($B290,Seqs!$A:$B,2,0),AA290,1),"")</f>
        <v>R</v>
      </c>
      <c r="AA290" s="3">
        <v>179</v>
      </c>
      <c r="AB290" s="3" t="str">
        <f>IFERROR(MID(VLOOKUP($B290,Seqs!$A:$B,2,0),AC290,1),"")</f>
        <v>T</v>
      </c>
      <c r="AC290" s="3">
        <v>180</v>
      </c>
      <c r="AD290" s="3" t="str">
        <f>IFERROR(MID(VLOOKUP($B290,Seqs!$A:$B,2,0),AE290,1),"")</f>
        <v>F</v>
      </c>
      <c r="AE290" s="3">
        <v>204</v>
      </c>
      <c r="AF290" s="3" t="str">
        <f>IFERROR(MID(VLOOKUP($B290,Seqs!$A:$B,2,0),AG290,1),"")</f>
        <v>C</v>
      </c>
      <c r="AG290" s="3">
        <v>217</v>
      </c>
      <c r="AH290" s="3" t="str">
        <f>IFERROR(MID(VLOOKUP($B290,Seqs!$A:$B,2,0),AI290,1),"")</f>
        <v>L</v>
      </c>
      <c r="AI290" s="3">
        <v>219</v>
      </c>
      <c r="AJ290" s="3" t="str">
        <f>IFERROR(MID(VLOOKUP($B290,Seqs!$A:$B,2,0),AK290,1),"")</f>
        <v>Y</v>
      </c>
      <c r="AK290" s="3">
        <v>227</v>
      </c>
      <c r="AL290" s="3" t="str">
        <f>IFERROR(MID(VLOOKUP($B290,Seqs!$A:$B,2,0),AM290,1),"")</f>
        <v>V</v>
      </c>
      <c r="AM290" s="3">
        <v>262</v>
      </c>
      <c r="AN290" s="3" t="str">
        <f>IFERROR(MID(VLOOKUP($B290,Seqs!$A:$B,2,0),AO290,1),"")</f>
        <v>S</v>
      </c>
      <c r="AO290" s="3">
        <v>268</v>
      </c>
      <c r="AP290" s="3" t="str">
        <f>IFERROR(MID(VLOOKUP($B290,Seqs!$A:$B,2,0),AQ290,1),"")</f>
        <v>I</v>
      </c>
      <c r="AQ290" s="3">
        <v>306</v>
      </c>
      <c r="AR290" s="3" t="str">
        <f>IFERROR(MID(VLOOKUP($B290,Seqs!$A:$B,2,0),AS290,1),"")</f>
        <v>F</v>
      </c>
      <c r="AS290" s="3">
        <v>313</v>
      </c>
      <c r="AT290" s="3" t="str">
        <f>IFERROR(MID(VLOOKUP($B290,Seqs!$A:$B,2,0),AU290,1),"")</f>
        <v>Y</v>
      </c>
      <c r="AU290" s="3">
        <v>336</v>
      </c>
      <c r="AV290" s="3" t="str">
        <f>IFERROR(MID(VLOOKUP($B290,Seqs!$A:$B,2,0),AW290,1),"")</f>
        <v/>
      </c>
      <c r="AW290" s="3" t="s">
        <v>23</v>
      </c>
      <c r="AX290" s="3" t="str">
        <f>IFERROR(MID(VLOOKUP($B290,Seqs!$A:$B,2,0),AY290,1),"")</f>
        <v/>
      </c>
      <c r="AY290" s="3" t="s">
        <v>23</v>
      </c>
      <c r="AZ290" s="77" t="str">
        <f>VLOOKUP(B290,Classification!A:D,2,0)</f>
        <v>A</v>
      </c>
      <c r="BA290" s="94" t="str">
        <f>VLOOKUP(B290,Classification!A:D,4,0)</f>
        <v>Opioid</v>
      </c>
      <c r="BB290" s="27" t="b">
        <f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23">
        <f>_xlfn.AGGREGATE(9,6,CH290:CS290)-_xlfn.AGGREGATE(9,6,BV290:CG290)+12</f>
        <v>239</v>
      </c>
      <c r="BD290" s="5" t="s">
        <v>23</v>
      </c>
      <c r="BE290" s="3" t="s">
        <v>1291</v>
      </c>
      <c r="BF290" s="118">
        <v>3.5</v>
      </c>
      <c r="BG290" s="49" t="s">
        <v>1422</v>
      </c>
      <c r="BH290" s="49" t="s">
        <v>1422</v>
      </c>
      <c r="BI290" s="1"/>
      <c r="BJ290" s="70" t="s">
        <v>1287</v>
      </c>
      <c r="BK290" s="57" t="s">
        <v>1287</v>
      </c>
      <c r="BL290" s="57" t="s">
        <v>1287</v>
      </c>
      <c r="BM290" s="57" t="s">
        <v>1287</v>
      </c>
      <c r="BN290" s="57" t="s">
        <v>1287</v>
      </c>
      <c r="BO290" s="57" t="s">
        <v>1287</v>
      </c>
      <c r="BP290" s="57" t="s">
        <v>1287</v>
      </c>
      <c r="BQ290" s="57" t="s">
        <v>1287</v>
      </c>
      <c r="BR290" s="57" t="s">
        <v>1287</v>
      </c>
      <c r="BS290" s="57" t="s">
        <v>1287</v>
      </c>
      <c r="BT290" s="57" t="s">
        <v>1287</v>
      </c>
      <c r="BU290" s="57" t="s">
        <v>1287</v>
      </c>
      <c r="BV290" s="70">
        <f>E290</f>
        <v>67</v>
      </c>
      <c r="BW290" s="71" t="str">
        <f>I290</f>
        <v>-</v>
      </c>
      <c r="BX290" s="72">
        <f>M290</f>
        <v>102</v>
      </c>
      <c r="BY290" s="71">
        <f>Q290</f>
        <v>132</v>
      </c>
      <c r="BZ290" s="72">
        <f>U290</f>
        <v>136</v>
      </c>
      <c r="CA290" s="71">
        <f>Y290</f>
        <v>172</v>
      </c>
      <c r="CB290" s="72">
        <f>AC290</f>
        <v>180</v>
      </c>
      <c r="CC290" s="71">
        <f>AG290</f>
        <v>217</v>
      </c>
      <c r="CD290" s="72">
        <f>AK290</f>
        <v>227</v>
      </c>
      <c r="CE290" s="71">
        <f>AO290</f>
        <v>268</v>
      </c>
      <c r="CF290" s="72">
        <f>AS290</f>
        <v>313</v>
      </c>
      <c r="CG290" s="71" t="str">
        <f>AW290</f>
        <v>-</v>
      </c>
      <c r="CH290" s="70">
        <f>G290</f>
        <v>98</v>
      </c>
      <c r="CI290" s="71" t="str">
        <f>K290</f>
        <v>-</v>
      </c>
      <c r="CJ290" s="72">
        <f>O290</f>
        <v>131</v>
      </c>
      <c r="CK290" s="72">
        <f>S290</f>
        <v>135</v>
      </c>
      <c r="CL290" s="72">
        <f>W290</f>
        <v>171</v>
      </c>
      <c r="CM290" s="72">
        <f>AA290</f>
        <v>179</v>
      </c>
      <c r="CN290" s="72">
        <f>AE290</f>
        <v>204</v>
      </c>
      <c r="CO290" s="72">
        <f>AI290</f>
        <v>219</v>
      </c>
      <c r="CP290" s="72">
        <f>AM290</f>
        <v>262</v>
      </c>
      <c r="CQ290" s="72">
        <f>AQ290</f>
        <v>306</v>
      </c>
      <c r="CR290" s="72">
        <f>AU290</f>
        <v>336</v>
      </c>
      <c r="CS290" s="72" t="str">
        <f>AY290</f>
        <v>-</v>
      </c>
      <c r="CT290" s="23" t="e">
        <f>M290-K290</f>
        <v>#VALUE!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30" x14ac:dyDescent="0.2">
      <c r="A291" s="3" t="str">
        <f>CONCATENATE(B291,"_",C291)</f>
        <v>oprm_mouse_6DDF</v>
      </c>
      <c r="B291" s="3" t="s">
        <v>917</v>
      </c>
      <c r="C291" s="3" t="s">
        <v>1501</v>
      </c>
      <c r="D291" s="3" t="str">
        <f>IFERROR(MID(VLOOKUP($B291,Seqs!$A:$B,2,0),E291,1),"")</f>
        <v>T</v>
      </c>
      <c r="E291" s="3">
        <v>67</v>
      </c>
      <c r="F291" s="3" t="str">
        <f>IFERROR(MID(VLOOKUP($B291,Seqs!$A:$B,2,0),G291,1),"")</f>
        <v>K</v>
      </c>
      <c r="G291" s="3">
        <v>98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A</v>
      </c>
      <c r="M291" s="3">
        <v>102</v>
      </c>
      <c r="N291" s="3" t="str">
        <f>IFERROR(MID(VLOOKUP($B291,Seqs!$A:$B,2,0),O291,1),"")</f>
        <v>G</v>
      </c>
      <c r="O291" s="3">
        <v>131</v>
      </c>
      <c r="P291" s="3" t="str">
        <f>IFERROR(MID(VLOOKUP($B291,Seqs!$A:$B,2,0),Q291,1),"")</f>
        <v>T</v>
      </c>
      <c r="Q291" s="3">
        <v>132</v>
      </c>
      <c r="R291" s="3" t="str">
        <f>IFERROR(MID(VLOOKUP($B291,Seqs!$A:$B,2,0),S291,1),"")</f>
        <v>F</v>
      </c>
      <c r="S291" s="3">
        <v>135</v>
      </c>
      <c r="T291" s="3" t="str">
        <f>IFERROR(MID(VLOOKUP($B291,Seqs!$A:$B,2,0),U291,1),"")</f>
        <v>G</v>
      </c>
      <c r="U291" s="3">
        <v>136</v>
      </c>
      <c r="V291" s="3" t="str">
        <f>IFERROR(MID(VLOOKUP($B291,Seqs!$A:$B,2,0),W291,1),"")</f>
        <v>H</v>
      </c>
      <c r="W291" s="3">
        <v>171</v>
      </c>
      <c r="X291" s="3" t="str">
        <f>IFERROR(MID(VLOOKUP($B291,Seqs!$A:$B,2,0),Y291,1),"")</f>
        <v>P</v>
      </c>
      <c r="Y291" s="3">
        <v>172</v>
      </c>
      <c r="Z291" s="3" t="str">
        <f>IFERROR(MID(VLOOKUP($B291,Seqs!$A:$B,2,0),AA291,1),"")</f>
        <v>R</v>
      </c>
      <c r="AA291" s="3">
        <v>179</v>
      </c>
      <c r="AB291" s="3" t="str">
        <f>IFERROR(MID(VLOOKUP($B291,Seqs!$A:$B,2,0),AC291,1),"")</f>
        <v>T</v>
      </c>
      <c r="AC291" s="3">
        <v>180</v>
      </c>
      <c r="AD291" s="3" t="str">
        <f>IFERROR(MID(VLOOKUP($B291,Seqs!$A:$B,2,0),AE291,1),"")</f>
        <v>F</v>
      </c>
      <c r="AE291" s="3">
        <v>204</v>
      </c>
      <c r="AF291" s="3" t="str">
        <f>IFERROR(MID(VLOOKUP($B291,Seqs!$A:$B,2,0),AG291,1),"")</f>
        <v>C</v>
      </c>
      <c r="AG291" s="3">
        <v>217</v>
      </c>
      <c r="AH291" s="3" t="str">
        <f>IFERROR(MID(VLOOKUP($B291,Seqs!$A:$B,2,0),AI291,1),"")</f>
        <v>L</v>
      </c>
      <c r="AI291" s="3">
        <v>219</v>
      </c>
      <c r="AJ291" s="3" t="str">
        <f>IFERROR(MID(VLOOKUP($B291,Seqs!$A:$B,2,0),AK291,1),"")</f>
        <v>Y</v>
      </c>
      <c r="AK291" s="3">
        <v>227</v>
      </c>
      <c r="AL291" s="3" t="str">
        <f>IFERROR(MID(VLOOKUP($B291,Seqs!$A:$B,2,0),AM291,1),"")</f>
        <v>V</v>
      </c>
      <c r="AM291" s="3">
        <v>262</v>
      </c>
      <c r="AN291" s="3" t="str">
        <f>IFERROR(MID(VLOOKUP($B291,Seqs!$A:$B,2,0),AO291,1),"")</f>
        <v>S</v>
      </c>
      <c r="AO291" s="3">
        <v>268</v>
      </c>
      <c r="AP291" s="3" t="str">
        <f>IFERROR(MID(VLOOKUP($B291,Seqs!$A:$B,2,0),AQ291,1),"")</f>
        <v>I</v>
      </c>
      <c r="AQ291" s="3">
        <v>306</v>
      </c>
      <c r="AR291" s="3" t="str">
        <f>IFERROR(MID(VLOOKUP($B291,Seqs!$A:$B,2,0),AS291,1),"")</f>
        <v>F</v>
      </c>
      <c r="AS291" s="3">
        <v>313</v>
      </c>
      <c r="AT291" s="3" t="str">
        <f>IFERROR(MID(VLOOKUP($B291,Seqs!$A:$B,2,0),AU291,1),"")</f>
        <v>Y</v>
      </c>
      <c r="AU291" s="3">
        <v>336</v>
      </c>
      <c r="AV291" s="3" t="str">
        <f>IFERROR(MID(VLOOKUP($B291,Seqs!$A:$B,2,0),AW291,1),"")</f>
        <v/>
      </c>
      <c r="AW291" s="3" t="s">
        <v>23</v>
      </c>
      <c r="AX291" s="3" t="str">
        <f>IFERROR(MID(VLOOKUP($B291,Seqs!$A:$B,2,0),AY291,1),"")</f>
        <v/>
      </c>
      <c r="AY291" s="3" t="s">
        <v>23</v>
      </c>
      <c r="AZ291" s="77" t="str">
        <f>VLOOKUP(B291,Classification!A:D,2,0)</f>
        <v>A</v>
      </c>
      <c r="BA291" s="94" t="str">
        <f>VLOOKUP(B291,Classification!A:D,4,0)</f>
        <v>Opioid</v>
      </c>
      <c r="BB291" s="27" t="b">
        <f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>_xlfn.AGGREGATE(9,6,CH291:CS291)-_xlfn.AGGREGATE(9,6,BV291:CG291)+12</f>
        <v>239</v>
      </c>
      <c r="BD291" s="5" t="s">
        <v>23</v>
      </c>
      <c r="BE291" s="3" t="s">
        <v>1291</v>
      </c>
      <c r="BF291" s="118">
        <v>4.5</v>
      </c>
      <c r="BG291" s="49" t="s">
        <v>1422</v>
      </c>
      <c r="BH291" s="49" t="s">
        <v>1422</v>
      </c>
      <c r="BI291" s="1"/>
      <c r="BJ291" s="70" t="s">
        <v>1287</v>
      </c>
      <c r="BK291" s="57" t="s">
        <v>1287</v>
      </c>
      <c r="BL291" s="57" t="s">
        <v>1287</v>
      </c>
      <c r="BM291" s="57" t="s">
        <v>1287</v>
      </c>
      <c r="BN291" s="57" t="s">
        <v>1287</v>
      </c>
      <c r="BO291" s="57" t="s">
        <v>1287</v>
      </c>
      <c r="BP291" s="57" t="s">
        <v>1287</v>
      </c>
      <c r="BQ291" s="57" t="s">
        <v>1287</v>
      </c>
      <c r="BR291" s="57" t="s">
        <v>1287</v>
      </c>
      <c r="BS291" s="57" t="s">
        <v>1287</v>
      </c>
      <c r="BT291" s="57" t="s">
        <v>1287</v>
      </c>
      <c r="BU291" s="57" t="s">
        <v>1287</v>
      </c>
      <c r="BV291" s="70">
        <f>E291</f>
        <v>67</v>
      </c>
      <c r="BW291" s="71" t="str">
        <f>I291</f>
        <v>-</v>
      </c>
      <c r="BX291" s="72">
        <f>M291</f>
        <v>102</v>
      </c>
      <c r="BY291" s="71">
        <f>Q291</f>
        <v>132</v>
      </c>
      <c r="BZ291" s="72">
        <f>U291</f>
        <v>136</v>
      </c>
      <c r="CA291" s="71">
        <f>Y291</f>
        <v>172</v>
      </c>
      <c r="CB291" s="72">
        <f>AC291</f>
        <v>180</v>
      </c>
      <c r="CC291" s="71">
        <f>AG291</f>
        <v>217</v>
      </c>
      <c r="CD291" s="72">
        <f>AK291</f>
        <v>227</v>
      </c>
      <c r="CE291" s="71">
        <f>AO291</f>
        <v>268</v>
      </c>
      <c r="CF291" s="72">
        <f>AS291</f>
        <v>313</v>
      </c>
      <c r="CG291" s="71" t="str">
        <f>AW291</f>
        <v>-</v>
      </c>
      <c r="CH291" s="70">
        <f>G291</f>
        <v>98</v>
      </c>
      <c r="CI291" s="71" t="str">
        <f>K291</f>
        <v>-</v>
      </c>
      <c r="CJ291" s="72">
        <f>O291</f>
        <v>131</v>
      </c>
      <c r="CK291" s="72">
        <f>S291</f>
        <v>135</v>
      </c>
      <c r="CL291" s="72">
        <f>W291</f>
        <v>171</v>
      </c>
      <c r="CM291" s="72">
        <f>AA291</f>
        <v>179</v>
      </c>
      <c r="CN291" s="72">
        <f>AE291</f>
        <v>204</v>
      </c>
      <c r="CO291" s="72">
        <f>AI291</f>
        <v>219</v>
      </c>
      <c r="CP291" s="72">
        <f>AM291</f>
        <v>262</v>
      </c>
      <c r="CQ291" s="72">
        <f>AQ291</f>
        <v>306</v>
      </c>
      <c r="CR291" s="72">
        <f>AU291</f>
        <v>336</v>
      </c>
      <c r="CS291" s="72" t="str">
        <f>AY291</f>
        <v>-</v>
      </c>
      <c r="CT291" s="23" t="e">
        <f>M291-K291</f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30" x14ac:dyDescent="0.2">
      <c r="A292" s="3" t="str">
        <f t="shared" si="1955"/>
        <v>oprx_human__wt</v>
      </c>
      <c r="B292" s="3" t="s">
        <v>1173</v>
      </c>
      <c r="C292" s="3" t="s">
        <v>100</v>
      </c>
      <c r="D292" s="3" t="str">
        <f>IFERROR(MID(VLOOKUP($B292,Seqs!$A:$B,2,0),E292,1),"")</f>
        <v>L</v>
      </c>
      <c r="E292" s="3">
        <v>48</v>
      </c>
      <c r="F292" s="3" t="str">
        <f>IFERROR(MID(VLOOKUP($B292,Seqs!$A:$B,2,0),G292,1),"")</f>
        <v>H</v>
      </c>
      <c r="G292" s="3">
        <v>79</v>
      </c>
      <c r="H292" s="3" t="str">
        <f>IFERROR(MID(VLOOKUP($B292,Seqs!$A:$B,2,0),I292,1),"")</f>
        <v>T</v>
      </c>
      <c r="I292" s="23">
        <v>80</v>
      </c>
      <c r="J292" s="3" t="str">
        <f>IFERROR(MID(VLOOKUP($B292,Seqs!$A:$B,2,0),K292,1),"")</f>
        <v>K</v>
      </c>
      <c r="K292" s="23">
        <v>83</v>
      </c>
      <c r="L292" s="3" t="str">
        <f>IFERROR(MID(VLOOKUP($B292,Seqs!$A:$B,2,0),M292,1),"")</f>
        <v>T</v>
      </c>
      <c r="M292" s="3">
        <v>84</v>
      </c>
      <c r="N292" s="3" t="str">
        <f>IFERROR(MID(VLOOKUP($B292,Seqs!$A:$B,2,0),O292,1),"")</f>
        <v>L</v>
      </c>
      <c r="O292" s="3">
        <v>113</v>
      </c>
      <c r="P292" s="3" t="str">
        <f>IFERROR(MID(VLOOKUP($B292,Seqs!$A:$B,2,0),Q292,1),"")</f>
        <v>F</v>
      </c>
      <c r="Q292" s="3">
        <v>115</v>
      </c>
      <c r="R292" s="3" t="str">
        <f>IFERROR(MID(VLOOKUP($B292,Seqs!$A:$B,2,0),S292,1),"")</f>
        <v>F</v>
      </c>
      <c r="S292" s="3">
        <v>118</v>
      </c>
      <c r="T292" s="3" t="str">
        <f>IFERROR(MID(VLOOKUP($B292,Seqs!$A:$B,2,0),U292,1),"")</f>
        <v>G</v>
      </c>
      <c r="U292" s="3">
        <v>119</v>
      </c>
      <c r="V292" s="3" t="str">
        <f>IFERROR(MID(VLOOKUP($B292,Seqs!$A:$B,2,0),W292,1),"")</f>
        <v>H</v>
      </c>
      <c r="W292" s="3">
        <v>154</v>
      </c>
      <c r="X292" s="3" t="str">
        <f>IFERROR(MID(VLOOKUP($B292,Seqs!$A:$B,2,0),Y292,1),"")</f>
        <v>P</v>
      </c>
      <c r="Y292" s="3">
        <v>155</v>
      </c>
      <c r="Z292" s="3" t="str">
        <f>IFERROR(MID(VLOOKUP($B292,Seqs!$A:$B,2,0),AA292,1),"")</f>
        <v>R</v>
      </c>
      <c r="AA292" s="3">
        <v>162</v>
      </c>
      <c r="AB292" s="3" t="str">
        <f>IFERROR(MID(VLOOKUP($B292,Seqs!$A:$B,2,0),AC292,1),"")</f>
        <v>T</v>
      </c>
      <c r="AC292" s="9">
        <v>163</v>
      </c>
      <c r="AD292" s="3" t="str">
        <f>IFERROR(MID(VLOOKUP($B292,Seqs!$A:$B,2,0),AE292,1),"")</f>
        <v>G</v>
      </c>
      <c r="AE292" s="3">
        <v>189</v>
      </c>
      <c r="AF292" s="3" t="str">
        <f>IFERROR(MID(VLOOKUP($B292,Seqs!$A:$B,2,0),AG292,1),"")</f>
        <v>C</v>
      </c>
      <c r="AG292" s="3">
        <v>200</v>
      </c>
      <c r="AH292" s="3" t="str">
        <f>IFERROR(MID(VLOOKUP($B292,Seqs!$A:$B,2,0),AI292,1),"")</f>
        <v>V</v>
      </c>
      <c r="AI292" s="3">
        <v>202</v>
      </c>
      <c r="AJ292" s="3" t="str">
        <f>IFERROR(MID(VLOOKUP($B292,Seqs!$A:$B,2,0),AK292,1),"")</f>
        <v>Q</v>
      </c>
      <c r="AK292" s="3">
        <v>208</v>
      </c>
      <c r="AL292" s="3" t="str">
        <f>IFERROR(MID(VLOOKUP($B292,Seqs!$A:$B,2,0),AM292,1),"")</f>
        <v>V</v>
      </c>
      <c r="AM292" s="3">
        <v>245</v>
      </c>
      <c r="AN292" s="3" t="str">
        <f>IFERROR(MID(VLOOKUP($B292,Seqs!$A:$B,2,0),AO292,1),"")</f>
        <v>S</v>
      </c>
      <c r="AO292" s="3">
        <v>251</v>
      </c>
      <c r="AP292" s="3" t="str">
        <f>IFERROR(MID(VLOOKUP($B292,Seqs!$A:$B,2,0),AQ292,1),"")</f>
        <v>G</v>
      </c>
      <c r="AQ292" s="3">
        <v>289</v>
      </c>
      <c r="AR292" s="3" t="str">
        <f>IFERROR(MID(VLOOKUP($B292,Seqs!$A:$B,2,0),AS292,1),"")</f>
        <v>S</v>
      </c>
      <c r="AS292" s="3">
        <v>294</v>
      </c>
      <c r="AT292" s="3" t="str">
        <f>IFERROR(MID(VLOOKUP($B292,Seqs!$A:$B,2,0),AU292,1),"")</f>
        <v>L</v>
      </c>
      <c r="AU292" s="3">
        <v>322</v>
      </c>
      <c r="AV292" s="3" t="str">
        <f>IFERROR(MID(VLOOKUP($B292,Seqs!$A:$B,2,0),AW292,1),"")</f>
        <v>D</v>
      </c>
      <c r="AW292" s="3">
        <v>323</v>
      </c>
      <c r="AX292" s="3" t="str">
        <f>IFERROR(MID(VLOOKUP($B292,Seqs!$A:$B,2,0),AY292,1),"")</f>
        <v>C</v>
      </c>
      <c r="AY292" s="3">
        <v>335</v>
      </c>
      <c r="AZ292" s="77" t="str">
        <f>VLOOKUP(B292,Classification!A:D,2,0)</f>
        <v>A</v>
      </c>
      <c r="BA292" s="94" t="str">
        <f>VLOOKUP(B292,Classification!A:D,4,0)</f>
        <v>Opioid</v>
      </c>
      <c r="BB292" s="27" t="b">
        <f t="shared" si="1956"/>
        <v>1</v>
      </c>
      <c r="BC292" s="23">
        <f t="shared" si="1705"/>
        <v>263</v>
      </c>
      <c r="BD292" s="56" t="s">
        <v>23</v>
      </c>
      <c r="BE292" s="3" t="s">
        <v>23</v>
      </c>
      <c r="BF292" s="118" t="s">
        <v>23</v>
      </c>
      <c r="BG292" s="49" t="s">
        <v>1372</v>
      </c>
      <c r="BH292" s="49" t="s">
        <v>1377</v>
      </c>
      <c r="BI292" s="1"/>
      <c r="BJ292" s="70" t="s">
        <v>1287</v>
      </c>
      <c r="BK292" s="57" t="s">
        <v>1287</v>
      </c>
      <c r="BL292" s="57" t="s">
        <v>1287</v>
      </c>
      <c r="BM292" s="57" t="s">
        <v>1287</v>
      </c>
      <c r="BN292" s="57" t="s">
        <v>1287</v>
      </c>
      <c r="BO292" s="57" t="s">
        <v>1287</v>
      </c>
      <c r="BP292" s="57" t="s">
        <v>1287</v>
      </c>
      <c r="BQ292" s="57" t="s">
        <v>1287</v>
      </c>
      <c r="BR292" s="57" t="s">
        <v>1287</v>
      </c>
      <c r="BS292" s="57" t="s">
        <v>1287</v>
      </c>
      <c r="BT292" s="57" t="s">
        <v>1287</v>
      </c>
      <c r="BU292" s="57" t="s">
        <v>1287</v>
      </c>
      <c r="BV292" s="70">
        <f t="shared" si="1706"/>
        <v>48</v>
      </c>
      <c r="BW292" s="71">
        <f t="shared" si="1707"/>
        <v>80</v>
      </c>
      <c r="BX292" s="72">
        <f t="shared" si="1708"/>
        <v>84</v>
      </c>
      <c r="BY292" s="71">
        <f t="shared" si="1709"/>
        <v>115</v>
      </c>
      <c r="BZ292" s="72">
        <f t="shared" si="1710"/>
        <v>119</v>
      </c>
      <c r="CA292" s="71">
        <f t="shared" si="1711"/>
        <v>155</v>
      </c>
      <c r="CB292" s="72">
        <f t="shared" si="1712"/>
        <v>163</v>
      </c>
      <c r="CC292" s="71">
        <f t="shared" si="1713"/>
        <v>200</v>
      </c>
      <c r="CD292" s="72">
        <f t="shared" si="1714"/>
        <v>208</v>
      </c>
      <c r="CE292" s="71">
        <f t="shared" si="1715"/>
        <v>251</v>
      </c>
      <c r="CF292" s="72">
        <f t="shared" si="1716"/>
        <v>294</v>
      </c>
      <c r="CG292" s="71">
        <f t="shared" si="1717"/>
        <v>323</v>
      </c>
      <c r="CH292" s="70">
        <f t="shared" si="1718"/>
        <v>79</v>
      </c>
      <c r="CI292" s="71">
        <f t="shared" si="1719"/>
        <v>83</v>
      </c>
      <c r="CJ292" s="72">
        <f t="shared" si="1720"/>
        <v>113</v>
      </c>
      <c r="CK292" s="72">
        <f t="shared" si="1721"/>
        <v>118</v>
      </c>
      <c r="CL292" s="72">
        <f t="shared" si="1722"/>
        <v>154</v>
      </c>
      <c r="CM292" s="72">
        <f t="shared" si="1723"/>
        <v>162</v>
      </c>
      <c r="CN292" s="72">
        <f t="shared" si="1724"/>
        <v>189</v>
      </c>
      <c r="CO292" s="72">
        <f t="shared" si="1725"/>
        <v>202</v>
      </c>
      <c r="CP292" s="72">
        <f t="shared" si="1726"/>
        <v>245</v>
      </c>
      <c r="CQ292" s="72">
        <f t="shared" si="1727"/>
        <v>289</v>
      </c>
      <c r="CR292" s="72">
        <f t="shared" si="1728"/>
        <v>322</v>
      </c>
      <c r="CS292" s="72">
        <f t="shared" si="1729"/>
        <v>335</v>
      </c>
      <c r="CT292" s="23">
        <f t="shared" si="1730"/>
        <v>1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30" x14ac:dyDescent="0.2">
      <c r="A293" s="3" t="str">
        <f t="shared" si="1955"/>
        <v>oprx_human_4EA3</v>
      </c>
      <c r="B293" s="3" t="s">
        <v>1173</v>
      </c>
      <c r="C293" s="3" t="s">
        <v>67</v>
      </c>
      <c r="D293" s="3" t="str">
        <f>IFERROR(MID(VLOOKUP($B293,Seqs!$A:$B,2,0),E293,1),"")</f>
        <v>L</v>
      </c>
      <c r="E293" s="3">
        <v>48</v>
      </c>
      <c r="F293" s="3" t="str">
        <f>IFERROR(MID(VLOOKUP($B293,Seqs!$A:$B,2,0),G293,1),"")</f>
        <v>H</v>
      </c>
      <c r="G293" s="3">
        <v>79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T</v>
      </c>
      <c r="M293" s="3">
        <v>84</v>
      </c>
      <c r="N293" s="3" t="str">
        <f>IFERROR(MID(VLOOKUP($B293,Seqs!$A:$B,2,0),O293,1),"")</f>
        <v>L</v>
      </c>
      <c r="O293" s="3">
        <v>113</v>
      </c>
      <c r="P293" s="3" t="str">
        <f>IFERROR(MID(VLOOKUP($B293,Seqs!$A:$B,2,0),Q293,1),"")</f>
        <v>F</v>
      </c>
      <c r="Q293" s="3">
        <v>115</v>
      </c>
      <c r="R293" s="3" t="str">
        <f>IFERROR(MID(VLOOKUP($B293,Seqs!$A:$B,2,0),S293,1),"")</f>
        <v>F</v>
      </c>
      <c r="S293" s="3">
        <v>118</v>
      </c>
      <c r="T293" s="3" t="str">
        <f>IFERROR(MID(VLOOKUP($B293,Seqs!$A:$B,2,0),U293,1),"")</f>
        <v>G</v>
      </c>
      <c r="U293" s="3">
        <v>119</v>
      </c>
      <c r="V293" s="3" t="str">
        <f>IFERROR(MID(VLOOKUP($B293,Seqs!$A:$B,2,0),W293,1),"")</f>
        <v>H</v>
      </c>
      <c r="W293" s="3">
        <v>154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T</v>
      </c>
      <c r="AC293" s="9">
        <v>163</v>
      </c>
      <c r="AD293" s="3" t="str">
        <f>IFERROR(MID(VLOOKUP($B293,Seqs!$A:$B,2,0),AE293,1),"")</f>
        <v>G</v>
      </c>
      <c r="AE293" s="3">
        <v>189</v>
      </c>
      <c r="AF293" s="3" t="str">
        <f>IFERROR(MID(VLOOKUP($B293,Seqs!$A:$B,2,0),AG293,1),"")</f>
        <v>C</v>
      </c>
      <c r="AG293" s="3">
        <v>200</v>
      </c>
      <c r="AH293" s="3" t="str">
        <f>IFERROR(MID(VLOOKUP($B293,Seqs!$A:$B,2,0),AI293,1),"")</f>
        <v>V</v>
      </c>
      <c r="AI293" s="3">
        <v>202</v>
      </c>
      <c r="AJ293" s="3" t="str">
        <f>IFERROR(MID(VLOOKUP($B293,Seqs!$A:$B,2,0),AK293,1),"")</f>
        <v>Q</v>
      </c>
      <c r="AK293" s="3">
        <v>208</v>
      </c>
      <c r="AL293" s="3" t="str">
        <f>IFERROR(MID(VLOOKUP($B293,Seqs!$A:$B,2,0),AM293,1),"")</f>
        <v>L</v>
      </c>
      <c r="AM293" s="3">
        <v>242</v>
      </c>
      <c r="AN293" s="3" t="str">
        <f>IFERROR(MID(VLOOKUP($B293,Seqs!$A:$B,2,0),AO293,1),"")</f>
        <v>S</v>
      </c>
      <c r="AO293" s="3">
        <v>251</v>
      </c>
      <c r="AP293" s="3" t="str">
        <f>IFERROR(MID(VLOOKUP($B293,Seqs!$A:$B,2,0),AQ293,1),"")</f>
        <v>G</v>
      </c>
      <c r="AQ293" s="3">
        <v>289</v>
      </c>
      <c r="AR293" s="3" t="str">
        <f>IFERROR(MID(VLOOKUP($B293,Seqs!$A:$B,2,0),AS293,1),"")</f>
        <v>S</v>
      </c>
      <c r="AS293" s="3">
        <v>294</v>
      </c>
      <c r="AT293" s="3" t="str">
        <f>IFERROR(MID(VLOOKUP($B293,Seqs!$A:$B,2,0),AU293,1),"")</f>
        <v>L</v>
      </c>
      <c r="AU293" s="3">
        <v>322</v>
      </c>
      <c r="AV293" s="3" t="str">
        <f>IFERROR(MID(VLOOKUP($B293,Seqs!$A:$B,2,0),AW293,1),"")</f>
        <v>D</v>
      </c>
      <c r="AW293" s="3">
        <v>323</v>
      </c>
      <c r="AX293" s="3" t="str">
        <f>IFERROR(MID(VLOOKUP($B293,Seqs!$A:$B,2,0),AY293,1),"")</f>
        <v>R</v>
      </c>
      <c r="AY293" s="3">
        <v>331</v>
      </c>
      <c r="AZ293" s="77" t="str">
        <f>VLOOKUP(B293,Classification!A:D,2,0)</f>
        <v>A</v>
      </c>
      <c r="BA293" s="94" t="str">
        <f>VLOOKUP(B293,Classification!A:D,4,0)</f>
        <v>Opioid</v>
      </c>
      <c r="BB293" s="27" t="b">
        <f t="shared" si="1956"/>
        <v>1</v>
      </c>
      <c r="BC293" s="23">
        <f t="shared" si="1705"/>
        <v>246</v>
      </c>
      <c r="BD293" s="5" t="s">
        <v>23</v>
      </c>
      <c r="BE293" s="3" t="s">
        <v>1374</v>
      </c>
      <c r="BF293" s="118">
        <v>3.01</v>
      </c>
      <c r="BG293" s="49" t="s">
        <v>1377</v>
      </c>
      <c r="BH293" s="49" t="s">
        <v>1377</v>
      </c>
      <c r="BI293" s="1"/>
      <c r="BJ293" s="70" t="s">
        <v>1287</v>
      </c>
      <c r="BK293" s="57" t="s">
        <v>1287</v>
      </c>
      <c r="BL293" s="57" t="s">
        <v>1287</v>
      </c>
      <c r="BM293" s="57" t="s">
        <v>1287</v>
      </c>
      <c r="BN293" s="57" t="s">
        <v>1287</v>
      </c>
      <c r="BO293" s="57" t="s">
        <v>1287</v>
      </c>
      <c r="BP293" s="57" t="s">
        <v>1287</v>
      </c>
      <c r="BQ293" s="57" t="s">
        <v>1287</v>
      </c>
      <c r="BR293" s="57" t="s">
        <v>1287</v>
      </c>
      <c r="BS293" s="57" t="s">
        <v>1287</v>
      </c>
      <c r="BT293" s="57" t="s">
        <v>1287</v>
      </c>
      <c r="BU293" s="57" t="s">
        <v>1287</v>
      </c>
      <c r="BV293" s="70">
        <f t="shared" si="1706"/>
        <v>48</v>
      </c>
      <c r="BW293" s="71" t="str">
        <f t="shared" si="1707"/>
        <v>-</v>
      </c>
      <c r="BX293" s="72">
        <f t="shared" si="1708"/>
        <v>84</v>
      </c>
      <c r="BY293" s="71">
        <f t="shared" si="1709"/>
        <v>115</v>
      </c>
      <c r="BZ293" s="72">
        <f t="shared" si="1710"/>
        <v>119</v>
      </c>
      <c r="CA293" s="71" t="str">
        <f t="shared" si="1711"/>
        <v>-</v>
      </c>
      <c r="CB293" s="72">
        <f t="shared" si="1712"/>
        <v>163</v>
      </c>
      <c r="CC293" s="71">
        <f t="shared" si="1713"/>
        <v>200</v>
      </c>
      <c r="CD293" s="72">
        <f t="shared" si="1714"/>
        <v>208</v>
      </c>
      <c r="CE293" s="71">
        <f t="shared" si="1715"/>
        <v>251</v>
      </c>
      <c r="CF293" s="72">
        <f t="shared" si="1716"/>
        <v>294</v>
      </c>
      <c r="CG293" s="71">
        <f t="shared" si="1717"/>
        <v>323</v>
      </c>
      <c r="CH293" s="70">
        <f t="shared" si="1718"/>
        <v>79</v>
      </c>
      <c r="CI293" s="71" t="str">
        <f t="shared" si="1719"/>
        <v>-</v>
      </c>
      <c r="CJ293" s="72">
        <f t="shared" si="1720"/>
        <v>113</v>
      </c>
      <c r="CK293" s="72">
        <f t="shared" si="1721"/>
        <v>118</v>
      </c>
      <c r="CL293" s="72">
        <f t="shared" si="1722"/>
        <v>154</v>
      </c>
      <c r="CM293" s="72" t="str">
        <f t="shared" si="1723"/>
        <v>-</v>
      </c>
      <c r="CN293" s="72">
        <f t="shared" si="1724"/>
        <v>189</v>
      </c>
      <c r="CO293" s="72">
        <f t="shared" si="1725"/>
        <v>202</v>
      </c>
      <c r="CP293" s="72">
        <f t="shared" si="1726"/>
        <v>242</v>
      </c>
      <c r="CQ293" s="72">
        <f t="shared" si="1727"/>
        <v>289</v>
      </c>
      <c r="CR293" s="72">
        <f t="shared" si="1728"/>
        <v>322</v>
      </c>
      <c r="CS293" s="72">
        <f t="shared" si="1729"/>
        <v>331</v>
      </c>
      <c r="CT293" s="23" t="e">
        <f t="shared" si="1730"/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30" x14ac:dyDescent="0.2">
      <c r="A294" s="3" t="str">
        <f t="shared" si="1955"/>
        <v>oprx_human_5DHG</v>
      </c>
      <c r="B294" s="3" t="s">
        <v>1173</v>
      </c>
      <c r="C294" s="3" t="s">
        <v>1355</v>
      </c>
      <c r="D294" s="3" t="str">
        <f>IFERROR(MID(VLOOKUP($B294,Seqs!$A:$B,2,0),E294,1),"")</f>
        <v>L</v>
      </c>
      <c r="E294" s="3">
        <v>48</v>
      </c>
      <c r="F294" s="3" t="str">
        <f>IFERROR(MID(VLOOKUP($B294,Seqs!$A:$B,2,0),G294,1),"")</f>
        <v>H</v>
      </c>
      <c r="G294" s="3">
        <v>79</v>
      </c>
      <c r="H294" s="3" t="str">
        <f>IFERROR(MID(VLOOKUP($B294,Seqs!$A:$B,2,0),I294,1),"")</f>
        <v/>
      </c>
      <c r="I294" s="23" t="s">
        <v>23</v>
      </c>
      <c r="J294" s="3" t="str">
        <f>IFERROR(MID(VLOOKUP($B294,Seqs!$A:$B,2,0),K294,1),"")</f>
        <v/>
      </c>
      <c r="K294" s="23" t="s">
        <v>23</v>
      </c>
      <c r="L294" s="3" t="str">
        <f>IFERROR(MID(VLOOKUP($B294,Seqs!$A:$B,2,0),M294,1),"")</f>
        <v>T</v>
      </c>
      <c r="M294" s="3">
        <v>84</v>
      </c>
      <c r="N294" s="3" t="str">
        <f>IFERROR(MID(VLOOKUP($B294,Seqs!$A:$B,2,0),O294,1),"")</f>
        <v>L</v>
      </c>
      <c r="O294" s="3">
        <v>113</v>
      </c>
      <c r="P294" s="3" t="str">
        <f>IFERROR(MID(VLOOKUP($B294,Seqs!$A:$B,2,0),Q294,1),"")</f>
        <v>F</v>
      </c>
      <c r="Q294" s="3">
        <v>115</v>
      </c>
      <c r="R294" s="3" t="str">
        <f>IFERROR(MID(VLOOKUP($B294,Seqs!$A:$B,2,0),S294,1),"")</f>
        <v>F</v>
      </c>
      <c r="S294" s="3">
        <v>118</v>
      </c>
      <c r="T294" s="3" t="str">
        <f>IFERROR(MID(VLOOKUP($B294,Seqs!$A:$B,2,0),U294,1),"")</f>
        <v>G</v>
      </c>
      <c r="U294" s="3">
        <v>119</v>
      </c>
      <c r="V294" s="3" t="str">
        <f>IFERROR(MID(VLOOKUP($B294,Seqs!$A:$B,2,0),W294,1),"")</f>
        <v>H</v>
      </c>
      <c r="W294" s="3">
        <v>154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T</v>
      </c>
      <c r="AC294" s="9">
        <v>163</v>
      </c>
      <c r="AD294" s="3" t="str">
        <f>IFERROR(MID(VLOOKUP($B294,Seqs!$A:$B,2,0),AE294,1),"")</f>
        <v>G</v>
      </c>
      <c r="AE294" s="3">
        <v>189</v>
      </c>
      <c r="AF294" s="3" t="str">
        <f>IFERROR(MID(VLOOKUP($B294,Seqs!$A:$B,2,0),AG294,1),"")</f>
        <v>C</v>
      </c>
      <c r="AG294" s="3">
        <v>200</v>
      </c>
      <c r="AH294" s="3" t="str">
        <f>IFERROR(MID(VLOOKUP($B294,Seqs!$A:$B,2,0),AI294,1),"")</f>
        <v>V</v>
      </c>
      <c r="AI294" s="3">
        <v>202</v>
      </c>
      <c r="AJ294" s="3" t="str">
        <f>IFERROR(MID(VLOOKUP($B294,Seqs!$A:$B,2,0),AK294,1),"")</f>
        <v>Q</v>
      </c>
      <c r="AK294" s="3">
        <v>208</v>
      </c>
      <c r="AL294" s="3" t="str">
        <f>IFERROR(MID(VLOOKUP($B294,Seqs!$A:$B,2,0),AM294,1),"")</f>
        <v>L</v>
      </c>
      <c r="AM294" s="3">
        <v>242</v>
      </c>
      <c r="AN294" s="3" t="str">
        <f>IFERROR(MID(VLOOKUP($B294,Seqs!$A:$B,2,0),AO294,1),"")</f>
        <v>S</v>
      </c>
      <c r="AO294" s="3">
        <v>251</v>
      </c>
      <c r="AP294" s="3" t="str">
        <f>IFERROR(MID(VLOOKUP($B294,Seqs!$A:$B,2,0),AQ294,1),"")</f>
        <v>G</v>
      </c>
      <c r="AQ294" s="3">
        <v>289</v>
      </c>
      <c r="AR294" s="3" t="str">
        <f>IFERROR(MID(VLOOKUP($B294,Seqs!$A:$B,2,0),AS294,1),"")</f>
        <v>S</v>
      </c>
      <c r="AS294" s="3">
        <v>294</v>
      </c>
      <c r="AT294" s="3" t="str">
        <f>IFERROR(MID(VLOOKUP($B294,Seqs!$A:$B,2,0),AU294,1),"")</f>
        <v>L</v>
      </c>
      <c r="AU294" s="3">
        <v>322</v>
      </c>
      <c r="AV294" s="3" t="str">
        <f>IFERROR(MID(VLOOKUP($B294,Seqs!$A:$B,2,0),AW294,1),"")</f>
        <v>D</v>
      </c>
      <c r="AW294" s="3">
        <v>323</v>
      </c>
      <c r="AX294" s="3" t="str">
        <f>IFERROR(MID(VLOOKUP($B294,Seqs!$A:$B,2,0),AY294,1),"")</f>
        <v>F</v>
      </c>
      <c r="AY294" s="3">
        <v>333</v>
      </c>
      <c r="AZ294" s="77" t="str">
        <f>VLOOKUP(B294,Classification!A:D,2,0)</f>
        <v>A</v>
      </c>
      <c r="BA294" s="94" t="str">
        <f>VLOOKUP(B294,Classification!A:D,4,0)</f>
        <v>Opioid</v>
      </c>
      <c r="BB294" s="27" t="b">
        <f t="shared" si="1956"/>
        <v>1</v>
      </c>
      <c r="BC294" s="23">
        <f t="shared" si="1705"/>
        <v>248</v>
      </c>
      <c r="BD294" s="16" t="s">
        <v>1376</v>
      </c>
      <c r="BE294" s="3" t="s">
        <v>1374</v>
      </c>
      <c r="BF294" s="118">
        <v>3</v>
      </c>
      <c r="BG294" s="49" t="s">
        <v>1281</v>
      </c>
      <c r="BH294" s="49" t="s">
        <v>1377</v>
      </c>
      <c r="BI294" s="1"/>
      <c r="BJ294" s="70" t="s">
        <v>1287</v>
      </c>
      <c r="BK294" s="57" t="s">
        <v>1287</v>
      </c>
      <c r="BL294" s="57" t="s">
        <v>1287</v>
      </c>
      <c r="BM294" s="57" t="s">
        <v>1287</v>
      </c>
      <c r="BN294" s="57" t="s">
        <v>1287</v>
      </c>
      <c r="BO294" s="57" t="s">
        <v>1287</v>
      </c>
      <c r="BP294" s="57" t="s">
        <v>1287</v>
      </c>
      <c r="BQ294" s="57" t="s">
        <v>1287</v>
      </c>
      <c r="BR294" s="57" t="s">
        <v>1287</v>
      </c>
      <c r="BS294" s="57" t="s">
        <v>1287</v>
      </c>
      <c r="BT294" s="57" t="s">
        <v>1287</v>
      </c>
      <c r="BU294" s="57" t="s">
        <v>1287</v>
      </c>
      <c r="BV294" s="70">
        <f t="shared" si="1706"/>
        <v>48</v>
      </c>
      <c r="BW294" s="71" t="str">
        <f t="shared" si="1707"/>
        <v>-</v>
      </c>
      <c r="BX294" s="72">
        <f t="shared" si="1708"/>
        <v>84</v>
      </c>
      <c r="BY294" s="71">
        <f t="shared" si="1709"/>
        <v>115</v>
      </c>
      <c r="BZ294" s="72">
        <f t="shared" si="1710"/>
        <v>119</v>
      </c>
      <c r="CA294" s="71" t="str">
        <f t="shared" si="1711"/>
        <v>-</v>
      </c>
      <c r="CB294" s="72">
        <f t="shared" si="1712"/>
        <v>163</v>
      </c>
      <c r="CC294" s="71">
        <f t="shared" si="1713"/>
        <v>200</v>
      </c>
      <c r="CD294" s="72">
        <f t="shared" si="1714"/>
        <v>208</v>
      </c>
      <c r="CE294" s="71">
        <f t="shared" si="1715"/>
        <v>251</v>
      </c>
      <c r="CF294" s="72">
        <f t="shared" si="1716"/>
        <v>294</v>
      </c>
      <c r="CG294" s="71">
        <f t="shared" si="1717"/>
        <v>323</v>
      </c>
      <c r="CH294" s="70">
        <f t="shared" si="1718"/>
        <v>79</v>
      </c>
      <c r="CI294" s="71" t="str">
        <f t="shared" si="1719"/>
        <v>-</v>
      </c>
      <c r="CJ294" s="72">
        <f t="shared" si="1720"/>
        <v>113</v>
      </c>
      <c r="CK294" s="72">
        <f t="shared" si="1721"/>
        <v>118</v>
      </c>
      <c r="CL294" s="72">
        <f t="shared" si="1722"/>
        <v>154</v>
      </c>
      <c r="CM294" s="72" t="str">
        <f t="shared" si="1723"/>
        <v>-</v>
      </c>
      <c r="CN294" s="72">
        <f t="shared" si="1724"/>
        <v>189</v>
      </c>
      <c r="CO294" s="72">
        <f t="shared" si="1725"/>
        <v>202</v>
      </c>
      <c r="CP294" s="72">
        <f t="shared" si="1726"/>
        <v>242</v>
      </c>
      <c r="CQ294" s="72">
        <f t="shared" si="1727"/>
        <v>289</v>
      </c>
      <c r="CR294" s="72">
        <f t="shared" si="1728"/>
        <v>322</v>
      </c>
      <c r="CS294" s="72">
        <f t="shared" si="1729"/>
        <v>333</v>
      </c>
      <c r="CT294" s="23" t="e">
        <f t="shared" si="1730"/>
        <v>#VALUE!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30" x14ac:dyDescent="0.2">
      <c r="A295" s="3" t="str">
        <f t="shared" si="1955"/>
        <v>oprx_human_5DHH</v>
      </c>
      <c r="B295" s="3" t="s">
        <v>1173</v>
      </c>
      <c r="C295" s="3" t="s">
        <v>1356</v>
      </c>
      <c r="D295" s="3" t="str">
        <f>IFERROR(MID(VLOOKUP($B295,Seqs!$A:$B,2,0),E295,1),"")</f>
        <v>L</v>
      </c>
      <c r="E295" s="3">
        <v>48</v>
      </c>
      <c r="F295" s="3" t="str">
        <f>IFERROR(MID(VLOOKUP($B295,Seqs!$A:$B,2,0),G295,1),"")</f>
        <v>H</v>
      </c>
      <c r="G295" s="3">
        <v>79</v>
      </c>
      <c r="H295" s="3" t="str">
        <f>IFERROR(MID(VLOOKUP($B295,Seqs!$A:$B,2,0),I295,1),"")</f>
        <v/>
      </c>
      <c r="I295" s="23" t="s">
        <v>23</v>
      </c>
      <c r="J295" s="3" t="str">
        <f>IFERROR(MID(VLOOKUP($B295,Seqs!$A:$B,2,0),K295,1),"")</f>
        <v/>
      </c>
      <c r="K295" s="23" t="s">
        <v>23</v>
      </c>
      <c r="L295" s="3" t="str">
        <f>IFERROR(MID(VLOOKUP($B295,Seqs!$A:$B,2,0),M295,1),"")</f>
        <v>T</v>
      </c>
      <c r="M295" s="3">
        <v>84</v>
      </c>
      <c r="N295" s="3" t="str">
        <f>IFERROR(MID(VLOOKUP($B295,Seqs!$A:$B,2,0),O295,1),"")</f>
        <v>L</v>
      </c>
      <c r="O295" s="3">
        <v>113</v>
      </c>
      <c r="P295" s="3" t="str">
        <f>IFERROR(MID(VLOOKUP($B295,Seqs!$A:$B,2,0),Q295,1),"")</f>
        <v>F</v>
      </c>
      <c r="Q295" s="3">
        <v>115</v>
      </c>
      <c r="R295" s="3" t="str">
        <f>IFERROR(MID(VLOOKUP($B295,Seqs!$A:$B,2,0),S295,1),"")</f>
        <v>F</v>
      </c>
      <c r="S295" s="3">
        <v>118</v>
      </c>
      <c r="T295" s="3" t="str">
        <f>IFERROR(MID(VLOOKUP($B295,Seqs!$A:$B,2,0),U295,1),"")</f>
        <v>G</v>
      </c>
      <c r="U295" s="3">
        <v>119</v>
      </c>
      <c r="V295" s="3" t="str">
        <f>IFERROR(MID(VLOOKUP($B295,Seqs!$A:$B,2,0),W295,1),"")</f>
        <v>H</v>
      </c>
      <c r="W295" s="3">
        <v>154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T</v>
      </c>
      <c r="AC295" s="9">
        <v>163</v>
      </c>
      <c r="AD295" s="3" t="str">
        <f>IFERROR(MID(VLOOKUP($B295,Seqs!$A:$B,2,0),AE295,1),"")</f>
        <v>G</v>
      </c>
      <c r="AE295" s="3">
        <v>189</v>
      </c>
      <c r="AF295" s="3" t="str">
        <f>IFERROR(MID(VLOOKUP($B295,Seqs!$A:$B,2,0),AG295,1),"")</f>
        <v>C</v>
      </c>
      <c r="AG295" s="3">
        <v>200</v>
      </c>
      <c r="AH295" s="3" t="str">
        <f>IFERROR(MID(VLOOKUP($B295,Seqs!$A:$B,2,0),AI295,1),"")</f>
        <v>V</v>
      </c>
      <c r="AI295" s="3">
        <v>202</v>
      </c>
      <c r="AJ295" s="3" t="str">
        <f>IFERROR(MID(VLOOKUP($B295,Seqs!$A:$B,2,0),AK295,1),"")</f>
        <v>Q</v>
      </c>
      <c r="AK295" s="3">
        <v>208</v>
      </c>
      <c r="AL295" s="3" t="str">
        <f>IFERROR(MID(VLOOKUP($B295,Seqs!$A:$B,2,0),AM295,1),"")</f>
        <v>L</v>
      </c>
      <c r="AM295" s="3">
        <v>242</v>
      </c>
      <c r="AN295" s="3" t="str">
        <f>IFERROR(MID(VLOOKUP($B295,Seqs!$A:$B,2,0),AO295,1),"")</f>
        <v>S</v>
      </c>
      <c r="AO295" s="3">
        <v>251</v>
      </c>
      <c r="AP295" s="3" t="str">
        <f>IFERROR(MID(VLOOKUP($B295,Seqs!$A:$B,2,0),AQ295,1),"")</f>
        <v>G</v>
      </c>
      <c r="AQ295" s="3">
        <v>289</v>
      </c>
      <c r="AR295" s="3" t="str">
        <f>IFERROR(MID(VLOOKUP($B295,Seqs!$A:$B,2,0),AS295,1),"")</f>
        <v>S</v>
      </c>
      <c r="AS295" s="3">
        <v>294</v>
      </c>
      <c r="AT295" s="3" t="str">
        <f>IFERROR(MID(VLOOKUP($B295,Seqs!$A:$B,2,0),AU295,1),"")</f>
        <v>L</v>
      </c>
      <c r="AU295" s="3">
        <v>322</v>
      </c>
      <c r="AV295" s="3" t="str">
        <f>IFERROR(MID(VLOOKUP($B295,Seqs!$A:$B,2,0),AW295,1),"")</f>
        <v>D</v>
      </c>
      <c r="AW295" s="3">
        <v>323</v>
      </c>
      <c r="AX295" s="3" t="str">
        <f>IFERROR(MID(VLOOKUP($B295,Seqs!$A:$B,2,0),AY295,1),"")</f>
        <v>R</v>
      </c>
      <c r="AY295" s="3">
        <v>331</v>
      </c>
      <c r="AZ295" s="77" t="str">
        <f>VLOOKUP(B295,Classification!A:D,2,0)</f>
        <v>A</v>
      </c>
      <c r="BA295" s="94" t="str">
        <f>VLOOKUP(B295,Classification!A:D,4,0)</f>
        <v>Opioid</v>
      </c>
      <c r="BB295" s="27" t="b">
        <f t="shared" si="1956"/>
        <v>1</v>
      </c>
      <c r="BC295" s="23">
        <f t="shared" si="1705"/>
        <v>246</v>
      </c>
      <c r="BD295" s="5" t="s">
        <v>23</v>
      </c>
      <c r="BE295" s="3" t="s">
        <v>1374</v>
      </c>
      <c r="BF295" s="118">
        <v>3</v>
      </c>
      <c r="BG295" s="49" t="s">
        <v>1</v>
      </c>
      <c r="BH295" s="49" t="s">
        <v>1377</v>
      </c>
      <c r="BI295" s="1" t="s">
        <v>1360</v>
      </c>
      <c r="BJ295" s="70" t="s">
        <v>1287</v>
      </c>
      <c r="BK295" s="57" t="s">
        <v>1287</v>
      </c>
      <c r="BL295" s="57" t="s">
        <v>1287</v>
      </c>
      <c r="BM295" s="57" t="s">
        <v>1287</v>
      </c>
      <c r="BN295" s="57" t="s">
        <v>1287</v>
      </c>
      <c r="BO295" s="57" t="s">
        <v>1287</v>
      </c>
      <c r="BP295" s="57" t="s">
        <v>1287</v>
      </c>
      <c r="BQ295" s="57" t="s">
        <v>1287</v>
      </c>
      <c r="BR295" s="57" t="s">
        <v>1287</v>
      </c>
      <c r="BS295" s="57" t="s">
        <v>1287</v>
      </c>
      <c r="BT295" s="57" t="s">
        <v>1287</v>
      </c>
      <c r="BU295" s="57" t="s">
        <v>1287</v>
      </c>
      <c r="BV295" s="70">
        <f t="shared" si="1706"/>
        <v>48</v>
      </c>
      <c r="BW295" s="71" t="str">
        <f t="shared" si="1707"/>
        <v>-</v>
      </c>
      <c r="BX295" s="72">
        <f t="shared" si="1708"/>
        <v>84</v>
      </c>
      <c r="BY295" s="71">
        <f t="shared" si="1709"/>
        <v>115</v>
      </c>
      <c r="BZ295" s="72">
        <f t="shared" si="1710"/>
        <v>119</v>
      </c>
      <c r="CA295" s="71" t="str">
        <f t="shared" si="1711"/>
        <v>-</v>
      </c>
      <c r="CB295" s="72">
        <f t="shared" si="1712"/>
        <v>163</v>
      </c>
      <c r="CC295" s="71">
        <f t="shared" si="1713"/>
        <v>200</v>
      </c>
      <c r="CD295" s="72">
        <f t="shared" si="1714"/>
        <v>208</v>
      </c>
      <c r="CE295" s="71">
        <f t="shared" si="1715"/>
        <v>251</v>
      </c>
      <c r="CF295" s="72">
        <f t="shared" si="1716"/>
        <v>294</v>
      </c>
      <c r="CG295" s="71">
        <f t="shared" si="1717"/>
        <v>323</v>
      </c>
      <c r="CH295" s="70">
        <f t="shared" si="1718"/>
        <v>79</v>
      </c>
      <c r="CI295" s="71" t="str">
        <f t="shared" si="1719"/>
        <v>-</v>
      </c>
      <c r="CJ295" s="72">
        <f t="shared" si="1720"/>
        <v>113</v>
      </c>
      <c r="CK295" s="72">
        <f t="shared" si="1721"/>
        <v>118</v>
      </c>
      <c r="CL295" s="72">
        <f t="shared" si="1722"/>
        <v>154</v>
      </c>
      <c r="CM295" s="72" t="str">
        <f t="shared" si="1723"/>
        <v>-</v>
      </c>
      <c r="CN295" s="72">
        <f t="shared" si="1724"/>
        <v>189</v>
      </c>
      <c r="CO295" s="72">
        <f t="shared" si="1725"/>
        <v>202</v>
      </c>
      <c r="CP295" s="72">
        <f t="shared" si="1726"/>
        <v>242</v>
      </c>
      <c r="CQ295" s="72">
        <f t="shared" si="1727"/>
        <v>289</v>
      </c>
      <c r="CR295" s="72">
        <f t="shared" si="1728"/>
        <v>322</v>
      </c>
      <c r="CS295" s="72">
        <f t="shared" si="1729"/>
        <v>331</v>
      </c>
      <c r="CT295" s="23" t="e">
        <f t="shared" si="1730"/>
        <v>#VALUE!</v>
      </c>
    </row>
    <row r="296" spans="1:1030" x14ac:dyDescent="0.2">
      <c r="A296" s="3" t="str">
        <f t="shared" si="1955"/>
        <v>opsd_bovin__wt</v>
      </c>
      <c r="B296" s="3" t="s">
        <v>919</v>
      </c>
      <c r="C296" s="3" t="s">
        <v>100</v>
      </c>
      <c r="D296" s="3" t="str">
        <f>IFERROR(MID(VLOOKUP($B296,Seqs!$A:$B,2,0),E296,1),"")</f>
        <v>E</v>
      </c>
      <c r="E296" s="105">
        <v>33</v>
      </c>
      <c r="F296" s="3" t="str">
        <f>IFERROR(MID(VLOOKUP($B296,Seqs!$A:$B,2,0),G296,1),"")</f>
        <v>H</v>
      </c>
      <c r="G296" s="3">
        <v>65</v>
      </c>
      <c r="H296" s="3" t="str">
        <f>IFERROR(MID(VLOOKUP($B296,Seqs!$A:$B,2,0),I296,1),"")</f>
        <v>K</v>
      </c>
      <c r="I296" s="23">
        <v>66</v>
      </c>
      <c r="J296" s="3" t="str">
        <f>IFERROR(MID(VLOOKUP($B296,Seqs!$A:$B,2,0),K296,1),"")</f>
        <v>R</v>
      </c>
      <c r="K296" s="23">
        <v>69</v>
      </c>
      <c r="L296" s="3" t="str">
        <f>IFERROR(MID(VLOOKUP($B296,Seqs!$A:$B,2,0),M296,1),"")</f>
        <v>T</v>
      </c>
      <c r="M296" s="3">
        <v>70</v>
      </c>
      <c r="N296" s="3" t="str">
        <f>IFERROR(MID(VLOOKUP($B296,Seqs!$A:$B,2,0),O296,1),"")</f>
        <v>H</v>
      </c>
      <c r="O296" s="3">
        <v>100</v>
      </c>
      <c r="P296" s="3" t="str">
        <f>IFERROR(MID(VLOOKUP($B296,Seqs!$A:$B,2,0),Q296,1),"")</f>
        <v>Y</v>
      </c>
      <c r="Q296" s="3">
        <v>102</v>
      </c>
      <c r="R296" s="3" t="str">
        <f>IFERROR(MID(VLOOKUP($B296,Seqs!$A:$B,2,0),S296,1),"")</f>
        <v>F</v>
      </c>
      <c r="S296" s="3">
        <v>105</v>
      </c>
      <c r="T296" s="3" t="str">
        <f>IFERROR(MID(VLOOKUP($B296,Seqs!$A:$B,2,0),U296,1),"")</f>
        <v>G</v>
      </c>
      <c r="U296" s="3">
        <v>106</v>
      </c>
      <c r="V296" s="3" t="str">
        <f>IFERROR(MID(VLOOKUP($B296,Seqs!$A:$B,2,0),W296,1),"")</f>
        <v>K</v>
      </c>
      <c r="W296" s="3">
        <v>141</v>
      </c>
      <c r="X296" s="3" t="str">
        <f>IFERROR(MID(VLOOKUP($B296,Seqs!$A:$B,2,0),Y296,1),"")</f>
        <v>P</v>
      </c>
      <c r="Y296" s="3">
        <v>142</v>
      </c>
      <c r="Z296" s="3" t="str">
        <f>IFERROR(MID(VLOOKUP($B296,Seqs!$A:$B,2,0),AA296,1),"")</f>
        <v>F</v>
      </c>
      <c r="AA296" s="105">
        <v>148</v>
      </c>
      <c r="AB296" s="3" t="str">
        <f>IFERROR(MID(VLOOKUP($B296,Seqs!$A:$B,2,0),AC296,1),"")</f>
        <v>G</v>
      </c>
      <c r="AC296" s="105">
        <v>149</v>
      </c>
      <c r="AD296" s="3" t="str">
        <f>IFERROR(MID(VLOOKUP($B296,Seqs!$A:$B,2,0),AE296,1),"")</f>
        <v>V</v>
      </c>
      <c r="AE296" s="3">
        <v>173</v>
      </c>
      <c r="AF296" s="3" t="str">
        <f>IFERROR(MID(VLOOKUP($B296,Seqs!$A:$B,2,0),AG296,1),"")</f>
        <v>C</v>
      </c>
      <c r="AG296" s="3">
        <v>187</v>
      </c>
      <c r="AH296" s="3" t="str">
        <f>IFERROR(MID(VLOOKUP($B296,Seqs!$A:$B,2,0),AI296,1),"")</f>
        <v>I</v>
      </c>
      <c r="AI296" s="3">
        <v>189</v>
      </c>
      <c r="AJ296" s="3" t="str">
        <f>IFERROR(MID(VLOOKUP($B296,Seqs!$A:$B,2,0),AK296,1),"")</f>
        <v>N</v>
      </c>
      <c r="AK296" s="3">
        <v>199</v>
      </c>
      <c r="AL296" s="3" t="str">
        <f>IFERROR(MID(VLOOKUP($B296,Seqs!$A:$B,2,0),AM296,1),"")</f>
        <v>Q</v>
      </c>
      <c r="AM296" s="3">
        <v>237</v>
      </c>
      <c r="AN296" s="3" t="str">
        <f>IFERROR(MID(VLOOKUP($B296,Seqs!$A:$B,2,0),AO296,1),"")</f>
        <v>S</v>
      </c>
      <c r="AO296" s="105">
        <v>240</v>
      </c>
      <c r="AP296" s="3" t="str">
        <f>IFERROR(MID(VLOOKUP($B296,Seqs!$A:$B,2,0),AQ296,1),"")</f>
        <v>H</v>
      </c>
      <c r="AQ296" s="3">
        <v>278</v>
      </c>
      <c r="AR296" s="3" t="str">
        <f>IFERROR(MID(VLOOKUP($B296,Seqs!$A:$B,2,0),AS296,1),"")</f>
        <v>G</v>
      </c>
      <c r="AS296" s="3">
        <v>284</v>
      </c>
      <c r="AT296" s="3" t="str">
        <f>IFERROR(MID(VLOOKUP($B296,Seqs!$A:$B,2,0),AU296,1),"")</f>
        <v>M</v>
      </c>
      <c r="AU296" s="3">
        <v>309</v>
      </c>
      <c r="AV296" s="3" t="str">
        <f>IFERROR(MID(VLOOKUP($B296,Seqs!$A:$B,2,0),AW296,1),"")</f>
        <v>N</v>
      </c>
      <c r="AW296" s="3">
        <v>310</v>
      </c>
      <c r="AX296" s="3" t="str">
        <f>IFERROR(MID(VLOOKUP($B296,Seqs!$A:$B,2,0),AY296,1),"")</f>
        <v>C</v>
      </c>
      <c r="AY296" s="3">
        <v>322</v>
      </c>
      <c r="AZ296" s="77" t="str">
        <f>VLOOKUP(B296,Classification!A:D,2,0)</f>
        <v>A</v>
      </c>
      <c r="BA296" s="94" t="str">
        <f>VLOOKUP(B296,Classification!A:D,4,0)</f>
        <v>Opsins</v>
      </c>
      <c r="BB296" s="27" t="b">
        <f t="shared" si="1956"/>
        <v>1</v>
      </c>
      <c r="BC296" s="23">
        <f t="shared" si="1705"/>
        <v>260</v>
      </c>
      <c r="BD296" s="34" t="s">
        <v>23</v>
      </c>
      <c r="BE296" s="3" t="s">
        <v>23</v>
      </c>
      <c r="BF296" s="118" t="s">
        <v>23</v>
      </c>
      <c r="BG296" s="49" t="s">
        <v>1372</v>
      </c>
      <c r="BH296" s="49" t="s">
        <v>1377</v>
      </c>
      <c r="BI296" s="1"/>
      <c r="BJ296" s="70" t="s">
        <v>1287</v>
      </c>
      <c r="BK296" s="57" t="s">
        <v>1287</v>
      </c>
      <c r="BL296" s="57" t="s">
        <v>1287</v>
      </c>
      <c r="BM296" s="57" t="s">
        <v>1287</v>
      </c>
      <c r="BN296" s="57" t="s">
        <v>1287</v>
      </c>
      <c r="BO296" s="57" t="s">
        <v>1287</v>
      </c>
      <c r="BP296" s="57" t="s">
        <v>1287</v>
      </c>
      <c r="BQ296" s="57" t="s">
        <v>1287</v>
      </c>
      <c r="BR296" s="57" t="s">
        <v>1287</v>
      </c>
      <c r="BS296" s="57" t="s">
        <v>1287</v>
      </c>
      <c r="BT296" s="57" t="s">
        <v>1287</v>
      </c>
      <c r="BU296" s="57" t="s">
        <v>1287</v>
      </c>
      <c r="BV296" s="70">
        <f t="shared" si="1706"/>
        <v>33</v>
      </c>
      <c r="BW296" s="71">
        <f t="shared" si="1707"/>
        <v>66</v>
      </c>
      <c r="BX296" s="72">
        <f t="shared" si="1708"/>
        <v>70</v>
      </c>
      <c r="BY296" s="71">
        <f t="shared" si="1709"/>
        <v>102</v>
      </c>
      <c r="BZ296" s="72">
        <f t="shared" si="1710"/>
        <v>106</v>
      </c>
      <c r="CA296" s="71">
        <f t="shared" si="1711"/>
        <v>142</v>
      </c>
      <c r="CB296" s="72">
        <f t="shared" si="1712"/>
        <v>149</v>
      </c>
      <c r="CC296" s="71">
        <f t="shared" si="1713"/>
        <v>187</v>
      </c>
      <c r="CD296" s="72">
        <f t="shared" si="1714"/>
        <v>199</v>
      </c>
      <c r="CE296" s="71">
        <f t="shared" si="1715"/>
        <v>240</v>
      </c>
      <c r="CF296" s="72">
        <f t="shared" si="1716"/>
        <v>284</v>
      </c>
      <c r="CG296" s="71">
        <f t="shared" si="1717"/>
        <v>310</v>
      </c>
      <c r="CH296" s="70">
        <f t="shared" si="1718"/>
        <v>65</v>
      </c>
      <c r="CI296" s="71">
        <f t="shared" si="1719"/>
        <v>69</v>
      </c>
      <c r="CJ296" s="72">
        <f t="shared" si="1720"/>
        <v>100</v>
      </c>
      <c r="CK296" s="72">
        <f t="shared" si="1721"/>
        <v>105</v>
      </c>
      <c r="CL296" s="72">
        <f t="shared" si="1722"/>
        <v>141</v>
      </c>
      <c r="CM296" s="72">
        <f t="shared" si="1723"/>
        <v>148</v>
      </c>
      <c r="CN296" s="72">
        <f t="shared" si="1724"/>
        <v>173</v>
      </c>
      <c r="CO296" s="72">
        <f t="shared" si="1725"/>
        <v>189</v>
      </c>
      <c r="CP296" s="72">
        <f t="shared" si="1726"/>
        <v>237</v>
      </c>
      <c r="CQ296" s="72">
        <f t="shared" si="1727"/>
        <v>278</v>
      </c>
      <c r="CR296" s="72">
        <f t="shared" si="1728"/>
        <v>309</v>
      </c>
      <c r="CS296" s="72">
        <f t="shared" si="1729"/>
        <v>322</v>
      </c>
      <c r="CT296" s="23">
        <f t="shared" si="1730"/>
        <v>1</v>
      </c>
    </row>
    <row r="297" spans="1:1030" x14ac:dyDescent="0.2">
      <c r="A297" s="3" t="str">
        <f t="shared" si="1955"/>
        <v>opsd_bovin_1GZM</v>
      </c>
      <c r="B297" s="3" t="s">
        <v>919</v>
      </c>
      <c r="C297" s="3" t="s">
        <v>1337</v>
      </c>
      <c r="D297" s="3" t="str">
        <f>IFERROR(MID(VLOOKUP($B297,Seqs!$A:$B,2,0),E297,1),"")</f>
        <v>E</v>
      </c>
      <c r="E297" s="105">
        <v>33</v>
      </c>
      <c r="F297" s="3" t="str">
        <f>IFERROR(MID(VLOOKUP($B297,Seqs!$A:$B,2,0),G297,1),"")</f>
        <v>H</v>
      </c>
      <c r="G297" s="3">
        <v>65</v>
      </c>
      <c r="H297" s="3" t="str">
        <f>IFERROR(MID(VLOOKUP($B297,Seqs!$A:$B,2,0),I297,1),"")</f>
        <v>K</v>
      </c>
      <c r="I297" s="23">
        <v>66</v>
      </c>
      <c r="J297" s="3" t="str">
        <f>IFERROR(MID(VLOOKUP($B297,Seqs!$A:$B,2,0),K297,1),"")</f>
        <v>R</v>
      </c>
      <c r="K297" s="23">
        <v>69</v>
      </c>
      <c r="L297" s="3" t="str">
        <f>IFERROR(MID(VLOOKUP($B297,Seqs!$A:$B,2,0),M297,1),"")</f>
        <v>T</v>
      </c>
      <c r="M297" s="3">
        <v>70</v>
      </c>
      <c r="N297" s="3" t="str">
        <f>IFERROR(MID(VLOOKUP($B297,Seqs!$A:$B,2,0),O297,1),"")</f>
        <v>H</v>
      </c>
      <c r="O297" s="3">
        <v>100</v>
      </c>
      <c r="P297" s="3" t="str">
        <f>IFERROR(MID(VLOOKUP($B297,Seqs!$A:$B,2,0),Q297,1),"")</f>
        <v>Y</v>
      </c>
      <c r="Q297" s="3">
        <v>102</v>
      </c>
      <c r="R297" s="3" t="str">
        <f>IFERROR(MID(VLOOKUP($B297,Seqs!$A:$B,2,0),S297,1),"")</f>
        <v>F</v>
      </c>
      <c r="S297" s="3">
        <v>105</v>
      </c>
      <c r="T297" s="3" t="str">
        <f>IFERROR(MID(VLOOKUP($B297,Seqs!$A:$B,2,0),U297,1),"")</f>
        <v>G</v>
      </c>
      <c r="U297" s="3">
        <v>106</v>
      </c>
      <c r="V297" s="3" t="str">
        <f>IFERROR(MID(VLOOKUP($B297,Seqs!$A:$B,2,0),W297,1),"")</f>
        <v>K</v>
      </c>
      <c r="W297" s="3">
        <v>141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G</v>
      </c>
      <c r="AC297" s="9">
        <v>149</v>
      </c>
      <c r="AD297" s="3" t="str">
        <f>IFERROR(MID(VLOOKUP($B297,Seqs!$A:$B,2,0),AE297,1),"")</f>
        <v>V</v>
      </c>
      <c r="AE297" s="3">
        <v>173</v>
      </c>
      <c r="AF297" s="3" t="str">
        <f>IFERROR(MID(VLOOKUP($B297,Seqs!$A:$B,2,0),AG297,1),"")</f>
        <v>C</v>
      </c>
      <c r="AG297" s="3">
        <v>187</v>
      </c>
      <c r="AH297" s="3" t="str">
        <f>IFERROR(MID(VLOOKUP($B297,Seqs!$A:$B,2,0),AI297,1),"")</f>
        <v>I</v>
      </c>
      <c r="AI297" s="3">
        <v>189</v>
      </c>
      <c r="AJ297" s="3" t="str">
        <f>IFERROR(MID(VLOOKUP($B297,Seqs!$A:$B,2,0),AK297,1),"")</f>
        <v>N</v>
      </c>
      <c r="AK297" s="3">
        <v>199</v>
      </c>
      <c r="AL297" s="3" t="str">
        <f>IFERROR(MID(VLOOKUP($B297,Seqs!$A:$B,2,0),AM297,1),"")</f>
        <v>A</v>
      </c>
      <c r="AM297" s="3">
        <v>233</v>
      </c>
      <c r="AN297" s="3" t="str">
        <f>IFERROR(MID(VLOOKUP($B297,Seqs!$A:$B,2,0),AO297,1),"")</f>
        <v>A</v>
      </c>
      <c r="AO297" s="3">
        <v>241</v>
      </c>
      <c r="AP297" s="3" t="str">
        <f>IFERROR(MID(VLOOKUP($B297,Seqs!$A:$B,2,0),AQ297,1),"")</f>
        <v>H</v>
      </c>
      <c r="AQ297" s="3">
        <v>278</v>
      </c>
      <c r="AR297" s="3" t="str">
        <f>IFERROR(MID(VLOOKUP($B297,Seqs!$A:$B,2,0),AS297,1),"")</f>
        <v>G</v>
      </c>
      <c r="AS297" s="3">
        <v>284</v>
      </c>
      <c r="AT297" s="3" t="str">
        <f>IFERROR(MID(VLOOKUP($B297,Seqs!$A:$B,2,0),AU297,1),"")</f>
        <v>M</v>
      </c>
      <c r="AU297" s="3">
        <v>309</v>
      </c>
      <c r="AV297" s="3" t="str">
        <f>IFERROR(MID(VLOOKUP($B297,Seqs!$A:$B,2,0),AW297,1),"")</f>
        <v>N</v>
      </c>
      <c r="AW297" s="3">
        <v>310</v>
      </c>
      <c r="AX297" s="3" t="str">
        <f>IFERROR(MID(VLOOKUP($B297,Seqs!$A:$B,2,0),AY297,1),"")</f>
        <v>C</v>
      </c>
      <c r="AY297" s="3">
        <v>322</v>
      </c>
      <c r="AZ297" s="77" t="str">
        <f>VLOOKUP(B297,Classification!A:D,2,0)</f>
        <v>A</v>
      </c>
      <c r="BA297" s="94" t="str">
        <f>VLOOKUP(B297,Classification!A:D,4,0)</f>
        <v>Opsins</v>
      </c>
      <c r="BB297" s="27" t="b">
        <f t="shared" si="1956"/>
        <v>1</v>
      </c>
      <c r="BC297" s="23">
        <f t="shared" si="1705"/>
        <v>249</v>
      </c>
      <c r="BD297" s="56" t="s">
        <v>1376</v>
      </c>
      <c r="BE297" s="3" t="s">
        <v>1374</v>
      </c>
      <c r="BF297" s="118">
        <v>2.65</v>
      </c>
      <c r="BG297" s="49" t="s">
        <v>1377</v>
      </c>
      <c r="BH297" s="49" t="s">
        <v>1377</v>
      </c>
      <c r="BI297" s="1"/>
      <c r="BJ297" s="70" t="s">
        <v>1287</v>
      </c>
      <c r="BK297" s="57" t="s">
        <v>1287</v>
      </c>
      <c r="BL297" s="57" t="s">
        <v>1287</v>
      </c>
      <c r="BM297" s="57" t="s">
        <v>1287</v>
      </c>
      <c r="BN297" s="57" t="s">
        <v>1287</v>
      </c>
      <c r="BO297" s="57" t="s">
        <v>1287</v>
      </c>
      <c r="BP297" s="57" t="s">
        <v>1287</v>
      </c>
      <c r="BQ297" s="57" t="s">
        <v>1287</v>
      </c>
      <c r="BR297" s="57" t="s">
        <v>1287</v>
      </c>
      <c r="BS297" s="57" t="s">
        <v>1287</v>
      </c>
      <c r="BT297" s="57" t="s">
        <v>1287</v>
      </c>
      <c r="BU297" s="57" t="s">
        <v>1287</v>
      </c>
      <c r="BV297" s="70">
        <f t="shared" si="1706"/>
        <v>33</v>
      </c>
      <c r="BW297" s="71">
        <f t="shared" si="1707"/>
        <v>66</v>
      </c>
      <c r="BX297" s="72">
        <f t="shared" si="1708"/>
        <v>70</v>
      </c>
      <c r="BY297" s="71">
        <f t="shared" si="1709"/>
        <v>102</v>
      </c>
      <c r="BZ297" s="72">
        <f t="shared" si="1710"/>
        <v>106</v>
      </c>
      <c r="CA297" s="71" t="str">
        <f t="shared" si="1711"/>
        <v>-</v>
      </c>
      <c r="CB297" s="72">
        <f t="shared" si="1712"/>
        <v>149</v>
      </c>
      <c r="CC297" s="71">
        <f t="shared" si="1713"/>
        <v>187</v>
      </c>
      <c r="CD297" s="72">
        <f t="shared" si="1714"/>
        <v>199</v>
      </c>
      <c r="CE297" s="71">
        <f t="shared" si="1715"/>
        <v>241</v>
      </c>
      <c r="CF297" s="72">
        <f t="shared" si="1716"/>
        <v>284</v>
      </c>
      <c r="CG297" s="71">
        <f t="shared" si="1717"/>
        <v>310</v>
      </c>
      <c r="CH297" s="70">
        <f t="shared" si="1718"/>
        <v>65</v>
      </c>
      <c r="CI297" s="71">
        <f t="shared" si="1719"/>
        <v>69</v>
      </c>
      <c r="CJ297" s="72">
        <f t="shared" si="1720"/>
        <v>100</v>
      </c>
      <c r="CK297" s="72">
        <f t="shared" si="1721"/>
        <v>105</v>
      </c>
      <c r="CL297" s="72">
        <f t="shared" si="1722"/>
        <v>141</v>
      </c>
      <c r="CM297" s="72" t="str">
        <f t="shared" si="1723"/>
        <v>-</v>
      </c>
      <c r="CN297" s="72">
        <f t="shared" si="1724"/>
        <v>173</v>
      </c>
      <c r="CO297" s="72">
        <f t="shared" si="1725"/>
        <v>189</v>
      </c>
      <c r="CP297" s="72">
        <f t="shared" si="1726"/>
        <v>233</v>
      </c>
      <c r="CQ297" s="72">
        <f t="shared" si="1727"/>
        <v>278</v>
      </c>
      <c r="CR297" s="72">
        <f t="shared" si="1728"/>
        <v>309</v>
      </c>
      <c r="CS297" s="72">
        <f t="shared" si="1729"/>
        <v>322</v>
      </c>
      <c r="CT297" s="23">
        <f t="shared" si="1730"/>
        <v>1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30" x14ac:dyDescent="0.2">
      <c r="A298" s="3" t="str">
        <f t="shared" si="1955"/>
        <v>opsd_bovin_1U19</v>
      </c>
      <c r="B298" s="3" t="s">
        <v>919</v>
      </c>
      <c r="C298" s="3" t="s">
        <v>53</v>
      </c>
      <c r="D298" s="3" t="str">
        <f>IFERROR(MID(VLOOKUP($B298,Seqs!$A:$B,2,0),E298,1),"")</f>
        <v>E</v>
      </c>
      <c r="E298" s="105">
        <v>33</v>
      </c>
      <c r="F298" s="3" t="str">
        <f>IFERROR(MID(VLOOKUP($B298,Seqs!$A:$B,2,0),G298,1),"")</f>
        <v>H</v>
      </c>
      <c r="G298" s="3">
        <v>65</v>
      </c>
      <c r="H298" s="3" t="str">
        <f>IFERROR(MID(VLOOKUP($B298,Seqs!$A:$B,2,0),I298,1),"")</f>
        <v>K</v>
      </c>
      <c r="I298" s="23">
        <v>66</v>
      </c>
      <c r="J298" s="3" t="str">
        <f>IFERROR(MID(VLOOKUP($B298,Seqs!$A:$B,2,0),K298,1),"")</f>
        <v>R</v>
      </c>
      <c r="K298" s="23">
        <v>69</v>
      </c>
      <c r="L298" s="3" t="str">
        <f>IFERROR(MID(VLOOKUP($B298,Seqs!$A:$B,2,0),M298,1),"")</f>
        <v>T</v>
      </c>
      <c r="M298" s="3">
        <v>70</v>
      </c>
      <c r="N298" s="3" t="str">
        <f>IFERROR(MID(VLOOKUP($B298,Seqs!$A:$B,2,0),O298,1),"")</f>
        <v>H</v>
      </c>
      <c r="O298" s="3">
        <v>100</v>
      </c>
      <c r="P298" s="3" t="str">
        <f>IFERROR(MID(VLOOKUP($B298,Seqs!$A:$B,2,0),Q298,1),"")</f>
        <v>Y</v>
      </c>
      <c r="Q298" s="3">
        <v>102</v>
      </c>
      <c r="R298" s="3" t="str">
        <f>IFERROR(MID(VLOOKUP($B298,Seqs!$A:$B,2,0),S298,1),"")</f>
        <v>F</v>
      </c>
      <c r="S298" s="3">
        <v>105</v>
      </c>
      <c r="T298" s="3" t="str">
        <f>IFERROR(MID(VLOOKUP($B298,Seqs!$A:$B,2,0),U298,1),"")</f>
        <v>G</v>
      </c>
      <c r="U298" s="3">
        <v>106</v>
      </c>
      <c r="V298" s="3" t="str">
        <f>IFERROR(MID(VLOOKUP($B298,Seqs!$A:$B,2,0),W298,1),"")</f>
        <v>K</v>
      </c>
      <c r="W298" s="3">
        <v>141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G</v>
      </c>
      <c r="AC298" s="9">
        <v>149</v>
      </c>
      <c r="AD298" s="3" t="str">
        <f>IFERROR(MID(VLOOKUP($B298,Seqs!$A:$B,2,0),AE298,1),"")</f>
        <v>V</v>
      </c>
      <c r="AE298" s="3">
        <v>173</v>
      </c>
      <c r="AF298" s="3" t="str">
        <f>IFERROR(MID(VLOOKUP($B298,Seqs!$A:$B,2,0),AG298,1),"")</f>
        <v>C</v>
      </c>
      <c r="AG298" s="3">
        <v>187</v>
      </c>
      <c r="AH298" s="3" t="str">
        <f>IFERROR(MID(VLOOKUP($B298,Seqs!$A:$B,2,0),AI298,1),"")</f>
        <v>I</v>
      </c>
      <c r="AI298" s="3">
        <v>189</v>
      </c>
      <c r="AJ298" s="3" t="str">
        <f>IFERROR(MID(VLOOKUP($B298,Seqs!$A:$B,2,0),AK298,1),"")</f>
        <v>N</v>
      </c>
      <c r="AK298" s="3">
        <v>199</v>
      </c>
      <c r="AL298" s="3" t="str">
        <f>IFERROR(MID(VLOOKUP($B298,Seqs!$A:$B,2,0),AM298,1),"")</f>
        <v>Q</v>
      </c>
      <c r="AM298" s="3">
        <v>225</v>
      </c>
      <c r="AN298" s="3" t="str">
        <f>IFERROR(MID(VLOOKUP($B298,Seqs!$A:$B,2,0),AO298,1),"")</f>
        <v>T</v>
      </c>
      <c r="AO298" s="3">
        <v>243</v>
      </c>
      <c r="AP298" s="3" t="str">
        <f>IFERROR(MID(VLOOKUP($B298,Seqs!$A:$B,2,0),AQ298,1),"")</f>
        <v>H</v>
      </c>
      <c r="AQ298" s="3">
        <v>278</v>
      </c>
      <c r="AR298" s="3" t="str">
        <f>IFERROR(MID(VLOOKUP($B298,Seqs!$A:$B,2,0),AS298,1),"")</f>
        <v>G</v>
      </c>
      <c r="AS298" s="3">
        <v>284</v>
      </c>
      <c r="AT298" s="3" t="str">
        <f>IFERROR(MID(VLOOKUP($B298,Seqs!$A:$B,2,0),AU298,1),"")</f>
        <v>M</v>
      </c>
      <c r="AU298" s="3">
        <v>309</v>
      </c>
      <c r="AV298" s="3" t="str">
        <f>IFERROR(MID(VLOOKUP($B298,Seqs!$A:$B,2,0),AW298,1),"")</f>
        <v>N</v>
      </c>
      <c r="AW298" s="3">
        <v>310</v>
      </c>
      <c r="AX298" s="3" t="str">
        <f>IFERROR(MID(VLOOKUP($B298,Seqs!$A:$B,2,0),AY298,1),"")</f>
        <v>C</v>
      </c>
      <c r="AY298" s="3">
        <v>322</v>
      </c>
      <c r="AZ298" s="77" t="str">
        <f>VLOOKUP(B298,Classification!A:D,2,0)</f>
        <v>A</v>
      </c>
      <c r="BA298" s="94" t="str">
        <f>VLOOKUP(B298,Classification!A:D,4,0)</f>
        <v>Opsins</v>
      </c>
      <c r="BB298" s="27" t="b">
        <f t="shared" si="1956"/>
        <v>1</v>
      </c>
      <c r="BC298" s="23">
        <f t="shared" si="1705"/>
        <v>239</v>
      </c>
      <c r="BD298" s="74" t="s">
        <v>23</v>
      </c>
      <c r="BE298" s="3" t="s">
        <v>1374</v>
      </c>
      <c r="BF298" s="118">
        <v>2.2000000000000002</v>
      </c>
      <c r="BG298" s="49" t="s">
        <v>1</v>
      </c>
      <c r="BH298" s="49" t="s">
        <v>1377</v>
      </c>
      <c r="BI298" s="1"/>
      <c r="BJ298" s="70" t="s">
        <v>1287</v>
      </c>
      <c r="BK298" s="57" t="s">
        <v>1287</v>
      </c>
      <c r="BL298" s="57" t="s">
        <v>1287</v>
      </c>
      <c r="BM298" s="57" t="s">
        <v>1287</v>
      </c>
      <c r="BN298" s="57" t="s">
        <v>1287</v>
      </c>
      <c r="BO298" s="57" t="s">
        <v>1287</v>
      </c>
      <c r="BP298" s="57" t="s">
        <v>1287</v>
      </c>
      <c r="BQ298" s="57" t="s">
        <v>1287</v>
      </c>
      <c r="BR298" s="57" t="s">
        <v>1287</v>
      </c>
      <c r="BS298" s="57" t="s">
        <v>1287</v>
      </c>
      <c r="BT298" s="57" t="s">
        <v>1287</v>
      </c>
      <c r="BU298" s="57" t="s">
        <v>1287</v>
      </c>
      <c r="BV298" s="70">
        <f t="shared" si="1706"/>
        <v>33</v>
      </c>
      <c r="BW298" s="71">
        <f t="shared" si="1707"/>
        <v>66</v>
      </c>
      <c r="BX298" s="72">
        <f t="shared" si="1708"/>
        <v>70</v>
      </c>
      <c r="BY298" s="71">
        <f t="shared" si="1709"/>
        <v>102</v>
      </c>
      <c r="BZ298" s="72">
        <f t="shared" si="1710"/>
        <v>106</v>
      </c>
      <c r="CA298" s="71" t="str">
        <f t="shared" si="1711"/>
        <v>-</v>
      </c>
      <c r="CB298" s="72">
        <f t="shared" si="1712"/>
        <v>149</v>
      </c>
      <c r="CC298" s="71">
        <f t="shared" si="1713"/>
        <v>187</v>
      </c>
      <c r="CD298" s="72">
        <f t="shared" si="1714"/>
        <v>199</v>
      </c>
      <c r="CE298" s="71">
        <f t="shared" si="1715"/>
        <v>243</v>
      </c>
      <c r="CF298" s="72">
        <f t="shared" si="1716"/>
        <v>284</v>
      </c>
      <c r="CG298" s="71">
        <f t="shared" si="1717"/>
        <v>310</v>
      </c>
      <c r="CH298" s="70">
        <f t="shared" si="1718"/>
        <v>65</v>
      </c>
      <c r="CI298" s="71">
        <f t="shared" si="1719"/>
        <v>69</v>
      </c>
      <c r="CJ298" s="72">
        <f t="shared" si="1720"/>
        <v>100</v>
      </c>
      <c r="CK298" s="72">
        <f t="shared" si="1721"/>
        <v>105</v>
      </c>
      <c r="CL298" s="72">
        <f t="shared" si="1722"/>
        <v>141</v>
      </c>
      <c r="CM298" s="72" t="str">
        <f t="shared" si="1723"/>
        <v>-</v>
      </c>
      <c r="CN298" s="72">
        <f t="shared" si="1724"/>
        <v>173</v>
      </c>
      <c r="CO298" s="72">
        <f t="shared" si="1725"/>
        <v>189</v>
      </c>
      <c r="CP298" s="72">
        <f t="shared" si="1726"/>
        <v>225</v>
      </c>
      <c r="CQ298" s="72">
        <f t="shared" si="1727"/>
        <v>278</v>
      </c>
      <c r="CR298" s="72">
        <f t="shared" si="1728"/>
        <v>309</v>
      </c>
      <c r="CS298" s="72">
        <f t="shared" si="1729"/>
        <v>322</v>
      </c>
      <c r="CT298" s="23">
        <f t="shared" si="1730"/>
        <v>1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30" x14ac:dyDescent="0.2">
      <c r="A299" s="3" t="str">
        <f t="shared" si="1955"/>
        <v>opsd_bovin_2X72</v>
      </c>
      <c r="B299" s="2" t="s">
        <v>919</v>
      </c>
      <c r="C299" s="3" t="s">
        <v>1369</v>
      </c>
      <c r="D299" s="3" t="str">
        <f>IFERROR(MID(VLOOKUP($B299,Seqs!$A:$B,2,0),E299,1),"")</f>
        <v>E</v>
      </c>
      <c r="E299" s="105">
        <v>33</v>
      </c>
      <c r="F299" s="3" t="str">
        <f>IFERROR(MID(VLOOKUP($B299,Seqs!$A:$B,2,0),G299,1),"")</f>
        <v>H</v>
      </c>
      <c r="G299" s="3">
        <v>65</v>
      </c>
      <c r="H299" s="3" t="str">
        <f>IFERROR(MID(VLOOKUP($B299,Seqs!$A:$B,2,0),I299,1),"")</f>
        <v>K</v>
      </c>
      <c r="I299" s="23">
        <v>66</v>
      </c>
      <c r="J299" s="3" t="str">
        <f>IFERROR(MID(VLOOKUP($B299,Seqs!$A:$B,2,0),K299,1),"")</f>
        <v>R</v>
      </c>
      <c r="K299" s="23">
        <v>69</v>
      </c>
      <c r="L299" s="3" t="str">
        <f>IFERROR(MID(VLOOKUP($B299,Seqs!$A:$B,2,0),M299,1),"")</f>
        <v>T</v>
      </c>
      <c r="M299" s="3">
        <v>70</v>
      </c>
      <c r="N299" s="3" t="str">
        <f>IFERROR(MID(VLOOKUP($B299,Seqs!$A:$B,2,0),O299,1),"")</f>
        <v>H</v>
      </c>
      <c r="O299" s="3">
        <v>100</v>
      </c>
      <c r="P299" s="3" t="str">
        <f>IFERROR(MID(VLOOKUP($B299,Seqs!$A:$B,2,0),Q299,1),"")</f>
        <v>Y</v>
      </c>
      <c r="Q299" s="3">
        <v>102</v>
      </c>
      <c r="R299" s="3" t="str">
        <f>IFERROR(MID(VLOOKUP($B299,Seqs!$A:$B,2,0),S299,1),"")</f>
        <v>F</v>
      </c>
      <c r="S299" s="3">
        <v>105</v>
      </c>
      <c r="T299" s="3" t="str">
        <f>IFERROR(MID(VLOOKUP($B299,Seqs!$A:$B,2,0),U299,1),"")</f>
        <v>G</v>
      </c>
      <c r="U299" s="3">
        <v>106</v>
      </c>
      <c r="V299" s="3" t="str">
        <f>IFERROR(MID(VLOOKUP($B299,Seqs!$A:$B,2,0),W299,1),"")</f>
        <v>K</v>
      </c>
      <c r="W299" s="3">
        <v>141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G</v>
      </c>
      <c r="AC299" s="9">
        <v>149</v>
      </c>
      <c r="AD299" s="3" t="str">
        <f>IFERROR(MID(VLOOKUP($B299,Seqs!$A:$B,2,0),AE299,1),"")</f>
        <v>V</v>
      </c>
      <c r="AE299" s="3">
        <v>173</v>
      </c>
      <c r="AF299" s="3" t="str">
        <f>IFERROR(MID(VLOOKUP($B299,Seqs!$A:$B,2,0),AG299,1),"")</f>
        <v>C</v>
      </c>
      <c r="AG299" s="3">
        <v>187</v>
      </c>
      <c r="AH299" s="3" t="str">
        <f>IFERROR(MID(VLOOKUP($B299,Seqs!$A:$B,2,0),AI299,1),"")</f>
        <v>I</v>
      </c>
      <c r="AI299" s="3">
        <v>189</v>
      </c>
      <c r="AJ299" s="3" t="str">
        <f>IFERROR(MID(VLOOKUP($B299,Seqs!$A:$B,2,0),AK299,1),"")</f>
        <v>N</v>
      </c>
      <c r="AK299" s="3">
        <v>199</v>
      </c>
      <c r="AL299" s="3" t="str">
        <f>IFERROR(MID(VLOOKUP($B299,Seqs!$A:$B,2,0),AM299,1),"")</f>
        <v>Q</v>
      </c>
      <c r="AM299" s="3">
        <v>237</v>
      </c>
      <c r="AN299" s="3" t="str">
        <f>IFERROR(MID(VLOOKUP($B299,Seqs!$A:$B,2,0),AO299,1),"")</f>
        <v>A</v>
      </c>
      <c r="AO299" s="3">
        <v>241</v>
      </c>
      <c r="AP299" s="3" t="str">
        <f>IFERROR(MID(VLOOKUP($B299,Seqs!$A:$B,2,0),AQ299,1),"")</f>
        <v>H</v>
      </c>
      <c r="AQ299" s="3">
        <v>278</v>
      </c>
      <c r="AR299" s="3" t="str">
        <f>IFERROR(MID(VLOOKUP($B299,Seqs!$A:$B,2,0),AS299,1),"")</f>
        <v>G</v>
      </c>
      <c r="AS299" s="3">
        <v>284</v>
      </c>
      <c r="AT299" s="3" t="str">
        <f>IFERROR(MID(VLOOKUP($B299,Seqs!$A:$B,2,0),AU299,1),"")</f>
        <v>M</v>
      </c>
      <c r="AU299" s="3">
        <v>309</v>
      </c>
      <c r="AV299" s="3" t="str">
        <f>IFERROR(MID(VLOOKUP($B299,Seqs!$A:$B,2,0),AW299,1),"")</f>
        <v>N</v>
      </c>
      <c r="AW299" s="3">
        <v>310</v>
      </c>
      <c r="AX299" s="3" t="str">
        <f>IFERROR(MID(VLOOKUP($B299,Seqs!$A:$B,2,0),AY299,1),"")</f>
        <v>C</v>
      </c>
      <c r="AY299" s="3">
        <v>322</v>
      </c>
      <c r="AZ299" s="77" t="str">
        <f>VLOOKUP(B299,Classification!A:D,2,0)</f>
        <v>A</v>
      </c>
      <c r="BA299" s="94" t="str">
        <f>VLOOKUP(B299,Classification!A:D,4,0)</f>
        <v>Opsins</v>
      </c>
      <c r="BB299" s="27" t="b">
        <f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23">
        <f>_xlfn.AGGREGATE(9,6,CH299:CS299)-_xlfn.AGGREGATE(9,6,BV299:CG299)+12</f>
        <v>253</v>
      </c>
      <c r="BD299" s="56" t="s">
        <v>23</v>
      </c>
      <c r="BE299" s="3" t="s">
        <v>1291</v>
      </c>
      <c r="BF299" s="118">
        <v>3</v>
      </c>
      <c r="BG299" s="49" t="s">
        <v>1377</v>
      </c>
      <c r="BH299" s="49" t="s">
        <v>1377</v>
      </c>
      <c r="BI299" s="1"/>
      <c r="BJ299" s="70" t="s">
        <v>1287</v>
      </c>
      <c r="BK299" s="57" t="s">
        <v>1287</v>
      </c>
      <c r="BL299" s="57" t="s">
        <v>1287</v>
      </c>
      <c r="BM299" s="57" t="s">
        <v>1287</v>
      </c>
      <c r="BN299" s="57" t="s">
        <v>1287</v>
      </c>
      <c r="BO299" s="57" t="s">
        <v>1287</v>
      </c>
      <c r="BP299" s="57" t="s">
        <v>1287</v>
      </c>
      <c r="BQ299" s="57" t="s">
        <v>1287</v>
      </c>
      <c r="BR299" s="57" t="s">
        <v>1287</v>
      </c>
      <c r="BS299" s="57" t="s">
        <v>1287</v>
      </c>
      <c r="BT299" s="57" t="s">
        <v>1287</v>
      </c>
      <c r="BU299" s="57" t="s">
        <v>1287</v>
      </c>
      <c r="BV299" s="70">
        <f>E299</f>
        <v>33</v>
      </c>
      <c r="BW299" s="71">
        <f>I299</f>
        <v>66</v>
      </c>
      <c r="BX299" s="72">
        <f>M299</f>
        <v>70</v>
      </c>
      <c r="BY299" s="71">
        <f>Q299</f>
        <v>102</v>
      </c>
      <c r="BZ299" s="72">
        <f>U299</f>
        <v>106</v>
      </c>
      <c r="CA299" s="71" t="str">
        <f>Y299</f>
        <v>-</v>
      </c>
      <c r="CB299" s="72">
        <f>AC299</f>
        <v>149</v>
      </c>
      <c r="CC299" s="71">
        <f>AG299</f>
        <v>187</v>
      </c>
      <c r="CD299" s="72">
        <f>AK299</f>
        <v>199</v>
      </c>
      <c r="CE299" s="71">
        <f>AO299</f>
        <v>241</v>
      </c>
      <c r="CF299" s="72">
        <f>AS299</f>
        <v>284</v>
      </c>
      <c r="CG299" s="71">
        <f>AW299</f>
        <v>310</v>
      </c>
      <c r="CH299" s="70">
        <f>G299</f>
        <v>65</v>
      </c>
      <c r="CI299" s="71">
        <f>K299</f>
        <v>69</v>
      </c>
      <c r="CJ299" s="72">
        <f>O299</f>
        <v>100</v>
      </c>
      <c r="CK299" s="72">
        <f>S299</f>
        <v>105</v>
      </c>
      <c r="CL299" s="72">
        <f>W299</f>
        <v>141</v>
      </c>
      <c r="CM299" s="72" t="str">
        <f>AA299</f>
        <v>-</v>
      </c>
      <c r="CN299" s="72">
        <f>AE299</f>
        <v>173</v>
      </c>
      <c r="CO299" s="72">
        <f>AI299</f>
        <v>189</v>
      </c>
      <c r="CP299" s="72">
        <f>AM299</f>
        <v>237</v>
      </c>
      <c r="CQ299" s="72">
        <f>AQ299</f>
        <v>278</v>
      </c>
      <c r="CR299" s="72">
        <f>AU299</f>
        <v>309</v>
      </c>
      <c r="CS299" s="72">
        <f>AY299</f>
        <v>322</v>
      </c>
      <c r="CT299" s="23">
        <f>M299-K299</f>
        <v>1</v>
      </c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"/>
      <c r="PA299" s="6"/>
      <c r="PB299" s="6"/>
      <c r="PC299" s="6"/>
      <c r="PD299" s="6"/>
      <c r="PE299" s="6"/>
      <c r="PF299" s="6"/>
      <c r="PG299" s="6"/>
      <c r="PH299" s="6"/>
      <c r="PI299" s="6"/>
      <c r="PJ299" s="6"/>
      <c r="PK299" s="6"/>
      <c r="PL299" s="6"/>
      <c r="PM299" s="6"/>
      <c r="PN299" s="6"/>
      <c r="PO299" s="6"/>
      <c r="PP299" s="6"/>
      <c r="PQ299" s="6"/>
      <c r="PR299" s="6"/>
      <c r="PS299" s="6"/>
      <c r="PT299" s="6"/>
      <c r="PU299" s="6"/>
      <c r="PV299" s="6"/>
      <c r="PW299" s="6"/>
      <c r="PX299" s="6"/>
      <c r="PY299" s="6"/>
      <c r="PZ299" s="6"/>
      <c r="QA299" s="6"/>
      <c r="QB299" s="6"/>
      <c r="QC299" s="6"/>
      <c r="QD299" s="6"/>
      <c r="QE299" s="6"/>
      <c r="QF299" s="6"/>
      <c r="QG299" s="6"/>
      <c r="QH299" s="6"/>
      <c r="QI299" s="6"/>
      <c r="QJ299" s="6"/>
      <c r="QK299" s="6"/>
      <c r="QL299" s="6"/>
      <c r="QM299" s="6"/>
      <c r="QN299" s="6"/>
      <c r="QO299" s="6"/>
      <c r="QP299" s="6"/>
      <c r="QQ299" s="6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  <c r="SC299" s="6"/>
      <c r="SD299" s="6"/>
      <c r="SE299" s="6"/>
      <c r="SF299" s="6"/>
      <c r="SG299" s="6"/>
      <c r="SH299" s="6"/>
      <c r="SI299" s="6"/>
      <c r="SJ299" s="6"/>
      <c r="SK299" s="6"/>
      <c r="SL299" s="6"/>
      <c r="SM299" s="6"/>
      <c r="SN299" s="6"/>
      <c r="SO299" s="6"/>
      <c r="SP299" s="6"/>
      <c r="SQ299" s="6"/>
      <c r="SR299" s="6"/>
      <c r="SS299" s="6"/>
      <c r="ST299" s="6"/>
      <c r="SU299" s="6"/>
      <c r="SV299" s="6"/>
      <c r="SW299" s="6"/>
      <c r="SX299" s="6"/>
      <c r="SY299" s="6"/>
      <c r="SZ299" s="6"/>
      <c r="TA299" s="6"/>
      <c r="TB299" s="6"/>
      <c r="TC299" s="6"/>
      <c r="TD299" s="6"/>
      <c r="TE299" s="6"/>
      <c r="TF299" s="6"/>
      <c r="TG299" s="6"/>
      <c r="TH299" s="6"/>
      <c r="TI299" s="6"/>
      <c r="TJ299" s="6"/>
      <c r="TK299" s="6"/>
      <c r="TL299" s="6"/>
      <c r="TM299" s="6"/>
      <c r="TN299" s="6"/>
      <c r="TO299" s="6"/>
      <c r="TP299" s="6"/>
      <c r="TQ299" s="6"/>
      <c r="TR299" s="6"/>
      <c r="TS299" s="6"/>
      <c r="TT299" s="6"/>
      <c r="TU299" s="6"/>
      <c r="TV299" s="6"/>
      <c r="TW299" s="6"/>
      <c r="TX299" s="6"/>
      <c r="TY299" s="6"/>
      <c r="TZ299" s="6"/>
      <c r="UA299" s="6"/>
      <c r="UB299" s="6"/>
      <c r="UC299" s="6"/>
      <c r="UD299" s="6"/>
      <c r="UE299" s="6"/>
      <c r="UF299" s="6"/>
      <c r="UG299" s="6"/>
      <c r="UH299" s="6"/>
      <c r="UI299" s="6"/>
      <c r="UJ299" s="6"/>
      <c r="UK299" s="6"/>
      <c r="UL299" s="6"/>
      <c r="UM299" s="6"/>
      <c r="UN299" s="6"/>
      <c r="UO299" s="6"/>
      <c r="UP299" s="6"/>
      <c r="UQ299" s="6"/>
      <c r="UR299" s="6"/>
      <c r="US299" s="6"/>
      <c r="UT299" s="6"/>
      <c r="UU299" s="6"/>
      <c r="UV299" s="6"/>
      <c r="UW299" s="6"/>
      <c r="UX299" s="6"/>
      <c r="UY299" s="6"/>
      <c r="UZ299" s="6"/>
      <c r="VA299" s="6"/>
      <c r="VB299" s="6"/>
      <c r="VC299" s="6"/>
      <c r="VD299" s="6"/>
      <c r="VE299" s="6"/>
      <c r="VF299" s="6"/>
      <c r="VG299" s="6"/>
      <c r="VH299" s="6"/>
      <c r="VI299" s="6"/>
      <c r="VJ299" s="6"/>
      <c r="VK299" s="6"/>
      <c r="VL299" s="6"/>
      <c r="VM299" s="6"/>
      <c r="VN299" s="6"/>
      <c r="VO299" s="6"/>
      <c r="VP299" s="6"/>
      <c r="VQ299" s="6"/>
      <c r="VR299" s="6"/>
      <c r="VS299" s="6"/>
      <c r="VT299" s="6"/>
      <c r="VU299" s="6"/>
      <c r="VV299" s="6"/>
      <c r="VW299" s="6"/>
      <c r="VX299" s="6"/>
      <c r="VY299" s="6"/>
      <c r="VZ299" s="6"/>
      <c r="WA299" s="6"/>
      <c r="WB299" s="6"/>
      <c r="WC299" s="6"/>
      <c r="WD299" s="6"/>
      <c r="WE299" s="6"/>
      <c r="WF299" s="6"/>
      <c r="WG299" s="6"/>
      <c r="WH299" s="6"/>
      <c r="WI299" s="6"/>
      <c r="WJ299" s="6"/>
      <c r="WK299" s="6"/>
      <c r="WL299" s="6"/>
      <c r="WM299" s="6"/>
      <c r="WN299" s="6"/>
      <c r="WO299" s="6"/>
      <c r="WP299" s="6"/>
      <c r="WQ299" s="6"/>
      <c r="WR299" s="6"/>
      <c r="WS299" s="6"/>
      <c r="WT299" s="6"/>
      <c r="WU299" s="6"/>
      <c r="WV299" s="6"/>
      <c r="WW299" s="6"/>
      <c r="WX299" s="6"/>
      <c r="WY299" s="6"/>
      <c r="WZ299" s="6"/>
      <c r="XA299" s="6"/>
      <c r="XB299" s="6"/>
      <c r="XC299" s="6"/>
      <c r="XD299" s="6"/>
      <c r="XE299" s="6"/>
      <c r="XF299" s="6"/>
      <c r="XG299" s="6"/>
      <c r="XH299" s="6"/>
      <c r="XI299" s="6"/>
      <c r="XJ299" s="6"/>
      <c r="XK299" s="6"/>
      <c r="XL299" s="6"/>
      <c r="XM299" s="6"/>
      <c r="XN299" s="6"/>
      <c r="XO299" s="6"/>
      <c r="XP299" s="6"/>
      <c r="XQ299" s="6"/>
      <c r="XR299" s="6"/>
      <c r="XS299" s="6"/>
      <c r="XT299" s="6"/>
      <c r="XU299" s="6"/>
      <c r="XV299" s="6"/>
      <c r="XW299" s="6"/>
      <c r="XX299" s="6"/>
      <c r="XY299" s="6"/>
      <c r="XZ299" s="6"/>
      <c r="YA299" s="6"/>
      <c r="YB299" s="6"/>
      <c r="YC299" s="6"/>
      <c r="YD299" s="6"/>
      <c r="YE299" s="6"/>
      <c r="YF299" s="6"/>
      <c r="YG299" s="6"/>
      <c r="YH299" s="6"/>
      <c r="YI299" s="6"/>
      <c r="YJ299" s="6"/>
      <c r="YK299" s="6"/>
      <c r="YL299" s="6"/>
      <c r="YM299" s="6"/>
      <c r="YN299" s="6"/>
      <c r="YO299" s="6"/>
      <c r="YP299" s="6"/>
      <c r="YQ299" s="6"/>
      <c r="YR299" s="6"/>
      <c r="YS299" s="6"/>
      <c r="YT299" s="6"/>
      <c r="YU299" s="6"/>
      <c r="YV299" s="6"/>
      <c r="YW299" s="6"/>
      <c r="YX299" s="6"/>
      <c r="YY299" s="6"/>
      <c r="YZ299" s="6"/>
      <c r="ZA299" s="6"/>
      <c r="ZB299" s="6"/>
      <c r="ZC299" s="6"/>
      <c r="ZD299" s="6"/>
      <c r="ZE299" s="6"/>
      <c r="ZF299" s="6"/>
      <c r="ZG299" s="6"/>
      <c r="ZH299" s="6"/>
      <c r="ZI299" s="6"/>
      <c r="ZJ299" s="6"/>
      <c r="ZK299" s="6"/>
      <c r="ZL299" s="6"/>
      <c r="ZM299" s="6"/>
      <c r="ZN299" s="6"/>
      <c r="ZO299" s="6"/>
      <c r="ZP299" s="6"/>
      <c r="ZQ299" s="6"/>
      <c r="ZR299" s="6"/>
      <c r="ZS299" s="6"/>
      <c r="ZT299" s="6"/>
      <c r="ZU299" s="6"/>
      <c r="ZV299" s="6"/>
      <c r="ZW299" s="6"/>
      <c r="ZX299" s="6"/>
      <c r="ZY299" s="6"/>
      <c r="ZZ299" s="6"/>
      <c r="AAA299" s="6"/>
      <c r="AAB299" s="6"/>
      <c r="AAC299" s="6"/>
      <c r="AAD299" s="6"/>
      <c r="AAE299" s="6"/>
      <c r="AAF299" s="6"/>
      <c r="AAG299" s="6"/>
      <c r="AAH299" s="6"/>
      <c r="AAI299" s="6"/>
      <c r="AAJ299" s="6"/>
      <c r="AAK299" s="6"/>
      <c r="AAL299" s="6"/>
      <c r="AAM299" s="6"/>
      <c r="AAN299" s="6"/>
      <c r="AAO299" s="6"/>
      <c r="AAP299" s="6"/>
      <c r="AAQ299" s="6"/>
      <c r="AAR299" s="6"/>
      <c r="AAS299" s="6"/>
      <c r="AAT299" s="6"/>
      <c r="AAU299" s="6"/>
      <c r="AAV299" s="6"/>
      <c r="AAW299" s="6"/>
      <c r="AAX299" s="6"/>
      <c r="AAY299" s="6"/>
      <c r="AAZ299" s="6"/>
      <c r="ABA299" s="6"/>
      <c r="ABB299" s="6"/>
      <c r="ABC299" s="6"/>
      <c r="ABD299" s="6"/>
      <c r="ABE299" s="6"/>
      <c r="ABF299" s="6"/>
      <c r="ABG299" s="6"/>
      <c r="ABH299" s="6"/>
      <c r="ABI299" s="6"/>
      <c r="ABJ299" s="6"/>
      <c r="ABK299" s="6"/>
      <c r="ABL299" s="6"/>
      <c r="ABM299" s="6"/>
      <c r="ABN299" s="6"/>
      <c r="ABO299" s="6"/>
      <c r="ABP299" s="6"/>
      <c r="ABQ299" s="6"/>
      <c r="ABR299" s="6"/>
      <c r="ABS299" s="6"/>
      <c r="ABT299" s="6"/>
      <c r="ABU299" s="6"/>
      <c r="ABV299" s="6"/>
      <c r="ABW299" s="6"/>
      <c r="ABX299" s="6"/>
      <c r="ABY299" s="6"/>
      <c r="ABZ299" s="6"/>
      <c r="ACA299" s="6"/>
      <c r="ACB299" s="6"/>
      <c r="ACC299" s="6"/>
      <c r="ACD299" s="6"/>
      <c r="ACE299" s="6"/>
      <c r="ACF299" s="6"/>
      <c r="ACG299" s="6"/>
      <c r="ACH299" s="6"/>
      <c r="ACI299" s="6"/>
      <c r="ACJ299" s="6"/>
      <c r="ACK299" s="6"/>
      <c r="ACL299" s="6"/>
      <c r="ACM299" s="6"/>
      <c r="ACN299" s="6"/>
      <c r="ACO299" s="6"/>
      <c r="ACP299" s="6"/>
      <c r="ACQ299" s="6"/>
      <c r="ACR299" s="6"/>
      <c r="ACS299" s="6"/>
      <c r="ACT299" s="6"/>
      <c r="ACU299" s="6"/>
      <c r="ACV299" s="6"/>
      <c r="ACW299" s="6"/>
      <c r="ACX299" s="6"/>
      <c r="ACY299" s="6"/>
      <c r="ACZ299" s="6"/>
      <c r="ADA299" s="6"/>
      <c r="ADB299" s="6"/>
      <c r="ADC299" s="6"/>
      <c r="ADD299" s="6"/>
      <c r="ADE299" s="6"/>
      <c r="ADF299" s="6"/>
      <c r="ADG299" s="6"/>
      <c r="ADH299" s="6"/>
      <c r="ADI299" s="6"/>
      <c r="ADJ299" s="6"/>
      <c r="ADK299" s="6"/>
      <c r="ADL299" s="6"/>
      <c r="ADM299" s="6"/>
      <c r="ADN299" s="6"/>
      <c r="ADO299" s="6"/>
      <c r="ADP299" s="6"/>
      <c r="ADQ299" s="6"/>
      <c r="ADR299" s="6"/>
      <c r="ADS299" s="6"/>
      <c r="ADT299" s="6"/>
      <c r="ADU299" s="6"/>
      <c r="ADV299" s="6"/>
      <c r="ADW299" s="6"/>
      <c r="ADX299" s="6"/>
      <c r="ADY299" s="6"/>
      <c r="ADZ299" s="6"/>
      <c r="AEA299" s="6"/>
      <c r="AEB299" s="6"/>
      <c r="AEC299" s="6"/>
      <c r="AED299" s="6"/>
      <c r="AEE299" s="6"/>
      <c r="AEF299" s="6"/>
      <c r="AEG299" s="6"/>
      <c r="AEH299" s="6"/>
      <c r="AEI299" s="6"/>
      <c r="AEJ299" s="6"/>
      <c r="AEK299" s="6"/>
      <c r="AEL299" s="6"/>
      <c r="AEM299" s="6"/>
      <c r="AEN299" s="6"/>
      <c r="AEO299" s="6"/>
      <c r="AEP299" s="6"/>
      <c r="AEQ299" s="6"/>
      <c r="AER299" s="6"/>
      <c r="AES299" s="6"/>
      <c r="AET299" s="6"/>
      <c r="AEU299" s="6"/>
      <c r="AEV299" s="6"/>
      <c r="AEW299" s="6"/>
      <c r="AEX299" s="6"/>
      <c r="AEY299" s="6"/>
      <c r="AEZ299" s="6"/>
      <c r="AFA299" s="6"/>
      <c r="AFB299" s="6"/>
      <c r="AFC299" s="6"/>
      <c r="AFD299" s="6"/>
      <c r="AFE299" s="6"/>
      <c r="AFF299" s="6"/>
      <c r="AFG299" s="6"/>
      <c r="AFH299" s="6"/>
      <c r="AFI299" s="6"/>
      <c r="AFJ299" s="6"/>
      <c r="AFK299" s="6"/>
      <c r="AFL299" s="6"/>
      <c r="AFM299" s="6"/>
      <c r="AFN299" s="6"/>
      <c r="AFO299" s="6"/>
      <c r="AFP299" s="6"/>
      <c r="AFQ299" s="6"/>
      <c r="AFR299" s="6"/>
      <c r="AFS299" s="6"/>
      <c r="AFT299" s="6"/>
      <c r="AFU299" s="6"/>
      <c r="AFV299" s="6"/>
      <c r="AFW299" s="6"/>
      <c r="AFX299" s="6"/>
      <c r="AFY299" s="6"/>
      <c r="AFZ299" s="6"/>
      <c r="AGA299" s="6"/>
      <c r="AGB299" s="6"/>
      <c r="AGC299" s="6"/>
      <c r="AGD299" s="6"/>
      <c r="AGE299" s="6"/>
      <c r="AGF299" s="6"/>
      <c r="AGG299" s="6"/>
      <c r="AGH299" s="6"/>
      <c r="AGI299" s="6"/>
      <c r="AGJ299" s="6"/>
      <c r="AGK299" s="6"/>
      <c r="AGL299" s="6"/>
      <c r="AGM299" s="6"/>
      <c r="AGN299" s="6"/>
      <c r="AGO299" s="6"/>
      <c r="AGP299" s="6"/>
      <c r="AGQ299" s="6"/>
      <c r="AGR299" s="6"/>
      <c r="AGS299" s="6"/>
      <c r="AGT299" s="6"/>
      <c r="AGU299" s="6"/>
      <c r="AGV299" s="6"/>
      <c r="AGW299" s="6"/>
      <c r="AGX299" s="6"/>
      <c r="AGY299" s="6"/>
      <c r="AGZ299" s="6"/>
      <c r="AHA299" s="6"/>
      <c r="AHB299" s="6"/>
      <c r="AHC299" s="6"/>
      <c r="AHD299" s="6"/>
      <c r="AHE299" s="6"/>
      <c r="AHF299" s="6"/>
      <c r="AHG299" s="6"/>
      <c r="AHH299" s="6"/>
      <c r="AHI299" s="6"/>
      <c r="AHJ299" s="6"/>
      <c r="AHK299" s="6"/>
      <c r="AHL299" s="6"/>
      <c r="AHM299" s="6"/>
      <c r="AHN299" s="6"/>
      <c r="AHO299" s="6"/>
      <c r="AHP299" s="6"/>
      <c r="AHQ299" s="6"/>
      <c r="AHR299" s="6"/>
      <c r="AHS299" s="6"/>
      <c r="AHT299" s="6"/>
      <c r="AHU299" s="6"/>
      <c r="AHV299" s="6"/>
      <c r="AHW299" s="6"/>
      <c r="AHX299" s="6"/>
      <c r="AHY299" s="6"/>
      <c r="AHZ299" s="6"/>
      <c r="AIA299" s="6"/>
      <c r="AIB299" s="6"/>
      <c r="AIC299" s="6"/>
      <c r="AID299" s="6"/>
      <c r="AIE299" s="6"/>
      <c r="AIF299" s="6"/>
      <c r="AIG299" s="6"/>
      <c r="AIH299" s="6"/>
      <c r="AII299" s="6"/>
      <c r="AIJ299" s="6"/>
      <c r="AIK299" s="6"/>
      <c r="AIL299" s="6"/>
      <c r="AIM299" s="6"/>
      <c r="AIN299" s="6"/>
      <c r="AIO299" s="6"/>
      <c r="AIP299" s="6"/>
      <c r="AIQ299" s="6"/>
      <c r="AIR299" s="6"/>
      <c r="AIS299" s="6"/>
      <c r="AIT299" s="6"/>
      <c r="AIU299" s="6"/>
      <c r="AIV299" s="6"/>
      <c r="AIW299" s="6"/>
      <c r="AIX299" s="6"/>
      <c r="AIY299" s="6"/>
      <c r="AIZ299" s="6"/>
      <c r="AJA299" s="6"/>
      <c r="AJB299" s="6"/>
      <c r="AJC299" s="6"/>
      <c r="AJD299" s="6"/>
      <c r="AJE299" s="6"/>
      <c r="AJF299" s="6"/>
      <c r="AJG299" s="6"/>
      <c r="AJH299" s="6"/>
      <c r="AJI299" s="6"/>
      <c r="AJJ299" s="6"/>
      <c r="AJK299" s="6"/>
      <c r="AJL299" s="6"/>
      <c r="AJM299" s="6"/>
      <c r="AJN299" s="6"/>
      <c r="AJO299" s="6"/>
      <c r="AJP299" s="6"/>
      <c r="AJQ299" s="6"/>
      <c r="AJR299" s="6"/>
      <c r="AJS299" s="6"/>
      <c r="AJT299" s="6"/>
      <c r="AJU299" s="6"/>
      <c r="AJV299" s="6"/>
      <c r="AJW299" s="6"/>
      <c r="AJX299" s="6"/>
      <c r="AJY299" s="6"/>
      <c r="AJZ299" s="6"/>
      <c r="AKA299" s="6"/>
      <c r="AKB299" s="6"/>
      <c r="AKC299" s="6"/>
      <c r="AKD299" s="6"/>
      <c r="AKE299" s="6"/>
      <c r="AKF299" s="6"/>
      <c r="AKG299" s="6"/>
      <c r="AKH299" s="6"/>
      <c r="AKI299" s="6"/>
      <c r="AKJ299" s="6"/>
      <c r="AKK299" s="6"/>
      <c r="AKL299" s="6"/>
      <c r="AKM299" s="6"/>
      <c r="AKN299" s="6"/>
      <c r="AKO299" s="6"/>
      <c r="AKP299" s="6"/>
      <c r="AKQ299" s="6"/>
      <c r="AKR299" s="6"/>
      <c r="AKS299" s="6"/>
      <c r="AKT299" s="6"/>
      <c r="AKU299" s="6"/>
      <c r="AKV299" s="6"/>
      <c r="AKW299" s="6"/>
      <c r="AKX299" s="6"/>
      <c r="AKY299" s="6"/>
      <c r="AKZ299" s="6"/>
      <c r="ALA299" s="6"/>
      <c r="ALB299" s="6"/>
      <c r="ALC299" s="6"/>
      <c r="ALD299" s="6"/>
      <c r="ALE299" s="6"/>
      <c r="ALF299" s="6"/>
      <c r="ALG299" s="6"/>
      <c r="ALH299" s="6"/>
      <c r="ALI299" s="6"/>
      <c r="ALJ299" s="6"/>
      <c r="ALK299" s="6"/>
      <c r="ALL299" s="6"/>
      <c r="ALM299" s="6"/>
      <c r="ALN299" s="6"/>
      <c r="ALO299" s="6"/>
      <c r="ALP299" s="6"/>
      <c r="ALQ299" s="6"/>
      <c r="ALR299" s="6"/>
      <c r="ALS299" s="6"/>
      <c r="ALT299" s="6"/>
      <c r="ALU299" s="6"/>
      <c r="ALV299" s="6"/>
      <c r="ALW299" s="6"/>
      <c r="ALX299" s="6"/>
      <c r="ALY299" s="6"/>
      <c r="ALZ299" s="6"/>
      <c r="AMA299" s="6"/>
      <c r="AMB299" s="6"/>
      <c r="AMC299" s="6"/>
      <c r="AMD299" s="6"/>
      <c r="AME299" s="6"/>
      <c r="AMF299" s="6"/>
      <c r="AMG299" s="6"/>
      <c r="AMH299" s="6"/>
      <c r="AMI299" s="6"/>
      <c r="AMJ299" s="6"/>
      <c r="AMK299" s="6"/>
      <c r="AML299" s="6"/>
      <c r="AMM299" s="6"/>
      <c r="AMN299" s="6"/>
      <c r="AMO299" s="6"/>
      <c r="AMP299" s="6"/>
    </row>
    <row r="300" spans="1:1030" x14ac:dyDescent="0.2">
      <c r="A300" s="3" t="str">
        <f t="shared" si="1955"/>
        <v>opsd_bovin_3DQB</v>
      </c>
      <c r="B300" s="3" t="s">
        <v>919</v>
      </c>
      <c r="C300" s="3" t="s">
        <v>54</v>
      </c>
      <c r="D300" s="3" t="str">
        <f>IFERROR(MID(VLOOKUP($B300,Seqs!$A:$B,2,0),E300,1),"")</f>
        <v>E</v>
      </c>
      <c r="E300" s="105">
        <v>33</v>
      </c>
      <c r="F300" s="3" t="str">
        <f>IFERROR(MID(VLOOKUP($B300,Seqs!$A:$B,2,0),G300,1),"")</f>
        <v>H</v>
      </c>
      <c r="G300" s="3">
        <v>65</v>
      </c>
      <c r="H300" s="3" t="str">
        <f>IFERROR(MID(VLOOKUP($B300,Seqs!$A:$B,2,0),I300,1),"")</f>
        <v>K</v>
      </c>
      <c r="I300" s="23">
        <v>66</v>
      </c>
      <c r="J300" s="3" t="str">
        <f>IFERROR(MID(VLOOKUP($B300,Seqs!$A:$B,2,0),K300,1),"")</f>
        <v>R</v>
      </c>
      <c r="K300" s="23">
        <v>69</v>
      </c>
      <c r="L300" s="3" t="str">
        <f>IFERROR(MID(VLOOKUP($B300,Seqs!$A:$B,2,0),M300,1),"")</f>
        <v>T</v>
      </c>
      <c r="M300" s="3">
        <v>70</v>
      </c>
      <c r="N300" s="3" t="str">
        <f>IFERROR(MID(VLOOKUP($B300,Seqs!$A:$B,2,0),O300,1),"")</f>
        <v>H</v>
      </c>
      <c r="O300" s="3">
        <v>100</v>
      </c>
      <c r="P300" s="3" t="str">
        <f>IFERROR(MID(VLOOKUP($B300,Seqs!$A:$B,2,0),Q300,1),"")</f>
        <v>Y</v>
      </c>
      <c r="Q300" s="3">
        <v>102</v>
      </c>
      <c r="R300" s="3" t="str">
        <f>IFERROR(MID(VLOOKUP($B300,Seqs!$A:$B,2,0),S300,1),"")</f>
        <v>F</v>
      </c>
      <c r="S300" s="3">
        <v>105</v>
      </c>
      <c r="T300" s="3" t="str">
        <f>IFERROR(MID(VLOOKUP($B300,Seqs!$A:$B,2,0),U300,1),"")</f>
        <v>G</v>
      </c>
      <c r="U300" s="3">
        <v>106</v>
      </c>
      <c r="V300" s="3" t="str">
        <f>IFERROR(MID(VLOOKUP($B300,Seqs!$A:$B,2,0),W300,1),"")</f>
        <v>K</v>
      </c>
      <c r="W300" s="3">
        <v>141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G</v>
      </c>
      <c r="AC300" s="9">
        <v>149</v>
      </c>
      <c r="AD300" s="3" t="str">
        <f>IFERROR(MID(VLOOKUP($B300,Seqs!$A:$B,2,0),AE300,1),"")</f>
        <v>V</v>
      </c>
      <c r="AE300" s="3">
        <v>173</v>
      </c>
      <c r="AF300" s="3" t="str">
        <f>IFERROR(MID(VLOOKUP($B300,Seqs!$A:$B,2,0),AG300,1),"")</f>
        <v>C</v>
      </c>
      <c r="AG300" s="3">
        <v>187</v>
      </c>
      <c r="AH300" s="3" t="str">
        <f>IFERROR(MID(VLOOKUP($B300,Seqs!$A:$B,2,0),AI300,1),"")</f>
        <v>I</v>
      </c>
      <c r="AI300" s="3">
        <v>189</v>
      </c>
      <c r="AJ300" s="3" t="str">
        <f>IFERROR(MID(VLOOKUP($B300,Seqs!$A:$B,2,0),AK300,1),"")</f>
        <v>N</v>
      </c>
      <c r="AK300" s="3">
        <v>199</v>
      </c>
      <c r="AL300" s="3" t="str">
        <f>IFERROR(MID(VLOOKUP($B300,Seqs!$A:$B,2,0),AM300,1),"")</f>
        <v>Q</v>
      </c>
      <c r="AM300" s="3">
        <v>237</v>
      </c>
      <c r="AN300" s="3" t="str">
        <f>IFERROR(MID(VLOOKUP($B300,Seqs!$A:$B,2,0),AO300,1),"")</f>
        <v>A</v>
      </c>
      <c r="AO300" s="3">
        <v>241</v>
      </c>
      <c r="AP300" s="3" t="str">
        <f>IFERROR(MID(VLOOKUP($B300,Seqs!$A:$B,2,0),AQ300,1),"")</f>
        <v>H</v>
      </c>
      <c r="AQ300" s="3">
        <v>278</v>
      </c>
      <c r="AR300" s="3" t="str">
        <f>IFERROR(MID(VLOOKUP($B300,Seqs!$A:$B,2,0),AS300,1),"")</f>
        <v>G</v>
      </c>
      <c r="AS300" s="3">
        <v>284</v>
      </c>
      <c r="AT300" s="3" t="str">
        <f>IFERROR(MID(VLOOKUP($B300,Seqs!$A:$B,2,0),AU300,1),"")</f>
        <v>M</v>
      </c>
      <c r="AU300" s="3">
        <v>309</v>
      </c>
      <c r="AV300" s="3" t="str">
        <f>IFERROR(MID(VLOOKUP($B300,Seqs!$A:$B,2,0),AW300,1),"")</f>
        <v>N</v>
      </c>
      <c r="AW300" s="3">
        <v>310</v>
      </c>
      <c r="AX300" s="3" t="str">
        <f>IFERROR(MID(VLOOKUP($B300,Seqs!$A:$B,2,0),AY300,1),"")</f>
        <v>C</v>
      </c>
      <c r="AY300" s="3">
        <v>322</v>
      </c>
      <c r="AZ300" s="77" t="str">
        <f>VLOOKUP(B300,Classification!A:D,2,0)</f>
        <v>A</v>
      </c>
      <c r="BA300" s="94" t="str">
        <f>VLOOKUP(B300,Classification!A:D,4,0)</f>
        <v>Opsins</v>
      </c>
      <c r="BB300" s="27" t="b">
        <f t="shared" si="1956"/>
        <v>1</v>
      </c>
      <c r="BC300" s="23">
        <f>_xlfn.AGGREGATE(9,6,CH300:CS300)-_xlfn.AGGREGATE(9,6,BV300:CG300)+12</f>
        <v>253</v>
      </c>
      <c r="BD300" s="74" t="s">
        <v>23</v>
      </c>
      <c r="BE300" s="3" t="s">
        <v>1291</v>
      </c>
      <c r="BF300" s="118">
        <v>3.2</v>
      </c>
      <c r="BG300" s="49" t="s">
        <v>1377</v>
      </c>
      <c r="BH300" s="49" t="s">
        <v>1377</v>
      </c>
      <c r="BI300" s="1"/>
      <c r="BJ300" s="70" t="s">
        <v>1287</v>
      </c>
      <c r="BK300" s="57" t="s">
        <v>1287</v>
      </c>
      <c r="BL300" s="57" t="s">
        <v>1287</v>
      </c>
      <c r="BM300" s="57" t="s">
        <v>1287</v>
      </c>
      <c r="BN300" s="57" t="s">
        <v>1287</v>
      </c>
      <c r="BO300" s="57" t="s">
        <v>1287</v>
      </c>
      <c r="BP300" s="57" t="s">
        <v>1287</v>
      </c>
      <c r="BQ300" s="57" t="s">
        <v>1287</v>
      </c>
      <c r="BR300" s="57" t="s">
        <v>1287</v>
      </c>
      <c r="BS300" s="57" t="s">
        <v>1287</v>
      </c>
      <c r="BT300" s="57" t="s">
        <v>1287</v>
      </c>
      <c r="BU300" s="57" t="s">
        <v>1287</v>
      </c>
      <c r="BV300" s="70">
        <f>E300</f>
        <v>33</v>
      </c>
      <c r="BW300" s="71">
        <f>I300</f>
        <v>66</v>
      </c>
      <c r="BX300" s="72">
        <f>M300</f>
        <v>70</v>
      </c>
      <c r="BY300" s="71">
        <f>Q300</f>
        <v>102</v>
      </c>
      <c r="BZ300" s="72">
        <f>U300</f>
        <v>106</v>
      </c>
      <c r="CA300" s="71" t="str">
        <f>Y300</f>
        <v>-</v>
      </c>
      <c r="CB300" s="72">
        <f>AC300</f>
        <v>149</v>
      </c>
      <c r="CC300" s="71">
        <f>AG300</f>
        <v>187</v>
      </c>
      <c r="CD300" s="72">
        <f>AK300</f>
        <v>199</v>
      </c>
      <c r="CE300" s="71">
        <f>AO300</f>
        <v>241</v>
      </c>
      <c r="CF300" s="72">
        <f>AS300</f>
        <v>284</v>
      </c>
      <c r="CG300" s="71">
        <f>AW300</f>
        <v>310</v>
      </c>
      <c r="CH300" s="70">
        <f>G300</f>
        <v>65</v>
      </c>
      <c r="CI300" s="71">
        <f>K300</f>
        <v>69</v>
      </c>
      <c r="CJ300" s="72">
        <f>O300</f>
        <v>100</v>
      </c>
      <c r="CK300" s="72">
        <f>S300</f>
        <v>105</v>
      </c>
      <c r="CL300" s="72">
        <f>W300</f>
        <v>141</v>
      </c>
      <c r="CM300" s="72" t="str">
        <f>AA300</f>
        <v>-</v>
      </c>
      <c r="CN300" s="72">
        <f>AE300</f>
        <v>173</v>
      </c>
      <c r="CO300" s="72">
        <f>AI300</f>
        <v>189</v>
      </c>
      <c r="CP300" s="72">
        <f>AM300</f>
        <v>237</v>
      </c>
      <c r="CQ300" s="72">
        <f>AQ300</f>
        <v>278</v>
      </c>
      <c r="CR300" s="72">
        <f>AU300</f>
        <v>309</v>
      </c>
      <c r="CS300" s="72">
        <f>AY300</f>
        <v>322</v>
      </c>
      <c r="CT300" s="23">
        <f>M300-K300</f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30" x14ac:dyDescent="0.2">
      <c r="A301" s="3" t="str">
        <f t="shared" si="1955"/>
        <v>opsd_bovin_3PQR</v>
      </c>
      <c r="B301" s="3" t="s">
        <v>919</v>
      </c>
      <c r="C301" s="3" t="s">
        <v>1032</v>
      </c>
      <c r="D301" s="3" t="str">
        <f>IFERROR(MID(VLOOKUP($B301,Seqs!$A:$B,2,0),E301,1),"")</f>
        <v>E</v>
      </c>
      <c r="E301" s="105">
        <v>33</v>
      </c>
      <c r="F301" s="3" t="str">
        <f>IFERROR(MID(VLOOKUP($B301,Seqs!$A:$B,2,0),G301,1),"")</f>
        <v>H</v>
      </c>
      <c r="G301" s="3">
        <v>65</v>
      </c>
      <c r="H301" s="3" t="str">
        <f>IFERROR(MID(VLOOKUP($B301,Seqs!$A:$B,2,0),I301,1),"")</f>
        <v>K</v>
      </c>
      <c r="I301" s="23">
        <v>66</v>
      </c>
      <c r="J301" s="3" t="str">
        <f>IFERROR(MID(VLOOKUP($B301,Seqs!$A:$B,2,0),K301,1),"")</f>
        <v>R</v>
      </c>
      <c r="K301" s="23">
        <v>69</v>
      </c>
      <c r="L301" s="3" t="str">
        <f>IFERROR(MID(VLOOKUP($B301,Seqs!$A:$B,2,0),M301,1),"")</f>
        <v>T</v>
      </c>
      <c r="M301" s="3">
        <v>70</v>
      </c>
      <c r="N301" s="3" t="str">
        <f>IFERROR(MID(VLOOKUP($B301,Seqs!$A:$B,2,0),O301,1),"")</f>
        <v>H</v>
      </c>
      <c r="O301" s="3">
        <v>100</v>
      </c>
      <c r="P301" s="3" t="str">
        <f>IFERROR(MID(VLOOKUP($B301,Seqs!$A:$B,2,0),Q301,1),"")</f>
        <v>Y</v>
      </c>
      <c r="Q301" s="3">
        <v>102</v>
      </c>
      <c r="R301" s="3" t="str">
        <f>IFERROR(MID(VLOOKUP($B301,Seqs!$A:$B,2,0),S301,1),"")</f>
        <v>F</v>
      </c>
      <c r="S301" s="3">
        <v>105</v>
      </c>
      <c r="T301" s="3" t="str">
        <f>IFERROR(MID(VLOOKUP($B301,Seqs!$A:$B,2,0),U301,1),"")</f>
        <v>G</v>
      </c>
      <c r="U301" s="3">
        <v>106</v>
      </c>
      <c r="V301" s="3" t="str">
        <f>IFERROR(MID(VLOOKUP($B301,Seqs!$A:$B,2,0),W301,1),"")</f>
        <v>K</v>
      </c>
      <c r="W301" s="3">
        <v>141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G</v>
      </c>
      <c r="AC301" s="9">
        <v>149</v>
      </c>
      <c r="AD301" s="3" t="str">
        <f>IFERROR(MID(VLOOKUP($B301,Seqs!$A:$B,2,0),AE301,1),"")</f>
        <v>V</v>
      </c>
      <c r="AE301" s="3">
        <v>173</v>
      </c>
      <c r="AF301" s="3" t="str">
        <f>IFERROR(MID(VLOOKUP($B301,Seqs!$A:$B,2,0),AG301,1),"")</f>
        <v>C</v>
      </c>
      <c r="AG301" s="3">
        <v>187</v>
      </c>
      <c r="AH301" s="3" t="str">
        <f>IFERROR(MID(VLOOKUP($B301,Seqs!$A:$B,2,0),AI301,1),"")</f>
        <v>I</v>
      </c>
      <c r="AI301" s="3">
        <v>189</v>
      </c>
      <c r="AJ301" s="3" t="str">
        <f>IFERROR(MID(VLOOKUP($B301,Seqs!$A:$B,2,0),AK301,1),"")</f>
        <v>N</v>
      </c>
      <c r="AK301" s="3">
        <v>199</v>
      </c>
      <c r="AL301" s="3" t="str">
        <f>IFERROR(MID(VLOOKUP($B301,Seqs!$A:$B,2,0),AM301,1),"")</f>
        <v>Q</v>
      </c>
      <c r="AM301" s="3">
        <v>237</v>
      </c>
      <c r="AN301" s="3" t="str">
        <f>IFERROR(MID(VLOOKUP($B301,Seqs!$A:$B,2,0),AO301,1),"")</f>
        <v>A</v>
      </c>
      <c r="AO301" s="3">
        <v>241</v>
      </c>
      <c r="AP301" s="3" t="str">
        <f>IFERROR(MID(VLOOKUP($B301,Seqs!$A:$B,2,0),AQ301,1),"")</f>
        <v>H</v>
      </c>
      <c r="AQ301" s="3">
        <v>278</v>
      </c>
      <c r="AR301" s="3" t="str">
        <f>IFERROR(MID(VLOOKUP($B301,Seqs!$A:$B,2,0),AS301,1),"")</f>
        <v>G</v>
      </c>
      <c r="AS301" s="3">
        <v>284</v>
      </c>
      <c r="AT301" s="3" t="str">
        <f>IFERROR(MID(VLOOKUP($B301,Seqs!$A:$B,2,0),AU301,1),"")</f>
        <v>M</v>
      </c>
      <c r="AU301" s="3">
        <v>309</v>
      </c>
      <c r="AV301" s="3" t="str">
        <f>IFERROR(MID(VLOOKUP($B301,Seqs!$A:$B,2,0),AW301,1),"")</f>
        <v>N</v>
      </c>
      <c r="AW301" s="3">
        <v>310</v>
      </c>
      <c r="AX301" s="3" t="str">
        <f>IFERROR(MID(VLOOKUP($B301,Seqs!$A:$B,2,0),AY301,1),"")</f>
        <v>C</v>
      </c>
      <c r="AY301" s="3">
        <v>322</v>
      </c>
      <c r="AZ301" s="77" t="str">
        <f>VLOOKUP(B301,Classification!A:D,2,0)</f>
        <v>A</v>
      </c>
      <c r="BA301" s="94" t="str">
        <f>VLOOKUP(B301,Classification!A:D,4,0)</f>
        <v>Opsins</v>
      </c>
      <c r="BB301" s="27" t="b">
        <f t="shared" si="1956"/>
        <v>1</v>
      </c>
      <c r="BC301" s="23">
        <f>_xlfn.AGGREGATE(9,6,CH301:CS301)-_xlfn.AGGREGATE(9,6,BV301:CG301)+12</f>
        <v>253</v>
      </c>
      <c r="BD301" s="4" t="s">
        <v>23</v>
      </c>
      <c r="BE301" s="3" t="s">
        <v>1291</v>
      </c>
      <c r="BF301" s="118">
        <v>2.85</v>
      </c>
      <c r="BG301" s="49" t="s">
        <v>1377</v>
      </c>
      <c r="BH301" s="49" t="s">
        <v>1377</v>
      </c>
      <c r="BI301" s="1"/>
      <c r="BJ301" s="70" t="s">
        <v>1287</v>
      </c>
      <c r="BK301" s="57" t="s">
        <v>1287</v>
      </c>
      <c r="BL301" s="57" t="s">
        <v>1287</v>
      </c>
      <c r="BM301" s="57" t="s">
        <v>1287</v>
      </c>
      <c r="BN301" s="57" t="s">
        <v>1287</v>
      </c>
      <c r="BO301" s="57" t="s">
        <v>1287</v>
      </c>
      <c r="BP301" s="57" t="s">
        <v>1287</v>
      </c>
      <c r="BQ301" s="57" t="s">
        <v>1287</v>
      </c>
      <c r="BR301" s="57" t="s">
        <v>1287</v>
      </c>
      <c r="BS301" s="57" t="s">
        <v>1287</v>
      </c>
      <c r="BT301" s="57" t="s">
        <v>1287</v>
      </c>
      <c r="BU301" s="57" t="s">
        <v>1287</v>
      </c>
      <c r="BV301" s="70">
        <f>E301</f>
        <v>33</v>
      </c>
      <c r="BW301" s="71">
        <f>I301</f>
        <v>66</v>
      </c>
      <c r="BX301" s="72">
        <f>M301</f>
        <v>70</v>
      </c>
      <c r="BY301" s="71">
        <f>Q301</f>
        <v>102</v>
      </c>
      <c r="BZ301" s="72">
        <f>U301</f>
        <v>106</v>
      </c>
      <c r="CA301" s="71" t="str">
        <f>Y301</f>
        <v>-</v>
      </c>
      <c r="CB301" s="72">
        <f>AC301</f>
        <v>149</v>
      </c>
      <c r="CC301" s="71">
        <f>AG301</f>
        <v>187</v>
      </c>
      <c r="CD301" s="72">
        <f>AK301</f>
        <v>199</v>
      </c>
      <c r="CE301" s="71">
        <f>AO301</f>
        <v>241</v>
      </c>
      <c r="CF301" s="72">
        <f>AS301</f>
        <v>284</v>
      </c>
      <c r="CG301" s="71">
        <f>AW301</f>
        <v>310</v>
      </c>
      <c r="CH301" s="70">
        <f>G301</f>
        <v>65</v>
      </c>
      <c r="CI301" s="71">
        <f>K301</f>
        <v>69</v>
      </c>
      <c r="CJ301" s="72">
        <f>O301</f>
        <v>100</v>
      </c>
      <c r="CK301" s="72">
        <f>S301</f>
        <v>105</v>
      </c>
      <c r="CL301" s="72">
        <f>W301</f>
        <v>141</v>
      </c>
      <c r="CM301" s="72" t="str">
        <f>AA301</f>
        <v>-</v>
      </c>
      <c r="CN301" s="72">
        <f>AE301</f>
        <v>173</v>
      </c>
      <c r="CO301" s="72">
        <f>AI301</f>
        <v>189</v>
      </c>
      <c r="CP301" s="72">
        <f>AM301</f>
        <v>237</v>
      </c>
      <c r="CQ301" s="72">
        <f>AQ301</f>
        <v>278</v>
      </c>
      <c r="CR301" s="72">
        <f>AU301</f>
        <v>309</v>
      </c>
      <c r="CS301" s="72">
        <f>AY301</f>
        <v>322</v>
      </c>
      <c r="CT301" s="23">
        <f>M301-K301</f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30" x14ac:dyDescent="0.2">
      <c r="A302" s="3" t="str">
        <f t="shared" si="1955"/>
        <v>opsd_bovin_4A4M</v>
      </c>
      <c r="B302" s="2" t="s">
        <v>919</v>
      </c>
      <c r="C302" s="3" t="s">
        <v>1370</v>
      </c>
      <c r="D302" s="3" t="str">
        <f>IFERROR(MID(VLOOKUP($B302,Seqs!$A:$B,2,0),E302,1),"")</f>
        <v>E</v>
      </c>
      <c r="E302" s="105">
        <v>33</v>
      </c>
      <c r="F302" s="3" t="str">
        <f>IFERROR(MID(VLOOKUP($B302,Seqs!$A:$B,2,0),G302,1),"")</f>
        <v>H</v>
      </c>
      <c r="G302" s="3">
        <v>65</v>
      </c>
      <c r="H302" s="3" t="str">
        <f>IFERROR(MID(VLOOKUP($B302,Seqs!$A:$B,2,0),I302,1),"")</f>
        <v>K</v>
      </c>
      <c r="I302" s="23">
        <v>66</v>
      </c>
      <c r="J302" s="3" t="str">
        <f>IFERROR(MID(VLOOKUP($B302,Seqs!$A:$B,2,0),K302,1),"")</f>
        <v>R</v>
      </c>
      <c r="K302" s="23">
        <v>69</v>
      </c>
      <c r="L302" s="3" t="str">
        <f>IFERROR(MID(VLOOKUP($B302,Seqs!$A:$B,2,0),M302,1),"")</f>
        <v>T</v>
      </c>
      <c r="M302" s="3">
        <v>70</v>
      </c>
      <c r="N302" s="3" t="str">
        <f>IFERROR(MID(VLOOKUP($B302,Seqs!$A:$B,2,0),O302,1),"")</f>
        <v>H</v>
      </c>
      <c r="O302" s="3">
        <v>100</v>
      </c>
      <c r="P302" s="3" t="str">
        <f>IFERROR(MID(VLOOKUP($B302,Seqs!$A:$B,2,0),Q302,1),"")</f>
        <v>Y</v>
      </c>
      <c r="Q302" s="3">
        <v>102</v>
      </c>
      <c r="R302" s="3" t="str">
        <f>IFERROR(MID(VLOOKUP($B302,Seqs!$A:$B,2,0),S302,1),"")</f>
        <v>F</v>
      </c>
      <c r="S302" s="3">
        <v>105</v>
      </c>
      <c r="T302" s="3" t="str">
        <f>IFERROR(MID(VLOOKUP($B302,Seqs!$A:$B,2,0),U302,1),"")</f>
        <v>G</v>
      </c>
      <c r="U302" s="3">
        <v>106</v>
      </c>
      <c r="V302" s="3" t="str">
        <f>IFERROR(MID(VLOOKUP($B302,Seqs!$A:$B,2,0),W302,1),"")</f>
        <v>K</v>
      </c>
      <c r="W302" s="3">
        <v>141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G</v>
      </c>
      <c r="AC302" s="9">
        <v>149</v>
      </c>
      <c r="AD302" s="3" t="str">
        <f>IFERROR(MID(VLOOKUP($B302,Seqs!$A:$B,2,0),AE302,1),"")</f>
        <v>V</v>
      </c>
      <c r="AE302" s="3">
        <v>173</v>
      </c>
      <c r="AF302" s="3" t="str">
        <f>IFERROR(MID(VLOOKUP($B302,Seqs!$A:$B,2,0),AG302,1),"")</f>
        <v>C</v>
      </c>
      <c r="AG302" s="3">
        <v>187</v>
      </c>
      <c r="AH302" s="3" t="str">
        <f>IFERROR(MID(VLOOKUP($B302,Seqs!$A:$B,2,0),AI302,1),"")</f>
        <v>I</v>
      </c>
      <c r="AI302" s="3">
        <v>189</v>
      </c>
      <c r="AJ302" s="3" t="str">
        <f>IFERROR(MID(VLOOKUP($B302,Seqs!$A:$B,2,0),AK302,1),"")</f>
        <v>N</v>
      </c>
      <c r="AK302" s="3">
        <v>199</v>
      </c>
      <c r="AL302" s="3" t="str">
        <f>IFERROR(MID(VLOOKUP($B302,Seqs!$A:$B,2,0),AM302,1),"")</f>
        <v>Q</v>
      </c>
      <c r="AM302" s="3">
        <v>237</v>
      </c>
      <c r="AN302" s="3" t="str">
        <f>IFERROR(MID(VLOOKUP($B302,Seqs!$A:$B,2,0),AO302,1),"")</f>
        <v>A</v>
      </c>
      <c r="AO302" s="3">
        <v>241</v>
      </c>
      <c r="AP302" s="3" t="str">
        <f>IFERROR(MID(VLOOKUP($B302,Seqs!$A:$B,2,0),AQ302,1),"")</f>
        <v>H</v>
      </c>
      <c r="AQ302" s="3">
        <v>278</v>
      </c>
      <c r="AR302" s="3" t="str">
        <f>IFERROR(MID(VLOOKUP($B302,Seqs!$A:$B,2,0),AS302,1),"")</f>
        <v>G</v>
      </c>
      <c r="AS302" s="3">
        <v>284</v>
      </c>
      <c r="AT302" s="3" t="str">
        <f>IFERROR(MID(VLOOKUP($B302,Seqs!$A:$B,2,0),AU302,1),"")</f>
        <v>M</v>
      </c>
      <c r="AU302" s="3">
        <v>309</v>
      </c>
      <c r="AV302" s="3" t="str">
        <f>IFERROR(MID(VLOOKUP($B302,Seqs!$A:$B,2,0),AW302,1),"")</f>
        <v>N</v>
      </c>
      <c r="AW302" s="3">
        <v>310</v>
      </c>
      <c r="AX302" s="3" t="str">
        <f>IFERROR(MID(VLOOKUP($B302,Seqs!$A:$B,2,0),AY302,1),"")</f>
        <v>C</v>
      </c>
      <c r="AY302" s="3">
        <v>322</v>
      </c>
      <c r="AZ302" s="77" t="str">
        <f>VLOOKUP(B302,Classification!A:D,2,0)</f>
        <v>A</v>
      </c>
      <c r="BA302" s="94" t="str">
        <f>VLOOKUP(B302,Classification!A:D,4,0)</f>
        <v>Opsins</v>
      </c>
      <c r="BB302" s="27" t="b">
        <f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23">
        <f>_xlfn.AGGREGATE(9,6,CH302:CS302)-_xlfn.AGGREGATE(9,6,BV302:CG302)+12</f>
        <v>253</v>
      </c>
      <c r="BD302" s="4" t="s">
        <v>23</v>
      </c>
      <c r="BE302" s="3" t="s">
        <v>1291</v>
      </c>
      <c r="BF302" s="118">
        <v>3.3</v>
      </c>
      <c r="BG302" s="49" t="s">
        <v>1377</v>
      </c>
      <c r="BH302" s="49" t="s">
        <v>1377</v>
      </c>
      <c r="BI302" s="1"/>
      <c r="BJ302" s="70" t="s">
        <v>1287</v>
      </c>
      <c r="BK302" s="57" t="s">
        <v>1287</v>
      </c>
      <c r="BL302" s="57" t="s">
        <v>1287</v>
      </c>
      <c r="BM302" s="57" t="s">
        <v>1287</v>
      </c>
      <c r="BN302" s="57" t="s">
        <v>1287</v>
      </c>
      <c r="BO302" s="57" t="s">
        <v>1287</v>
      </c>
      <c r="BP302" s="57" t="s">
        <v>1287</v>
      </c>
      <c r="BQ302" s="57" t="s">
        <v>1287</v>
      </c>
      <c r="BR302" s="57" t="s">
        <v>1287</v>
      </c>
      <c r="BS302" s="57" t="s">
        <v>1287</v>
      </c>
      <c r="BT302" s="57" t="s">
        <v>1287</v>
      </c>
      <c r="BU302" s="57" t="s">
        <v>1287</v>
      </c>
      <c r="BV302" s="70">
        <f>E302</f>
        <v>33</v>
      </c>
      <c r="BW302" s="71">
        <f>I302</f>
        <v>66</v>
      </c>
      <c r="BX302" s="72">
        <f>M302</f>
        <v>70</v>
      </c>
      <c r="BY302" s="71">
        <f>Q302</f>
        <v>102</v>
      </c>
      <c r="BZ302" s="72">
        <f>U302</f>
        <v>106</v>
      </c>
      <c r="CA302" s="71" t="str">
        <f>Y302</f>
        <v>-</v>
      </c>
      <c r="CB302" s="72">
        <f>AC302</f>
        <v>149</v>
      </c>
      <c r="CC302" s="71">
        <f>AG302</f>
        <v>187</v>
      </c>
      <c r="CD302" s="72">
        <f>AK302</f>
        <v>199</v>
      </c>
      <c r="CE302" s="71">
        <f>AO302</f>
        <v>241</v>
      </c>
      <c r="CF302" s="72">
        <f>AS302</f>
        <v>284</v>
      </c>
      <c r="CG302" s="71">
        <f>AW302</f>
        <v>310</v>
      </c>
      <c r="CH302" s="70">
        <f>G302</f>
        <v>65</v>
      </c>
      <c r="CI302" s="71">
        <f>K302</f>
        <v>69</v>
      </c>
      <c r="CJ302" s="72">
        <f>O302</f>
        <v>100</v>
      </c>
      <c r="CK302" s="72">
        <f>S302</f>
        <v>105</v>
      </c>
      <c r="CL302" s="72">
        <f>W302</f>
        <v>141</v>
      </c>
      <c r="CM302" s="72" t="str">
        <f>AA302</f>
        <v>-</v>
      </c>
      <c r="CN302" s="72">
        <f>AE302</f>
        <v>173</v>
      </c>
      <c r="CO302" s="72">
        <f>AI302</f>
        <v>189</v>
      </c>
      <c r="CP302" s="72">
        <f>AM302</f>
        <v>237</v>
      </c>
      <c r="CQ302" s="72">
        <f>AQ302</f>
        <v>278</v>
      </c>
      <c r="CR302" s="72">
        <f>AU302</f>
        <v>309</v>
      </c>
      <c r="CS302" s="72">
        <f>AY302</f>
        <v>322</v>
      </c>
      <c r="CT302" s="23">
        <f>M302-K302</f>
        <v>1</v>
      </c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6"/>
      <c r="NI302" s="6"/>
      <c r="NJ302" s="6"/>
      <c r="NK302" s="6"/>
      <c r="NL302" s="6"/>
      <c r="NM302" s="6"/>
      <c r="NN302" s="6"/>
      <c r="NO302" s="6"/>
      <c r="NP302" s="6"/>
      <c r="NQ302" s="6"/>
      <c r="NR302" s="6"/>
      <c r="NS302" s="6"/>
      <c r="NT302" s="6"/>
      <c r="NU302" s="6"/>
      <c r="NV302" s="6"/>
      <c r="NW302" s="6"/>
      <c r="NX302" s="6"/>
      <c r="NY302" s="6"/>
      <c r="NZ302" s="6"/>
      <c r="OA302" s="6"/>
      <c r="OB302" s="6"/>
      <c r="OC302" s="6"/>
      <c r="OD302" s="6"/>
      <c r="OE302" s="6"/>
      <c r="OF302" s="6"/>
      <c r="OG302" s="6"/>
      <c r="OH302" s="6"/>
      <c r="OI302" s="6"/>
      <c r="OJ302" s="6"/>
      <c r="OK302" s="6"/>
      <c r="OL302" s="6"/>
      <c r="OM302" s="6"/>
      <c r="ON302" s="6"/>
      <c r="OO302" s="6"/>
      <c r="OP302" s="6"/>
      <c r="OQ302" s="6"/>
      <c r="OR302" s="6"/>
      <c r="OS302" s="6"/>
      <c r="OT302" s="6"/>
      <c r="OU302" s="6"/>
      <c r="OV302" s="6"/>
      <c r="OW302" s="6"/>
      <c r="OX302" s="6"/>
      <c r="OY302" s="6"/>
      <c r="OZ302" s="6"/>
      <c r="PA302" s="6"/>
      <c r="PB302" s="6"/>
      <c r="PC302" s="6"/>
      <c r="PD302" s="6"/>
      <c r="PE302" s="6"/>
      <c r="PF302" s="6"/>
      <c r="PG302" s="6"/>
      <c r="PH302" s="6"/>
      <c r="PI302" s="6"/>
      <c r="PJ302" s="6"/>
      <c r="PK302" s="6"/>
      <c r="PL302" s="6"/>
      <c r="PM302" s="6"/>
      <c r="PN302" s="6"/>
      <c r="PO302" s="6"/>
      <c r="PP302" s="6"/>
      <c r="PQ302" s="6"/>
      <c r="PR302" s="6"/>
      <c r="PS302" s="6"/>
      <c r="PT302" s="6"/>
      <c r="PU302" s="6"/>
      <c r="PV302" s="6"/>
      <c r="PW302" s="6"/>
      <c r="PX302" s="6"/>
      <c r="PY302" s="6"/>
      <c r="PZ302" s="6"/>
      <c r="QA302" s="6"/>
      <c r="QB302" s="6"/>
      <c r="QC302" s="6"/>
      <c r="QD302" s="6"/>
      <c r="QE302" s="6"/>
      <c r="QF302" s="6"/>
      <c r="QG302" s="6"/>
      <c r="QH302" s="6"/>
      <c r="QI302" s="6"/>
      <c r="QJ302" s="6"/>
      <c r="QK302" s="6"/>
      <c r="QL302" s="6"/>
      <c r="QM302" s="6"/>
      <c r="QN302" s="6"/>
      <c r="QO302" s="6"/>
      <c r="QP302" s="6"/>
      <c r="QQ302" s="6"/>
      <c r="QR302" s="6"/>
      <c r="QS302" s="6"/>
      <c r="QT302" s="6"/>
      <c r="QU302" s="6"/>
      <c r="QV302" s="6"/>
      <c r="QW302" s="6"/>
      <c r="QX302" s="6"/>
      <c r="QY302" s="6"/>
      <c r="QZ302" s="6"/>
      <c r="RA302" s="6"/>
      <c r="RB302" s="6"/>
      <c r="RC302" s="6"/>
      <c r="RD302" s="6"/>
      <c r="RE302" s="6"/>
      <c r="RF302" s="6"/>
      <c r="RG302" s="6"/>
      <c r="RH302" s="6"/>
      <c r="RI302" s="6"/>
      <c r="RJ302" s="6"/>
      <c r="RK302" s="6"/>
      <c r="RL302" s="6"/>
      <c r="RM302" s="6"/>
      <c r="RN302" s="6"/>
      <c r="RO302" s="6"/>
      <c r="RP302" s="6"/>
      <c r="RQ302" s="6"/>
      <c r="RR302" s="6"/>
      <c r="RS302" s="6"/>
      <c r="RT302" s="6"/>
      <c r="RU302" s="6"/>
      <c r="RV302" s="6"/>
      <c r="RW302" s="6"/>
      <c r="RX302" s="6"/>
      <c r="RY302" s="6"/>
      <c r="RZ302" s="6"/>
      <c r="SA302" s="6"/>
      <c r="SB302" s="6"/>
      <c r="SC302" s="6"/>
      <c r="SD302" s="6"/>
      <c r="SE302" s="6"/>
      <c r="SF302" s="6"/>
      <c r="SG302" s="6"/>
      <c r="SH302" s="6"/>
      <c r="SI302" s="6"/>
      <c r="SJ302" s="6"/>
      <c r="SK302" s="6"/>
      <c r="SL302" s="6"/>
      <c r="SM302" s="6"/>
      <c r="SN302" s="6"/>
      <c r="SO302" s="6"/>
      <c r="SP302" s="6"/>
      <c r="SQ302" s="6"/>
      <c r="SR302" s="6"/>
      <c r="SS302" s="6"/>
      <c r="ST302" s="6"/>
      <c r="SU302" s="6"/>
      <c r="SV302" s="6"/>
      <c r="SW302" s="6"/>
      <c r="SX302" s="6"/>
      <c r="SY302" s="6"/>
      <c r="SZ302" s="6"/>
      <c r="TA302" s="6"/>
      <c r="TB302" s="6"/>
      <c r="TC302" s="6"/>
      <c r="TD302" s="6"/>
      <c r="TE302" s="6"/>
      <c r="TF302" s="6"/>
      <c r="TG302" s="6"/>
      <c r="TH302" s="6"/>
      <c r="TI302" s="6"/>
      <c r="TJ302" s="6"/>
      <c r="TK302" s="6"/>
      <c r="TL302" s="6"/>
      <c r="TM302" s="6"/>
      <c r="TN302" s="6"/>
      <c r="TO302" s="6"/>
      <c r="TP302" s="6"/>
      <c r="TQ302" s="6"/>
      <c r="TR302" s="6"/>
      <c r="TS302" s="6"/>
      <c r="TT302" s="6"/>
      <c r="TU302" s="6"/>
      <c r="TV302" s="6"/>
      <c r="TW302" s="6"/>
      <c r="TX302" s="6"/>
      <c r="TY302" s="6"/>
      <c r="TZ302" s="6"/>
      <c r="UA302" s="6"/>
      <c r="UB302" s="6"/>
      <c r="UC302" s="6"/>
      <c r="UD302" s="6"/>
      <c r="UE302" s="6"/>
      <c r="UF302" s="6"/>
      <c r="UG302" s="6"/>
      <c r="UH302" s="6"/>
      <c r="UI302" s="6"/>
      <c r="UJ302" s="6"/>
      <c r="UK302" s="6"/>
      <c r="UL302" s="6"/>
      <c r="UM302" s="6"/>
      <c r="UN302" s="6"/>
      <c r="UO302" s="6"/>
      <c r="UP302" s="6"/>
      <c r="UQ302" s="6"/>
      <c r="UR302" s="6"/>
      <c r="US302" s="6"/>
      <c r="UT302" s="6"/>
      <c r="UU302" s="6"/>
      <c r="UV302" s="6"/>
      <c r="UW302" s="6"/>
      <c r="UX302" s="6"/>
      <c r="UY302" s="6"/>
      <c r="UZ302" s="6"/>
      <c r="VA302" s="6"/>
      <c r="VB302" s="6"/>
      <c r="VC302" s="6"/>
      <c r="VD302" s="6"/>
      <c r="VE302" s="6"/>
      <c r="VF302" s="6"/>
      <c r="VG302" s="6"/>
      <c r="VH302" s="6"/>
      <c r="VI302" s="6"/>
      <c r="VJ302" s="6"/>
      <c r="VK302" s="6"/>
      <c r="VL302" s="6"/>
      <c r="VM302" s="6"/>
      <c r="VN302" s="6"/>
      <c r="VO302" s="6"/>
      <c r="VP302" s="6"/>
      <c r="VQ302" s="6"/>
      <c r="VR302" s="6"/>
      <c r="VS302" s="6"/>
      <c r="VT302" s="6"/>
      <c r="VU302" s="6"/>
      <c r="VV302" s="6"/>
      <c r="VW302" s="6"/>
      <c r="VX302" s="6"/>
      <c r="VY302" s="6"/>
      <c r="VZ302" s="6"/>
      <c r="WA302" s="6"/>
      <c r="WB302" s="6"/>
      <c r="WC302" s="6"/>
      <c r="WD302" s="6"/>
      <c r="WE302" s="6"/>
      <c r="WF302" s="6"/>
      <c r="WG302" s="6"/>
      <c r="WH302" s="6"/>
      <c r="WI302" s="6"/>
      <c r="WJ302" s="6"/>
      <c r="WK302" s="6"/>
      <c r="WL302" s="6"/>
      <c r="WM302" s="6"/>
      <c r="WN302" s="6"/>
      <c r="WO302" s="6"/>
      <c r="WP302" s="6"/>
      <c r="WQ302" s="6"/>
      <c r="WR302" s="6"/>
      <c r="WS302" s="6"/>
      <c r="WT302" s="6"/>
      <c r="WU302" s="6"/>
      <c r="WV302" s="6"/>
      <c r="WW302" s="6"/>
      <c r="WX302" s="6"/>
      <c r="WY302" s="6"/>
      <c r="WZ302" s="6"/>
      <c r="XA302" s="6"/>
      <c r="XB302" s="6"/>
      <c r="XC302" s="6"/>
      <c r="XD302" s="6"/>
      <c r="XE302" s="6"/>
      <c r="XF302" s="6"/>
      <c r="XG302" s="6"/>
      <c r="XH302" s="6"/>
      <c r="XI302" s="6"/>
      <c r="XJ302" s="6"/>
      <c r="XK302" s="6"/>
      <c r="XL302" s="6"/>
      <c r="XM302" s="6"/>
      <c r="XN302" s="6"/>
      <c r="XO302" s="6"/>
      <c r="XP302" s="6"/>
      <c r="XQ302" s="6"/>
      <c r="XR302" s="6"/>
      <c r="XS302" s="6"/>
      <c r="XT302" s="6"/>
      <c r="XU302" s="6"/>
      <c r="XV302" s="6"/>
      <c r="XW302" s="6"/>
      <c r="XX302" s="6"/>
      <c r="XY302" s="6"/>
      <c r="XZ302" s="6"/>
      <c r="YA302" s="6"/>
      <c r="YB302" s="6"/>
      <c r="YC302" s="6"/>
      <c r="YD302" s="6"/>
      <c r="YE302" s="6"/>
      <c r="YF302" s="6"/>
      <c r="YG302" s="6"/>
      <c r="YH302" s="6"/>
      <c r="YI302" s="6"/>
      <c r="YJ302" s="6"/>
      <c r="YK302" s="6"/>
      <c r="YL302" s="6"/>
      <c r="YM302" s="6"/>
      <c r="YN302" s="6"/>
      <c r="YO302" s="6"/>
      <c r="YP302" s="6"/>
      <c r="YQ302" s="6"/>
      <c r="YR302" s="6"/>
      <c r="YS302" s="6"/>
      <c r="YT302" s="6"/>
      <c r="YU302" s="6"/>
      <c r="YV302" s="6"/>
      <c r="YW302" s="6"/>
      <c r="YX302" s="6"/>
      <c r="YY302" s="6"/>
      <c r="YZ302" s="6"/>
      <c r="ZA302" s="6"/>
      <c r="ZB302" s="6"/>
      <c r="ZC302" s="6"/>
      <c r="ZD302" s="6"/>
      <c r="ZE302" s="6"/>
      <c r="ZF302" s="6"/>
      <c r="ZG302" s="6"/>
      <c r="ZH302" s="6"/>
      <c r="ZI302" s="6"/>
      <c r="ZJ302" s="6"/>
      <c r="ZK302" s="6"/>
      <c r="ZL302" s="6"/>
      <c r="ZM302" s="6"/>
      <c r="ZN302" s="6"/>
      <c r="ZO302" s="6"/>
      <c r="ZP302" s="6"/>
      <c r="ZQ302" s="6"/>
      <c r="ZR302" s="6"/>
      <c r="ZS302" s="6"/>
      <c r="ZT302" s="6"/>
      <c r="ZU302" s="6"/>
      <c r="ZV302" s="6"/>
      <c r="ZW302" s="6"/>
      <c r="ZX302" s="6"/>
      <c r="ZY302" s="6"/>
      <c r="ZZ302" s="6"/>
      <c r="AAA302" s="6"/>
      <c r="AAB302" s="6"/>
      <c r="AAC302" s="6"/>
      <c r="AAD302" s="6"/>
      <c r="AAE302" s="6"/>
      <c r="AAF302" s="6"/>
      <c r="AAG302" s="6"/>
      <c r="AAH302" s="6"/>
      <c r="AAI302" s="6"/>
      <c r="AAJ302" s="6"/>
      <c r="AAK302" s="6"/>
      <c r="AAL302" s="6"/>
      <c r="AAM302" s="6"/>
      <c r="AAN302" s="6"/>
      <c r="AAO302" s="6"/>
      <c r="AAP302" s="6"/>
      <c r="AAQ302" s="6"/>
      <c r="AAR302" s="6"/>
      <c r="AAS302" s="6"/>
      <c r="AAT302" s="6"/>
      <c r="AAU302" s="6"/>
      <c r="AAV302" s="6"/>
      <c r="AAW302" s="6"/>
      <c r="AAX302" s="6"/>
      <c r="AAY302" s="6"/>
      <c r="AAZ302" s="6"/>
      <c r="ABA302" s="6"/>
      <c r="ABB302" s="6"/>
      <c r="ABC302" s="6"/>
      <c r="ABD302" s="6"/>
      <c r="ABE302" s="6"/>
      <c r="ABF302" s="6"/>
      <c r="ABG302" s="6"/>
      <c r="ABH302" s="6"/>
      <c r="ABI302" s="6"/>
      <c r="ABJ302" s="6"/>
      <c r="ABK302" s="6"/>
      <c r="ABL302" s="6"/>
      <c r="ABM302" s="6"/>
      <c r="ABN302" s="6"/>
      <c r="ABO302" s="6"/>
      <c r="ABP302" s="6"/>
      <c r="ABQ302" s="6"/>
      <c r="ABR302" s="6"/>
      <c r="ABS302" s="6"/>
      <c r="ABT302" s="6"/>
      <c r="ABU302" s="6"/>
      <c r="ABV302" s="6"/>
      <c r="ABW302" s="6"/>
      <c r="ABX302" s="6"/>
      <c r="ABY302" s="6"/>
      <c r="ABZ302" s="6"/>
      <c r="ACA302" s="6"/>
      <c r="ACB302" s="6"/>
      <c r="ACC302" s="6"/>
      <c r="ACD302" s="6"/>
      <c r="ACE302" s="6"/>
      <c r="ACF302" s="6"/>
      <c r="ACG302" s="6"/>
      <c r="ACH302" s="6"/>
      <c r="ACI302" s="6"/>
      <c r="ACJ302" s="6"/>
      <c r="ACK302" s="6"/>
      <c r="ACL302" s="6"/>
      <c r="ACM302" s="6"/>
      <c r="ACN302" s="6"/>
      <c r="ACO302" s="6"/>
      <c r="ACP302" s="6"/>
      <c r="ACQ302" s="6"/>
      <c r="ACR302" s="6"/>
      <c r="ACS302" s="6"/>
      <c r="ACT302" s="6"/>
      <c r="ACU302" s="6"/>
      <c r="ACV302" s="6"/>
      <c r="ACW302" s="6"/>
      <c r="ACX302" s="6"/>
      <c r="ACY302" s="6"/>
      <c r="ACZ302" s="6"/>
      <c r="ADA302" s="6"/>
      <c r="ADB302" s="6"/>
      <c r="ADC302" s="6"/>
      <c r="ADD302" s="6"/>
      <c r="ADE302" s="6"/>
      <c r="ADF302" s="6"/>
      <c r="ADG302" s="6"/>
      <c r="ADH302" s="6"/>
      <c r="ADI302" s="6"/>
      <c r="ADJ302" s="6"/>
      <c r="ADK302" s="6"/>
      <c r="ADL302" s="6"/>
      <c r="ADM302" s="6"/>
      <c r="ADN302" s="6"/>
      <c r="ADO302" s="6"/>
      <c r="ADP302" s="6"/>
      <c r="ADQ302" s="6"/>
      <c r="ADR302" s="6"/>
      <c r="ADS302" s="6"/>
      <c r="ADT302" s="6"/>
      <c r="ADU302" s="6"/>
      <c r="ADV302" s="6"/>
      <c r="ADW302" s="6"/>
      <c r="ADX302" s="6"/>
      <c r="ADY302" s="6"/>
      <c r="ADZ302" s="6"/>
      <c r="AEA302" s="6"/>
      <c r="AEB302" s="6"/>
      <c r="AEC302" s="6"/>
      <c r="AED302" s="6"/>
      <c r="AEE302" s="6"/>
      <c r="AEF302" s="6"/>
      <c r="AEG302" s="6"/>
      <c r="AEH302" s="6"/>
      <c r="AEI302" s="6"/>
      <c r="AEJ302" s="6"/>
      <c r="AEK302" s="6"/>
      <c r="AEL302" s="6"/>
      <c r="AEM302" s="6"/>
      <c r="AEN302" s="6"/>
      <c r="AEO302" s="6"/>
      <c r="AEP302" s="6"/>
      <c r="AEQ302" s="6"/>
      <c r="AER302" s="6"/>
      <c r="AES302" s="6"/>
      <c r="AET302" s="6"/>
      <c r="AEU302" s="6"/>
      <c r="AEV302" s="6"/>
      <c r="AEW302" s="6"/>
      <c r="AEX302" s="6"/>
      <c r="AEY302" s="6"/>
      <c r="AEZ302" s="6"/>
      <c r="AFA302" s="6"/>
      <c r="AFB302" s="6"/>
      <c r="AFC302" s="6"/>
      <c r="AFD302" s="6"/>
      <c r="AFE302" s="6"/>
      <c r="AFF302" s="6"/>
      <c r="AFG302" s="6"/>
      <c r="AFH302" s="6"/>
      <c r="AFI302" s="6"/>
      <c r="AFJ302" s="6"/>
      <c r="AFK302" s="6"/>
      <c r="AFL302" s="6"/>
      <c r="AFM302" s="6"/>
      <c r="AFN302" s="6"/>
      <c r="AFO302" s="6"/>
      <c r="AFP302" s="6"/>
      <c r="AFQ302" s="6"/>
      <c r="AFR302" s="6"/>
      <c r="AFS302" s="6"/>
      <c r="AFT302" s="6"/>
      <c r="AFU302" s="6"/>
      <c r="AFV302" s="6"/>
      <c r="AFW302" s="6"/>
      <c r="AFX302" s="6"/>
      <c r="AFY302" s="6"/>
      <c r="AFZ302" s="6"/>
      <c r="AGA302" s="6"/>
      <c r="AGB302" s="6"/>
      <c r="AGC302" s="6"/>
      <c r="AGD302" s="6"/>
      <c r="AGE302" s="6"/>
      <c r="AGF302" s="6"/>
      <c r="AGG302" s="6"/>
      <c r="AGH302" s="6"/>
      <c r="AGI302" s="6"/>
      <c r="AGJ302" s="6"/>
      <c r="AGK302" s="6"/>
      <c r="AGL302" s="6"/>
      <c r="AGM302" s="6"/>
      <c r="AGN302" s="6"/>
      <c r="AGO302" s="6"/>
      <c r="AGP302" s="6"/>
      <c r="AGQ302" s="6"/>
      <c r="AGR302" s="6"/>
      <c r="AGS302" s="6"/>
      <c r="AGT302" s="6"/>
      <c r="AGU302" s="6"/>
      <c r="AGV302" s="6"/>
      <c r="AGW302" s="6"/>
      <c r="AGX302" s="6"/>
      <c r="AGY302" s="6"/>
      <c r="AGZ302" s="6"/>
      <c r="AHA302" s="6"/>
      <c r="AHB302" s="6"/>
      <c r="AHC302" s="6"/>
      <c r="AHD302" s="6"/>
      <c r="AHE302" s="6"/>
      <c r="AHF302" s="6"/>
      <c r="AHG302" s="6"/>
      <c r="AHH302" s="6"/>
      <c r="AHI302" s="6"/>
      <c r="AHJ302" s="6"/>
      <c r="AHK302" s="6"/>
      <c r="AHL302" s="6"/>
      <c r="AHM302" s="6"/>
      <c r="AHN302" s="6"/>
      <c r="AHO302" s="6"/>
      <c r="AHP302" s="6"/>
      <c r="AHQ302" s="6"/>
      <c r="AHR302" s="6"/>
      <c r="AHS302" s="6"/>
      <c r="AHT302" s="6"/>
      <c r="AHU302" s="6"/>
      <c r="AHV302" s="6"/>
      <c r="AHW302" s="6"/>
      <c r="AHX302" s="6"/>
      <c r="AHY302" s="6"/>
      <c r="AHZ302" s="6"/>
      <c r="AIA302" s="6"/>
      <c r="AIB302" s="6"/>
      <c r="AIC302" s="6"/>
      <c r="AID302" s="6"/>
      <c r="AIE302" s="6"/>
      <c r="AIF302" s="6"/>
      <c r="AIG302" s="6"/>
      <c r="AIH302" s="6"/>
      <c r="AII302" s="6"/>
      <c r="AIJ302" s="6"/>
      <c r="AIK302" s="6"/>
      <c r="AIL302" s="6"/>
      <c r="AIM302" s="6"/>
      <c r="AIN302" s="6"/>
      <c r="AIO302" s="6"/>
      <c r="AIP302" s="6"/>
      <c r="AIQ302" s="6"/>
      <c r="AIR302" s="6"/>
      <c r="AIS302" s="6"/>
      <c r="AIT302" s="6"/>
      <c r="AIU302" s="6"/>
      <c r="AIV302" s="6"/>
      <c r="AIW302" s="6"/>
      <c r="AIX302" s="6"/>
      <c r="AIY302" s="6"/>
      <c r="AIZ302" s="6"/>
      <c r="AJA302" s="6"/>
      <c r="AJB302" s="6"/>
      <c r="AJC302" s="6"/>
      <c r="AJD302" s="6"/>
      <c r="AJE302" s="6"/>
      <c r="AJF302" s="6"/>
      <c r="AJG302" s="6"/>
      <c r="AJH302" s="6"/>
      <c r="AJI302" s="6"/>
      <c r="AJJ302" s="6"/>
      <c r="AJK302" s="6"/>
      <c r="AJL302" s="6"/>
      <c r="AJM302" s="6"/>
      <c r="AJN302" s="6"/>
      <c r="AJO302" s="6"/>
      <c r="AJP302" s="6"/>
      <c r="AJQ302" s="6"/>
      <c r="AJR302" s="6"/>
      <c r="AJS302" s="6"/>
      <c r="AJT302" s="6"/>
      <c r="AJU302" s="6"/>
      <c r="AJV302" s="6"/>
      <c r="AJW302" s="6"/>
      <c r="AJX302" s="6"/>
      <c r="AJY302" s="6"/>
      <c r="AJZ302" s="6"/>
      <c r="AKA302" s="6"/>
      <c r="AKB302" s="6"/>
      <c r="AKC302" s="6"/>
      <c r="AKD302" s="6"/>
      <c r="AKE302" s="6"/>
      <c r="AKF302" s="6"/>
      <c r="AKG302" s="6"/>
      <c r="AKH302" s="6"/>
      <c r="AKI302" s="6"/>
      <c r="AKJ302" s="6"/>
      <c r="AKK302" s="6"/>
      <c r="AKL302" s="6"/>
      <c r="AKM302" s="6"/>
      <c r="AKN302" s="6"/>
      <c r="AKO302" s="6"/>
      <c r="AKP302" s="6"/>
      <c r="AKQ302" s="6"/>
      <c r="AKR302" s="6"/>
      <c r="AKS302" s="6"/>
      <c r="AKT302" s="6"/>
      <c r="AKU302" s="6"/>
      <c r="AKV302" s="6"/>
      <c r="AKW302" s="6"/>
      <c r="AKX302" s="6"/>
      <c r="AKY302" s="6"/>
      <c r="AKZ302" s="6"/>
      <c r="ALA302" s="6"/>
      <c r="ALB302" s="6"/>
      <c r="ALC302" s="6"/>
      <c r="ALD302" s="6"/>
      <c r="ALE302" s="6"/>
      <c r="ALF302" s="6"/>
      <c r="ALG302" s="6"/>
      <c r="ALH302" s="6"/>
      <c r="ALI302" s="6"/>
      <c r="ALJ302" s="6"/>
      <c r="ALK302" s="6"/>
      <c r="ALL302" s="6"/>
      <c r="ALM302" s="6"/>
      <c r="ALN302" s="6"/>
      <c r="ALO302" s="6"/>
      <c r="ALP302" s="6"/>
      <c r="ALQ302" s="6"/>
      <c r="ALR302" s="6"/>
      <c r="ALS302" s="6"/>
      <c r="ALT302" s="6"/>
      <c r="ALU302" s="6"/>
      <c r="ALV302" s="6"/>
      <c r="ALW302" s="6"/>
      <c r="ALX302" s="6"/>
      <c r="ALY302" s="6"/>
      <c r="ALZ302" s="6"/>
      <c r="AMA302" s="6"/>
      <c r="AMB302" s="6"/>
      <c r="AMC302" s="6"/>
      <c r="AMD302" s="6"/>
      <c r="AME302" s="6"/>
      <c r="AMF302" s="6"/>
      <c r="AMG302" s="6"/>
      <c r="AMH302" s="6"/>
      <c r="AMI302" s="6"/>
      <c r="AMJ302" s="6"/>
      <c r="AMK302" s="6"/>
      <c r="AML302" s="6"/>
      <c r="AMM302" s="6"/>
      <c r="AMN302" s="6"/>
      <c r="AMO302" s="6"/>
      <c r="AMP302" s="6"/>
    </row>
    <row r="303" spans="1:1030" x14ac:dyDescent="0.2">
      <c r="A303" s="3" t="str">
        <f t="shared" si="1955"/>
        <v>opsd_bovin_4J4Q</v>
      </c>
      <c r="B303" s="3" t="s">
        <v>919</v>
      </c>
      <c r="C303" s="3" t="s">
        <v>1043</v>
      </c>
      <c r="D303" s="3" t="str">
        <f>IFERROR(MID(VLOOKUP($B303,Seqs!$A:$B,2,0),E303,1),"")</f>
        <v>E</v>
      </c>
      <c r="E303" s="105">
        <v>33</v>
      </c>
      <c r="F303" s="3" t="str">
        <f>IFERROR(MID(VLOOKUP($B303,Seqs!$A:$B,2,0),G303,1),"")</f>
        <v>H</v>
      </c>
      <c r="G303" s="3">
        <v>65</v>
      </c>
      <c r="H303" s="3" t="str">
        <f>IFERROR(MID(VLOOKUP($B303,Seqs!$A:$B,2,0),I303,1),"")</f>
        <v>K</v>
      </c>
      <c r="I303" s="23">
        <v>66</v>
      </c>
      <c r="J303" s="3" t="str">
        <f>IFERROR(MID(VLOOKUP($B303,Seqs!$A:$B,2,0),K303,1),"")</f>
        <v>R</v>
      </c>
      <c r="K303" s="23">
        <v>69</v>
      </c>
      <c r="L303" s="3" t="str">
        <f>IFERROR(MID(VLOOKUP($B303,Seqs!$A:$B,2,0),M303,1),"")</f>
        <v>T</v>
      </c>
      <c r="M303" s="3">
        <v>70</v>
      </c>
      <c r="N303" s="3" t="str">
        <f>IFERROR(MID(VLOOKUP($B303,Seqs!$A:$B,2,0),O303,1),"")</f>
        <v>H</v>
      </c>
      <c r="O303" s="3">
        <v>100</v>
      </c>
      <c r="P303" s="3" t="str">
        <f>IFERROR(MID(VLOOKUP($B303,Seqs!$A:$B,2,0),Q303,1),"")</f>
        <v>Y</v>
      </c>
      <c r="Q303" s="3">
        <v>102</v>
      </c>
      <c r="R303" s="3" t="str">
        <f>IFERROR(MID(VLOOKUP($B303,Seqs!$A:$B,2,0),S303,1),"")</f>
        <v>F</v>
      </c>
      <c r="S303" s="3">
        <v>105</v>
      </c>
      <c r="T303" s="3" t="str">
        <f>IFERROR(MID(VLOOKUP($B303,Seqs!$A:$B,2,0),U303,1),"")</f>
        <v>G</v>
      </c>
      <c r="U303" s="3">
        <v>106</v>
      </c>
      <c r="V303" s="3" t="str">
        <f>IFERROR(MID(VLOOKUP($B303,Seqs!$A:$B,2,0),W303,1),"")</f>
        <v>K</v>
      </c>
      <c r="W303" s="3">
        <v>141</v>
      </c>
      <c r="X303" s="3" t="str">
        <f>IFERROR(MID(VLOOKUP($B303,Seqs!$A:$B,2,0),Y303,1),"")</f>
        <v/>
      </c>
      <c r="Y303" s="3" t="s">
        <v>23</v>
      </c>
      <c r="Z303" s="3" t="str">
        <f>IFERROR(MID(VLOOKUP($B303,Seqs!$A:$B,2,0),AA303,1),"")</f>
        <v/>
      </c>
      <c r="AA303" s="3" t="s">
        <v>23</v>
      </c>
      <c r="AB303" s="3" t="str">
        <f>IFERROR(MID(VLOOKUP($B303,Seqs!$A:$B,2,0),AC303,1),"")</f>
        <v>G</v>
      </c>
      <c r="AC303" s="9">
        <v>149</v>
      </c>
      <c r="AD303" s="3" t="str">
        <f>IFERROR(MID(VLOOKUP($B303,Seqs!$A:$B,2,0),AE303,1),"")</f>
        <v>V</v>
      </c>
      <c r="AE303" s="3">
        <v>173</v>
      </c>
      <c r="AF303" s="3" t="str">
        <f>IFERROR(MID(VLOOKUP($B303,Seqs!$A:$B,2,0),AG303,1),"")</f>
        <v>C</v>
      </c>
      <c r="AG303" s="3">
        <v>187</v>
      </c>
      <c r="AH303" s="3" t="str">
        <f>IFERROR(MID(VLOOKUP($B303,Seqs!$A:$B,2,0),AI303,1),"")</f>
        <v>I</v>
      </c>
      <c r="AI303" s="3">
        <v>189</v>
      </c>
      <c r="AJ303" s="3" t="str">
        <f>IFERROR(MID(VLOOKUP($B303,Seqs!$A:$B,2,0),AK303,1),"")</f>
        <v>N</v>
      </c>
      <c r="AK303" s="3">
        <v>199</v>
      </c>
      <c r="AL303" s="3" t="str">
        <f>IFERROR(MID(VLOOKUP($B303,Seqs!$A:$B,2,0),AM303,1),"")</f>
        <v>Q</v>
      </c>
      <c r="AM303" s="3">
        <v>237</v>
      </c>
      <c r="AN303" s="3" t="str">
        <f>IFERROR(MID(VLOOKUP($B303,Seqs!$A:$B,2,0),AO303,1),"")</f>
        <v>A</v>
      </c>
      <c r="AO303" s="3">
        <v>241</v>
      </c>
      <c r="AP303" s="3" t="str">
        <f>IFERROR(MID(VLOOKUP($B303,Seqs!$A:$B,2,0),AQ303,1),"")</f>
        <v>H</v>
      </c>
      <c r="AQ303" s="3">
        <v>278</v>
      </c>
      <c r="AR303" s="3" t="str">
        <f>IFERROR(MID(VLOOKUP($B303,Seqs!$A:$B,2,0),AS303,1),"")</f>
        <v>G</v>
      </c>
      <c r="AS303" s="3">
        <v>284</v>
      </c>
      <c r="AT303" s="3" t="str">
        <f>IFERROR(MID(VLOOKUP($B303,Seqs!$A:$B,2,0),AU303,1),"")</f>
        <v>M</v>
      </c>
      <c r="AU303" s="3">
        <v>309</v>
      </c>
      <c r="AV303" s="3" t="str">
        <f>IFERROR(MID(VLOOKUP($B303,Seqs!$A:$B,2,0),AW303,1),"")</f>
        <v>N</v>
      </c>
      <c r="AW303" s="3">
        <v>310</v>
      </c>
      <c r="AX303" s="3" t="str">
        <f>IFERROR(MID(VLOOKUP($B303,Seqs!$A:$B,2,0),AY303,1),"")</f>
        <v>C</v>
      </c>
      <c r="AY303" s="3">
        <v>322</v>
      </c>
      <c r="AZ303" s="77" t="str">
        <f>VLOOKUP(B303,Classification!A:D,2,0)</f>
        <v>A</v>
      </c>
      <c r="BA303" s="94" t="str">
        <f>VLOOKUP(B303,Classification!A:D,4,0)</f>
        <v>Opsins</v>
      </c>
      <c r="BB303" s="27" t="b">
        <f t="shared" si="1956"/>
        <v>1</v>
      </c>
      <c r="BC303" s="23">
        <f t="shared" ref="BC303:BC386" si="2515">_xlfn.AGGREGATE(9,6,CH303:CS303)-_xlfn.AGGREGATE(9,6,BV303:CG303)+12</f>
        <v>253</v>
      </c>
      <c r="BD303" s="4" t="s">
        <v>23</v>
      </c>
      <c r="BE303" s="3" t="s">
        <v>1291</v>
      </c>
      <c r="BF303" s="118">
        <v>2.65</v>
      </c>
      <c r="BG303" s="49" t="s">
        <v>1377</v>
      </c>
      <c r="BH303" s="49" t="s">
        <v>1377</v>
      </c>
      <c r="BI303" s="1"/>
      <c r="BJ303" s="70" t="s">
        <v>1287</v>
      </c>
      <c r="BK303" s="57" t="s">
        <v>1287</v>
      </c>
      <c r="BL303" s="57" t="s">
        <v>1287</v>
      </c>
      <c r="BM303" s="57" t="s">
        <v>1287</v>
      </c>
      <c r="BN303" s="57" t="s">
        <v>1287</v>
      </c>
      <c r="BO303" s="57" t="s">
        <v>1287</v>
      </c>
      <c r="BP303" s="57" t="s">
        <v>1287</v>
      </c>
      <c r="BQ303" s="57" t="s">
        <v>1287</v>
      </c>
      <c r="BR303" s="57" t="s">
        <v>1287</v>
      </c>
      <c r="BS303" s="57" t="s">
        <v>1287</v>
      </c>
      <c r="BT303" s="57" t="s">
        <v>1287</v>
      </c>
      <c r="BU303" s="57" t="s">
        <v>1287</v>
      </c>
      <c r="BV303" s="70">
        <f t="shared" ref="BV303:BV386" si="2516">E303</f>
        <v>33</v>
      </c>
      <c r="BW303" s="71">
        <f t="shared" ref="BW303:BW386" si="2517">I303</f>
        <v>66</v>
      </c>
      <c r="BX303" s="72">
        <f t="shared" ref="BX303:BX386" si="2518">M303</f>
        <v>70</v>
      </c>
      <c r="BY303" s="71">
        <f t="shared" ref="BY303:BY386" si="2519">Q303</f>
        <v>102</v>
      </c>
      <c r="BZ303" s="72">
        <f t="shared" ref="BZ303:BZ386" si="2520">U303</f>
        <v>106</v>
      </c>
      <c r="CA303" s="71" t="str">
        <f t="shared" ref="CA303:CA386" si="2521">Y303</f>
        <v>-</v>
      </c>
      <c r="CB303" s="72">
        <f t="shared" ref="CB303:CB386" si="2522">AC303</f>
        <v>149</v>
      </c>
      <c r="CC303" s="71">
        <f t="shared" ref="CC303:CC386" si="2523">AG303</f>
        <v>187</v>
      </c>
      <c r="CD303" s="72">
        <f t="shared" ref="CD303:CD386" si="2524">AK303</f>
        <v>199</v>
      </c>
      <c r="CE303" s="71">
        <f t="shared" ref="CE303:CE386" si="2525">AO303</f>
        <v>241</v>
      </c>
      <c r="CF303" s="72">
        <f t="shared" ref="CF303:CF386" si="2526">AS303</f>
        <v>284</v>
      </c>
      <c r="CG303" s="71">
        <f t="shared" ref="CG303:CG386" si="2527">AW303</f>
        <v>310</v>
      </c>
      <c r="CH303" s="70">
        <f t="shared" ref="CH303:CH386" si="2528">G303</f>
        <v>65</v>
      </c>
      <c r="CI303" s="71">
        <f t="shared" ref="CI303:CI386" si="2529">K303</f>
        <v>69</v>
      </c>
      <c r="CJ303" s="72">
        <f t="shared" ref="CJ303:CJ386" si="2530">O303</f>
        <v>100</v>
      </c>
      <c r="CK303" s="72">
        <f t="shared" ref="CK303:CK386" si="2531">S303</f>
        <v>105</v>
      </c>
      <c r="CL303" s="72">
        <f t="shared" ref="CL303:CL386" si="2532">W303</f>
        <v>141</v>
      </c>
      <c r="CM303" s="72" t="str">
        <f t="shared" ref="CM303:CM386" si="2533">AA303</f>
        <v>-</v>
      </c>
      <c r="CN303" s="72">
        <f t="shared" ref="CN303:CN386" si="2534">AE303</f>
        <v>173</v>
      </c>
      <c r="CO303" s="72">
        <f t="shared" ref="CO303:CO386" si="2535">AI303</f>
        <v>189</v>
      </c>
      <c r="CP303" s="72">
        <f t="shared" ref="CP303:CP386" si="2536">AM303</f>
        <v>237</v>
      </c>
      <c r="CQ303" s="72">
        <f t="shared" ref="CQ303:CQ386" si="2537">AQ303</f>
        <v>278</v>
      </c>
      <c r="CR303" s="72">
        <f t="shared" ref="CR303:CR386" si="2538">AU303</f>
        <v>309</v>
      </c>
      <c r="CS303" s="72">
        <f t="shared" ref="CS303:CS386" si="2539">AY303</f>
        <v>322</v>
      </c>
      <c r="CT303" s="23">
        <f t="shared" ref="CT303:CT386" si="2540">M303-K303</f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30" x14ac:dyDescent="0.2">
      <c r="A304" s="3" t="str">
        <f t="shared" si="1955"/>
        <v>opsd_bovin_5DYS</v>
      </c>
      <c r="B304" s="3" t="s">
        <v>919</v>
      </c>
      <c r="C304" s="3" t="s">
        <v>1357</v>
      </c>
      <c r="D304" s="3" t="str">
        <f>IFERROR(MID(VLOOKUP($B304,Seqs!$A:$B,2,0),E304,1),"")</f>
        <v>E</v>
      </c>
      <c r="E304" s="105">
        <v>33</v>
      </c>
      <c r="F304" s="3" t="str">
        <f>IFERROR(MID(VLOOKUP($B304,Seqs!$A:$B,2,0),G304,1),"")</f>
        <v>H</v>
      </c>
      <c r="G304" s="3">
        <v>65</v>
      </c>
      <c r="H304" s="3" t="str">
        <f>IFERROR(MID(VLOOKUP($B304,Seqs!$A:$B,2,0),I304,1),"")</f>
        <v>K</v>
      </c>
      <c r="I304" s="23">
        <v>66</v>
      </c>
      <c r="J304" s="3" t="str">
        <f>IFERROR(MID(VLOOKUP($B304,Seqs!$A:$B,2,0),K304,1),"")</f>
        <v>R</v>
      </c>
      <c r="K304" s="23">
        <v>69</v>
      </c>
      <c r="L304" s="3" t="str">
        <f>IFERROR(MID(VLOOKUP($B304,Seqs!$A:$B,2,0),M304,1),"")</f>
        <v>T</v>
      </c>
      <c r="M304" s="3">
        <v>70</v>
      </c>
      <c r="N304" s="3" t="str">
        <f>IFERROR(MID(VLOOKUP($B304,Seqs!$A:$B,2,0),O304,1),"")</f>
        <v>H</v>
      </c>
      <c r="O304" s="3">
        <v>100</v>
      </c>
      <c r="P304" s="3" t="str">
        <f>IFERROR(MID(VLOOKUP($B304,Seqs!$A:$B,2,0),Q304,1),"")</f>
        <v>Y</v>
      </c>
      <c r="Q304" s="3">
        <v>102</v>
      </c>
      <c r="R304" s="3" t="str">
        <f>IFERROR(MID(VLOOKUP($B304,Seqs!$A:$B,2,0),S304,1),"")</f>
        <v>F</v>
      </c>
      <c r="S304" s="3">
        <v>105</v>
      </c>
      <c r="T304" s="3" t="str">
        <f>IFERROR(MID(VLOOKUP($B304,Seqs!$A:$B,2,0),U304,1),"")</f>
        <v>G</v>
      </c>
      <c r="U304" s="3">
        <v>106</v>
      </c>
      <c r="V304" s="3" t="str">
        <f>IFERROR(MID(VLOOKUP($B304,Seqs!$A:$B,2,0),W304,1),"")</f>
        <v>K</v>
      </c>
      <c r="W304" s="3">
        <v>141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G</v>
      </c>
      <c r="AC304" s="9">
        <v>149</v>
      </c>
      <c r="AD304" s="3" t="str">
        <f>IFERROR(MID(VLOOKUP($B304,Seqs!$A:$B,2,0),AE304,1),"")</f>
        <v>V</v>
      </c>
      <c r="AE304" s="3">
        <v>173</v>
      </c>
      <c r="AF304" s="3" t="str">
        <f>IFERROR(MID(VLOOKUP($B304,Seqs!$A:$B,2,0),AG304,1),"")</f>
        <v>C</v>
      </c>
      <c r="AG304" s="3">
        <v>187</v>
      </c>
      <c r="AH304" s="3" t="str">
        <f>IFERROR(MID(VLOOKUP($B304,Seqs!$A:$B,2,0),AI304,1),"")</f>
        <v>I</v>
      </c>
      <c r="AI304" s="3">
        <v>189</v>
      </c>
      <c r="AJ304" s="3" t="str">
        <f>IFERROR(MID(VLOOKUP($B304,Seqs!$A:$B,2,0),AK304,1),"")</f>
        <v>N</v>
      </c>
      <c r="AK304" s="3">
        <v>199</v>
      </c>
      <c r="AL304" s="3" t="str">
        <f>IFERROR(MID(VLOOKUP($B304,Seqs!$A:$B,2,0),AM304,1),"")</f>
        <v>Q</v>
      </c>
      <c r="AM304" s="3">
        <v>237</v>
      </c>
      <c r="AN304" s="3" t="str">
        <f>IFERROR(MID(VLOOKUP($B304,Seqs!$A:$B,2,0),AO304,1),"")</f>
        <v>A</v>
      </c>
      <c r="AO304" s="3">
        <v>241</v>
      </c>
      <c r="AP304" s="3" t="str">
        <f>IFERROR(MID(VLOOKUP($B304,Seqs!$A:$B,2,0),AQ304,1),"")</f>
        <v>H</v>
      </c>
      <c r="AQ304" s="3">
        <v>278</v>
      </c>
      <c r="AR304" s="3" t="str">
        <f>IFERROR(MID(VLOOKUP($B304,Seqs!$A:$B,2,0),AS304,1),"")</f>
        <v>G</v>
      </c>
      <c r="AS304" s="3">
        <v>284</v>
      </c>
      <c r="AT304" s="3" t="str">
        <f>IFERROR(MID(VLOOKUP($B304,Seqs!$A:$B,2,0),AU304,1),"")</f>
        <v>M</v>
      </c>
      <c r="AU304" s="3">
        <v>309</v>
      </c>
      <c r="AV304" s="3" t="str">
        <f>IFERROR(MID(VLOOKUP($B304,Seqs!$A:$B,2,0),AW304,1),"")</f>
        <v>N</v>
      </c>
      <c r="AW304" s="3">
        <v>310</v>
      </c>
      <c r="AX304" s="3" t="str">
        <f>IFERROR(MID(VLOOKUP($B304,Seqs!$A:$B,2,0),AY304,1),"")</f>
        <v>C</v>
      </c>
      <c r="AY304" s="3">
        <v>322</v>
      </c>
      <c r="AZ304" s="77" t="str">
        <f>VLOOKUP(B304,Classification!A:D,2,0)</f>
        <v>A</v>
      </c>
      <c r="BA304" s="94" t="str">
        <f>VLOOKUP(B304,Classification!A:D,4,0)</f>
        <v>Opsins</v>
      </c>
      <c r="BB304" s="27" t="b">
        <f t="shared" si="1956"/>
        <v>1</v>
      </c>
      <c r="BC304" s="23">
        <f t="shared" si="2515"/>
        <v>253</v>
      </c>
      <c r="BD304" s="5" t="s">
        <v>23</v>
      </c>
      <c r="BE304" s="3" t="s">
        <v>1291</v>
      </c>
      <c r="BF304" s="118">
        <v>2.2999999999999998</v>
      </c>
      <c r="BG304" s="49" t="s">
        <v>1377</v>
      </c>
      <c r="BH304" s="49" t="s">
        <v>1377</v>
      </c>
      <c r="BI304" s="1"/>
      <c r="BJ304" s="70" t="s">
        <v>1287</v>
      </c>
      <c r="BK304" s="57" t="s">
        <v>1287</v>
      </c>
      <c r="BL304" s="57" t="s">
        <v>1287</v>
      </c>
      <c r="BM304" s="57" t="s">
        <v>1287</v>
      </c>
      <c r="BN304" s="57" t="s">
        <v>1287</v>
      </c>
      <c r="BO304" s="57" t="s">
        <v>1287</v>
      </c>
      <c r="BP304" s="57" t="s">
        <v>1287</v>
      </c>
      <c r="BQ304" s="57" t="s">
        <v>1287</v>
      </c>
      <c r="BR304" s="57" t="s">
        <v>1287</v>
      </c>
      <c r="BS304" s="57" t="s">
        <v>1287</v>
      </c>
      <c r="BT304" s="57" t="s">
        <v>1287</v>
      </c>
      <c r="BU304" s="57" t="s">
        <v>1287</v>
      </c>
      <c r="BV304" s="70">
        <f t="shared" si="2516"/>
        <v>33</v>
      </c>
      <c r="BW304" s="71">
        <f t="shared" si="2517"/>
        <v>66</v>
      </c>
      <c r="BX304" s="72">
        <f t="shared" si="2518"/>
        <v>70</v>
      </c>
      <c r="BY304" s="71">
        <f t="shared" si="2519"/>
        <v>102</v>
      </c>
      <c r="BZ304" s="72">
        <f t="shared" si="2520"/>
        <v>106</v>
      </c>
      <c r="CA304" s="71" t="str">
        <f t="shared" si="2521"/>
        <v>-</v>
      </c>
      <c r="CB304" s="72">
        <f t="shared" si="2522"/>
        <v>149</v>
      </c>
      <c r="CC304" s="71">
        <f t="shared" si="2523"/>
        <v>187</v>
      </c>
      <c r="CD304" s="72">
        <f t="shared" si="2524"/>
        <v>199</v>
      </c>
      <c r="CE304" s="71">
        <f t="shared" si="2525"/>
        <v>241</v>
      </c>
      <c r="CF304" s="72">
        <f t="shared" si="2526"/>
        <v>284</v>
      </c>
      <c r="CG304" s="71">
        <f t="shared" si="2527"/>
        <v>310</v>
      </c>
      <c r="CH304" s="70">
        <f t="shared" si="2528"/>
        <v>65</v>
      </c>
      <c r="CI304" s="71">
        <f t="shared" si="2529"/>
        <v>69</v>
      </c>
      <c r="CJ304" s="72">
        <f t="shared" si="2530"/>
        <v>100</v>
      </c>
      <c r="CK304" s="72">
        <f t="shared" si="2531"/>
        <v>105</v>
      </c>
      <c r="CL304" s="72">
        <f t="shared" si="2532"/>
        <v>141</v>
      </c>
      <c r="CM304" s="72" t="str">
        <f t="shared" si="2533"/>
        <v>-</v>
      </c>
      <c r="CN304" s="72">
        <f t="shared" si="2534"/>
        <v>173</v>
      </c>
      <c r="CO304" s="72">
        <f t="shared" si="2535"/>
        <v>189</v>
      </c>
      <c r="CP304" s="72">
        <f t="shared" si="2536"/>
        <v>237</v>
      </c>
      <c r="CQ304" s="72">
        <f t="shared" si="2537"/>
        <v>278</v>
      </c>
      <c r="CR304" s="72">
        <f t="shared" si="2538"/>
        <v>309</v>
      </c>
      <c r="CS304" s="72">
        <f t="shared" si="2539"/>
        <v>322</v>
      </c>
      <c r="CT304" s="23">
        <f t="shared" si="2540"/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29" x14ac:dyDescent="0.2">
      <c r="A305" s="3" t="str">
        <f t="shared" ref="A305:A411" si="2541">CONCATENATE(B305,"_",C305)</f>
        <v>opsd_bovin_5EN0</v>
      </c>
      <c r="B305" s="3" t="s">
        <v>919</v>
      </c>
      <c r="C305" s="3" t="s">
        <v>1358</v>
      </c>
      <c r="D305" s="3" t="str">
        <f>IFERROR(MID(VLOOKUP($B305,Seqs!$A:$B,2,0),E305,1),"")</f>
        <v>E</v>
      </c>
      <c r="E305" s="105">
        <v>33</v>
      </c>
      <c r="F305" s="3" t="str">
        <f>IFERROR(MID(VLOOKUP($B305,Seqs!$A:$B,2,0),G305,1),"")</f>
        <v>H</v>
      </c>
      <c r="G305" s="3">
        <v>65</v>
      </c>
      <c r="H305" s="3" t="str">
        <f>IFERROR(MID(VLOOKUP($B305,Seqs!$A:$B,2,0),I305,1),"")</f>
        <v>K</v>
      </c>
      <c r="I305" s="23">
        <v>66</v>
      </c>
      <c r="J305" s="3" t="str">
        <f>IFERROR(MID(VLOOKUP($B305,Seqs!$A:$B,2,0),K305,1),"")</f>
        <v>R</v>
      </c>
      <c r="K305" s="23">
        <v>69</v>
      </c>
      <c r="L305" s="3" t="str">
        <f>IFERROR(MID(VLOOKUP($B305,Seqs!$A:$B,2,0),M305,1),"")</f>
        <v>T</v>
      </c>
      <c r="M305" s="3">
        <v>70</v>
      </c>
      <c r="N305" s="3" t="str">
        <f>IFERROR(MID(VLOOKUP($B305,Seqs!$A:$B,2,0),O305,1),"")</f>
        <v>H</v>
      </c>
      <c r="O305" s="3">
        <v>100</v>
      </c>
      <c r="P305" s="3" t="str">
        <f>IFERROR(MID(VLOOKUP($B305,Seqs!$A:$B,2,0),Q305,1),"")</f>
        <v>Y</v>
      </c>
      <c r="Q305" s="3">
        <v>102</v>
      </c>
      <c r="R305" s="3" t="str">
        <f>IFERROR(MID(VLOOKUP($B305,Seqs!$A:$B,2,0),S305,1),"")</f>
        <v>F</v>
      </c>
      <c r="S305" s="3">
        <v>105</v>
      </c>
      <c r="T305" s="3" t="str">
        <f>IFERROR(MID(VLOOKUP($B305,Seqs!$A:$B,2,0),U305,1),"")</f>
        <v>G</v>
      </c>
      <c r="U305" s="3">
        <v>106</v>
      </c>
      <c r="V305" s="3" t="str">
        <f>IFERROR(MID(VLOOKUP($B305,Seqs!$A:$B,2,0),W305,1),"")</f>
        <v>K</v>
      </c>
      <c r="W305" s="3">
        <v>141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G</v>
      </c>
      <c r="AC305" s="9">
        <v>149</v>
      </c>
      <c r="AD305" s="3" t="str">
        <f>IFERROR(MID(VLOOKUP($B305,Seqs!$A:$B,2,0),AE305,1),"")</f>
        <v>V</v>
      </c>
      <c r="AE305" s="3">
        <v>173</v>
      </c>
      <c r="AF305" s="3" t="str">
        <f>IFERROR(MID(VLOOKUP($B305,Seqs!$A:$B,2,0),AG305,1),"")</f>
        <v>C</v>
      </c>
      <c r="AG305" s="3">
        <v>187</v>
      </c>
      <c r="AH305" s="3" t="str">
        <f>IFERROR(MID(VLOOKUP($B305,Seqs!$A:$B,2,0),AI305,1),"")</f>
        <v>I</v>
      </c>
      <c r="AI305" s="3">
        <v>189</v>
      </c>
      <c r="AJ305" s="3" t="str">
        <f>IFERROR(MID(VLOOKUP($B305,Seqs!$A:$B,2,0),AK305,1),"")</f>
        <v>N</v>
      </c>
      <c r="AK305" s="3">
        <v>199</v>
      </c>
      <c r="AL305" s="3" t="str">
        <f>IFERROR(MID(VLOOKUP($B305,Seqs!$A:$B,2,0),AM305,1),"")</f>
        <v>Q</v>
      </c>
      <c r="AM305" s="3">
        <v>237</v>
      </c>
      <c r="AN305" s="3" t="str">
        <f>IFERROR(MID(VLOOKUP($B305,Seqs!$A:$B,2,0),AO305,1),"")</f>
        <v>A</v>
      </c>
      <c r="AO305" s="3">
        <v>241</v>
      </c>
      <c r="AP305" s="3" t="str">
        <f>IFERROR(MID(VLOOKUP($B305,Seqs!$A:$B,2,0),AQ305,1),"")</f>
        <v>H</v>
      </c>
      <c r="AQ305" s="3">
        <v>278</v>
      </c>
      <c r="AR305" s="3" t="str">
        <f>IFERROR(MID(VLOOKUP($B305,Seqs!$A:$B,2,0),AS305,1),"")</f>
        <v>G</v>
      </c>
      <c r="AS305" s="3">
        <v>284</v>
      </c>
      <c r="AT305" s="3" t="str">
        <f>IFERROR(MID(VLOOKUP($B305,Seqs!$A:$B,2,0),AU305,1),"")</f>
        <v>M</v>
      </c>
      <c r="AU305" s="3">
        <v>309</v>
      </c>
      <c r="AV305" s="3" t="str">
        <f>IFERROR(MID(VLOOKUP($B305,Seqs!$A:$B,2,0),AW305,1),"")</f>
        <v>N</v>
      </c>
      <c r="AW305" s="3">
        <v>310</v>
      </c>
      <c r="AX305" s="3" t="str">
        <f>IFERROR(MID(VLOOKUP($B305,Seqs!$A:$B,2,0),AY305,1),"")</f>
        <v>C</v>
      </c>
      <c r="AY305" s="3">
        <v>322</v>
      </c>
      <c r="AZ305" s="77" t="str">
        <f>VLOOKUP(B305,Classification!A:D,2,0)</f>
        <v>A</v>
      </c>
      <c r="BA305" s="94" t="str">
        <f>VLOOKUP(B305,Classification!A:D,4,0)</f>
        <v>Opsins</v>
      </c>
      <c r="BB305" s="27" t="b">
        <f t="shared" ref="BB305:BB411" si="2542">AND(E305&lt;G305,OR(G305&lt;I305,I305="-"),OR(I305&lt;K305,I305="-"),OR(K305&lt;M305,K305="-"),M305&lt;O305,OR(O305&lt;Q305,Q305="-"),OR(Q305&lt;S305,Q305="-"),OR(S305&lt;U305,S305="-"),U305&lt;W305,OR(W305&lt;Y305,Y305="-"),OR(Y305&lt;AA305,Y305="-"),OR(AA305&lt;AC305,AA305="-"),AC305&lt;AE305,OR(AE305&lt;AG305,AG305="-"),OR(AG305&lt;AI305,AG305="-"),OR(AI305&lt;AK305,AI305="-"),AK305&lt;AM305,AM305&lt;AO305,AO305&lt;AQ305,AQ305&lt;AS305,AS305&lt;AU305,OR(AU305&lt;AW305,AW305="-"),OR(AW305&lt;AY305,AW305="-"))</f>
        <v>1</v>
      </c>
      <c r="BC305" s="23">
        <f t="shared" si="2515"/>
        <v>253</v>
      </c>
      <c r="BD305" s="4" t="s">
        <v>23</v>
      </c>
      <c r="BE305" s="3" t="s">
        <v>1291</v>
      </c>
      <c r="BF305" s="118">
        <v>2.81</v>
      </c>
      <c r="BG305" s="49" t="s">
        <v>1377</v>
      </c>
      <c r="BH305" s="49" t="s">
        <v>1377</v>
      </c>
      <c r="BI305" s="1"/>
      <c r="BJ305" s="70" t="s">
        <v>1287</v>
      </c>
      <c r="BK305" s="57" t="s">
        <v>1287</v>
      </c>
      <c r="BL305" s="57" t="s">
        <v>1287</v>
      </c>
      <c r="BM305" s="57" t="s">
        <v>1287</v>
      </c>
      <c r="BN305" s="57" t="s">
        <v>1287</v>
      </c>
      <c r="BO305" s="57" t="s">
        <v>1287</v>
      </c>
      <c r="BP305" s="57" t="s">
        <v>1287</v>
      </c>
      <c r="BQ305" s="57" t="s">
        <v>1287</v>
      </c>
      <c r="BR305" s="57" t="s">
        <v>1287</v>
      </c>
      <c r="BS305" s="57" t="s">
        <v>1287</v>
      </c>
      <c r="BT305" s="57" t="s">
        <v>1287</v>
      </c>
      <c r="BU305" s="57" t="s">
        <v>1287</v>
      </c>
      <c r="BV305" s="70">
        <f t="shared" si="2516"/>
        <v>33</v>
      </c>
      <c r="BW305" s="71">
        <f t="shared" si="2517"/>
        <v>66</v>
      </c>
      <c r="BX305" s="72">
        <f t="shared" si="2518"/>
        <v>70</v>
      </c>
      <c r="BY305" s="71">
        <f t="shared" si="2519"/>
        <v>102</v>
      </c>
      <c r="BZ305" s="72">
        <f t="shared" si="2520"/>
        <v>106</v>
      </c>
      <c r="CA305" s="71" t="str">
        <f t="shared" si="2521"/>
        <v>-</v>
      </c>
      <c r="CB305" s="72">
        <f t="shared" si="2522"/>
        <v>149</v>
      </c>
      <c r="CC305" s="71">
        <f t="shared" si="2523"/>
        <v>187</v>
      </c>
      <c r="CD305" s="72">
        <f t="shared" si="2524"/>
        <v>199</v>
      </c>
      <c r="CE305" s="71">
        <f t="shared" si="2525"/>
        <v>241</v>
      </c>
      <c r="CF305" s="72">
        <f t="shared" si="2526"/>
        <v>284</v>
      </c>
      <c r="CG305" s="71">
        <f t="shared" si="2527"/>
        <v>310</v>
      </c>
      <c r="CH305" s="70">
        <f t="shared" si="2528"/>
        <v>65</v>
      </c>
      <c r="CI305" s="71">
        <f t="shared" si="2529"/>
        <v>69</v>
      </c>
      <c r="CJ305" s="72">
        <f t="shared" si="2530"/>
        <v>100</v>
      </c>
      <c r="CK305" s="72">
        <f t="shared" si="2531"/>
        <v>105</v>
      </c>
      <c r="CL305" s="72">
        <f t="shared" si="2532"/>
        <v>141</v>
      </c>
      <c r="CM305" s="72" t="str">
        <f t="shared" si="2533"/>
        <v>-</v>
      </c>
      <c r="CN305" s="72">
        <f t="shared" si="2534"/>
        <v>173</v>
      </c>
      <c r="CO305" s="72">
        <f t="shared" si="2535"/>
        <v>189</v>
      </c>
      <c r="CP305" s="72">
        <f t="shared" si="2536"/>
        <v>237</v>
      </c>
      <c r="CQ305" s="72">
        <f t="shared" si="2537"/>
        <v>278</v>
      </c>
      <c r="CR305" s="72">
        <f t="shared" si="2538"/>
        <v>309</v>
      </c>
      <c r="CS305" s="72">
        <f t="shared" si="2539"/>
        <v>322</v>
      </c>
      <c r="CT305" s="23">
        <f t="shared" si="2540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29" x14ac:dyDescent="0.2">
      <c r="A306" s="3" t="str">
        <f t="shared" ref="A306:A316" si="2543">CONCATENATE(B306,"_",C306)</f>
        <v>opsd_bovin_5TE3</v>
      </c>
      <c r="B306" s="3" t="s">
        <v>919</v>
      </c>
      <c r="C306" s="3" t="s">
        <v>1399</v>
      </c>
      <c r="D306" s="3" t="str">
        <f>IFERROR(MID(VLOOKUP($B306,Seqs!$A:$B,2,0),E306,1),"")</f>
        <v>E</v>
      </c>
      <c r="E306" s="105">
        <v>33</v>
      </c>
      <c r="F306" s="3" t="str">
        <f>IFERROR(MID(VLOOKUP($B306,Seqs!$A:$B,2,0),G306,1),"")</f>
        <v>H</v>
      </c>
      <c r="G306" s="3">
        <v>65</v>
      </c>
      <c r="H306" s="3" t="str">
        <f>IFERROR(MID(VLOOKUP($B306,Seqs!$A:$B,2,0),I306,1),"")</f>
        <v>K</v>
      </c>
      <c r="I306" s="23">
        <v>66</v>
      </c>
      <c r="J306" s="3" t="str">
        <f>IFERROR(MID(VLOOKUP($B306,Seqs!$A:$B,2,0),K306,1),"")</f>
        <v>R</v>
      </c>
      <c r="K306" s="23">
        <v>69</v>
      </c>
      <c r="L306" s="3" t="str">
        <f>IFERROR(MID(VLOOKUP($B306,Seqs!$A:$B,2,0),M306,1),"")</f>
        <v>T</v>
      </c>
      <c r="M306" s="3">
        <v>70</v>
      </c>
      <c r="N306" s="3" t="str">
        <f>IFERROR(MID(VLOOKUP($B306,Seqs!$A:$B,2,0),O306,1),"")</f>
        <v>H</v>
      </c>
      <c r="O306" s="3">
        <v>100</v>
      </c>
      <c r="P306" s="3" t="str">
        <f>IFERROR(MID(VLOOKUP($B306,Seqs!$A:$B,2,0),Q306,1),"")</f>
        <v>Y</v>
      </c>
      <c r="Q306" s="3">
        <v>102</v>
      </c>
      <c r="R306" s="3" t="str">
        <f>IFERROR(MID(VLOOKUP($B306,Seqs!$A:$B,2,0),S306,1),"")</f>
        <v>F</v>
      </c>
      <c r="S306" s="3">
        <v>105</v>
      </c>
      <c r="T306" s="3" t="str">
        <f>IFERROR(MID(VLOOKUP($B306,Seqs!$A:$B,2,0),U306,1),"")</f>
        <v>G</v>
      </c>
      <c r="U306" s="3">
        <v>106</v>
      </c>
      <c r="V306" s="3" t="str">
        <f>IFERROR(MID(VLOOKUP($B306,Seqs!$A:$B,2,0),W306,1),"")</f>
        <v>K</v>
      </c>
      <c r="W306" s="3">
        <v>141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G</v>
      </c>
      <c r="AC306" s="3">
        <v>149</v>
      </c>
      <c r="AD306" s="3" t="str">
        <f>IFERROR(MID(VLOOKUP($B306,Seqs!$A:$B,2,0),AE306,1),"")</f>
        <v>V</v>
      </c>
      <c r="AE306" s="3">
        <v>173</v>
      </c>
      <c r="AF306" s="3" t="str">
        <f>IFERROR(MID(VLOOKUP($B306,Seqs!$A:$B,2,0),AG306,1),"")</f>
        <v>C</v>
      </c>
      <c r="AG306" s="3">
        <v>187</v>
      </c>
      <c r="AH306" s="3" t="str">
        <f>IFERROR(MID(VLOOKUP($B306,Seqs!$A:$B,2,0),AI306,1),"")</f>
        <v>I</v>
      </c>
      <c r="AI306" s="3">
        <v>189</v>
      </c>
      <c r="AJ306" s="3" t="str">
        <f>IFERROR(MID(VLOOKUP($B306,Seqs!$A:$B,2,0),AK306,1),"")</f>
        <v>N</v>
      </c>
      <c r="AK306" s="3">
        <v>199</v>
      </c>
      <c r="AL306" s="3" t="str">
        <f>IFERROR(MID(VLOOKUP($B306,Seqs!$A:$B,2,0),AM306,1),"")</f>
        <v>Q</v>
      </c>
      <c r="AM306" s="3">
        <v>237</v>
      </c>
      <c r="AN306" s="3" t="str">
        <f>IFERROR(MID(VLOOKUP($B306,Seqs!$A:$B,2,0),AO306,1),"")</f>
        <v>A</v>
      </c>
      <c r="AO306" s="3">
        <v>241</v>
      </c>
      <c r="AP306" s="3" t="str">
        <f>IFERROR(MID(VLOOKUP($B306,Seqs!$A:$B,2,0),AQ306,1),"")</f>
        <v>H</v>
      </c>
      <c r="AQ306" s="3">
        <v>278</v>
      </c>
      <c r="AR306" s="3" t="str">
        <f>IFERROR(MID(VLOOKUP($B306,Seqs!$A:$B,2,0),AS306,1),"")</f>
        <v>G</v>
      </c>
      <c r="AS306" s="3">
        <v>284</v>
      </c>
      <c r="AT306" s="3" t="str">
        <f>IFERROR(MID(VLOOKUP($B306,Seqs!$A:$B,2,0),AU306,1),"")</f>
        <v>M</v>
      </c>
      <c r="AU306" s="3">
        <v>309</v>
      </c>
      <c r="AV306" s="3" t="str">
        <f>IFERROR(MID(VLOOKUP($B306,Seqs!$A:$B,2,0),AW306,1),"")</f>
        <v>N</v>
      </c>
      <c r="AW306" s="3">
        <v>310</v>
      </c>
      <c r="AX306" s="3" t="str">
        <f>IFERROR(MID(VLOOKUP($B306,Seqs!$A:$B,2,0),AY306,1),"")</f>
        <v>C</v>
      </c>
      <c r="AY306" s="3">
        <v>322</v>
      </c>
      <c r="AZ306" s="77" t="str">
        <f>VLOOKUP(B306,Classification!A:D,2,0)</f>
        <v>A</v>
      </c>
      <c r="BA306" s="94" t="str">
        <f>VLOOKUP(B306,Classification!A:D,4,0)</f>
        <v>Opsins</v>
      </c>
      <c r="BB306" s="27" t="b">
        <f t="shared" ref="BB306:BB316" si="2544">AND(E306&lt;G306,OR(G306&lt;I306,I306="-"),OR(I306&lt;K306,I306="-"),OR(K306&lt;M306,K306="-"),M306&lt;O306,OR(O306&lt;Q306,Q306="-"),OR(Q306&lt;S306,Q306="-"),OR(S306&lt;U306,S306="-"),U306&lt;W306,OR(W306&lt;Y306,Y306="-"),OR(Y306&lt;AA306,Y306="-"),OR(AA306&lt;AC306,AA306="-"),AC306&lt;AE306,OR(AE306&lt;AG306,AG306="-"),OR(AG306&lt;AI306,AG306="-"),OR(AI306&lt;AK306,AI306="-"),AK306&lt;AM306,AM306&lt;AO306,AO306&lt;AQ306,AQ306&lt;AS306,AS306&lt;AU306,OR(AU306&lt;AW306,AW306="-"),OR(AW306&lt;AY306,AW306="-"))</f>
        <v>1</v>
      </c>
      <c r="BC306" s="23">
        <f t="shared" ref="BC306:BC316" si="2545">_xlfn.AGGREGATE(9,6,CH306:CS306)-_xlfn.AGGREGATE(9,6,BV306:CG306)+12</f>
        <v>253</v>
      </c>
      <c r="BD306" s="2" t="s">
        <v>23</v>
      </c>
      <c r="BE306" s="3" t="s">
        <v>1291</v>
      </c>
      <c r="BF306" s="118">
        <v>2.7</v>
      </c>
      <c r="BG306" s="49" t="s">
        <v>1</v>
      </c>
      <c r="BH306" s="49" t="s">
        <v>1377</v>
      </c>
      <c r="BI306" s="1"/>
      <c r="BJ306" s="70" t="s">
        <v>1287</v>
      </c>
      <c r="BK306" s="57" t="s">
        <v>1287</v>
      </c>
      <c r="BL306" s="57" t="s">
        <v>1287</v>
      </c>
      <c r="BM306" s="57" t="s">
        <v>1287</v>
      </c>
      <c r="BN306" s="57" t="s">
        <v>1287</v>
      </c>
      <c r="BO306" s="57" t="s">
        <v>1287</v>
      </c>
      <c r="BP306" s="57" t="s">
        <v>1287</v>
      </c>
      <c r="BQ306" s="57" t="s">
        <v>1287</v>
      </c>
      <c r="BR306" s="57" t="s">
        <v>1287</v>
      </c>
      <c r="BS306" s="57" t="s">
        <v>1287</v>
      </c>
      <c r="BT306" s="57" t="s">
        <v>1287</v>
      </c>
      <c r="BU306" s="57" t="s">
        <v>1287</v>
      </c>
      <c r="BV306" s="70">
        <f t="shared" ref="BV306:BV316" si="2546">E306</f>
        <v>33</v>
      </c>
      <c r="BW306" s="71">
        <f t="shared" ref="BW306:BW316" si="2547">I306</f>
        <v>66</v>
      </c>
      <c r="BX306" s="72">
        <f t="shared" ref="BX306:BX316" si="2548">M306</f>
        <v>70</v>
      </c>
      <c r="BY306" s="71">
        <f t="shared" ref="BY306:BY316" si="2549">Q306</f>
        <v>102</v>
      </c>
      <c r="BZ306" s="72">
        <f t="shared" ref="BZ306:BZ316" si="2550">U306</f>
        <v>106</v>
      </c>
      <c r="CA306" s="71" t="str">
        <f t="shared" ref="CA306:CA316" si="2551">Y306</f>
        <v>-</v>
      </c>
      <c r="CB306" s="72">
        <f t="shared" ref="CB306:CB316" si="2552">AC306</f>
        <v>149</v>
      </c>
      <c r="CC306" s="71">
        <f t="shared" ref="CC306:CC316" si="2553">AG306</f>
        <v>187</v>
      </c>
      <c r="CD306" s="72">
        <f t="shared" ref="CD306:CD316" si="2554">AK306</f>
        <v>199</v>
      </c>
      <c r="CE306" s="71">
        <f t="shared" ref="CE306:CE316" si="2555">AO306</f>
        <v>241</v>
      </c>
      <c r="CF306" s="72">
        <f t="shared" ref="CF306:CF316" si="2556">AS306</f>
        <v>284</v>
      </c>
      <c r="CG306" s="71">
        <f t="shared" ref="CG306:CG316" si="2557">AW306</f>
        <v>310</v>
      </c>
      <c r="CH306" s="70">
        <f t="shared" ref="CH306:CH316" si="2558">G306</f>
        <v>65</v>
      </c>
      <c r="CI306" s="71">
        <f t="shared" ref="CI306:CI316" si="2559">K306</f>
        <v>69</v>
      </c>
      <c r="CJ306" s="72">
        <f t="shared" ref="CJ306:CJ316" si="2560">O306</f>
        <v>100</v>
      </c>
      <c r="CK306" s="72">
        <f t="shared" ref="CK306:CK316" si="2561">S306</f>
        <v>105</v>
      </c>
      <c r="CL306" s="72">
        <f t="shared" ref="CL306:CL316" si="2562">W306</f>
        <v>141</v>
      </c>
      <c r="CM306" s="72" t="str">
        <f t="shared" ref="CM306:CM316" si="2563">AA306</f>
        <v>-</v>
      </c>
      <c r="CN306" s="72">
        <f t="shared" ref="CN306:CN316" si="2564">AE306</f>
        <v>173</v>
      </c>
      <c r="CO306" s="72">
        <f t="shared" ref="CO306:CO316" si="2565">AI306</f>
        <v>189</v>
      </c>
      <c r="CP306" s="72">
        <f t="shared" ref="CP306:CP316" si="2566">AM306</f>
        <v>237</v>
      </c>
      <c r="CQ306" s="72">
        <f t="shared" ref="CQ306:CQ316" si="2567">AQ306</f>
        <v>278</v>
      </c>
      <c r="CR306" s="72">
        <f t="shared" ref="CR306:CR316" si="2568">AU306</f>
        <v>309</v>
      </c>
      <c r="CS306" s="72">
        <f t="shared" ref="CS306:CS316" si="2569">AY306</f>
        <v>322</v>
      </c>
      <c r="CT306" s="23">
        <f t="shared" ref="CT306:CT316" si="2570">M306-K306</f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29" x14ac:dyDescent="0.2">
      <c r="A307" s="3" t="str">
        <f t="shared" si="2543"/>
        <v>opsd_bovin_5TE5</v>
      </c>
      <c r="B307" s="3" t="s">
        <v>919</v>
      </c>
      <c r="C307" s="3" t="s">
        <v>1400</v>
      </c>
      <c r="D307" s="3" t="str">
        <f>IFERROR(MID(VLOOKUP($B307,Seqs!$A:$B,2,0),E307,1),"")</f>
        <v>Q</v>
      </c>
      <c r="E307" s="3">
        <v>36</v>
      </c>
      <c r="F307" s="3" t="str">
        <f>IFERROR(MID(VLOOKUP($B307,Seqs!$A:$B,2,0),G307,1),"")</f>
        <v>H</v>
      </c>
      <c r="G307" s="3">
        <v>65</v>
      </c>
      <c r="H307" s="3" t="str">
        <f>IFERROR(MID(VLOOKUP($B307,Seqs!$A:$B,2,0),I307,1),"")</f>
        <v>K</v>
      </c>
      <c r="I307" s="23">
        <v>66</v>
      </c>
      <c r="J307" s="3" t="str">
        <f>IFERROR(MID(VLOOKUP($B307,Seqs!$A:$B,2,0),K307,1),"")</f>
        <v>R</v>
      </c>
      <c r="K307" s="23">
        <v>69</v>
      </c>
      <c r="L307" s="3" t="str">
        <f>IFERROR(MID(VLOOKUP($B307,Seqs!$A:$B,2,0),M307,1),"")</f>
        <v>T</v>
      </c>
      <c r="M307" s="3">
        <v>70</v>
      </c>
      <c r="N307" s="3" t="str">
        <f>IFERROR(MID(VLOOKUP($B307,Seqs!$A:$B,2,0),O307,1),"")</f>
        <v>G</v>
      </c>
      <c r="O307" s="3">
        <v>101</v>
      </c>
      <c r="P307" s="3" t="str">
        <f>IFERROR(MID(VLOOKUP($B307,Seqs!$A:$B,2,0),Q307,1),"")</f>
        <v>Y</v>
      </c>
      <c r="Q307" s="3">
        <v>102</v>
      </c>
      <c r="R307" s="3" t="str">
        <f>IFERROR(MID(VLOOKUP($B307,Seqs!$A:$B,2,0),S307,1),"")</f>
        <v>F</v>
      </c>
      <c r="S307" s="3">
        <v>105</v>
      </c>
      <c r="T307" s="3" t="str">
        <f>IFERROR(MID(VLOOKUP($B307,Seqs!$A:$B,2,0),U307,1),"")</f>
        <v>G</v>
      </c>
      <c r="U307" s="3">
        <v>106</v>
      </c>
      <c r="V307" s="3" t="str">
        <f>IFERROR(MID(VLOOKUP($B307,Seqs!$A:$B,2,0),W307,1),"")</f>
        <v>K</v>
      </c>
      <c r="W307" s="3">
        <v>141</v>
      </c>
      <c r="X307" s="3" t="str">
        <f>IFERROR(MID(VLOOKUP($B307,Seqs!$A:$B,2,0),Y307,1),"")</f>
        <v/>
      </c>
      <c r="Y307" s="3" t="s">
        <v>23</v>
      </c>
      <c r="Z307" s="3" t="str">
        <f>IFERROR(MID(VLOOKUP($B307,Seqs!$A:$B,2,0),AA307,1),"")</f>
        <v/>
      </c>
      <c r="AA307" s="3" t="s">
        <v>23</v>
      </c>
      <c r="AB307" s="3" t="str">
        <f>IFERROR(MID(VLOOKUP($B307,Seqs!$A:$B,2,0),AC307,1),"")</f>
        <v>G</v>
      </c>
      <c r="AC307" s="3">
        <v>149</v>
      </c>
      <c r="AD307" s="3" t="str">
        <f>IFERROR(MID(VLOOKUP($B307,Seqs!$A:$B,2,0),AE307,1),"")</f>
        <v>V</v>
      </c>
      <c r="AE307" s="3">
        <v>173</v>
      </c>
      <c r="AF307" s="3" t="str">
        <f>IFERROR(MID(VLOOKUP($B307,Seqs!$A:$B,2,0),AG307,1),"")</f>
        <v>C</v>
      </c>
      <c r="AG307" s="3">
        <v>187</v>
      </c>
      <c r="AH307" s="3" t="str">
        <f>IFERROR(MID(VLOOKUP($B307,Seqs!$A:$B,2,0),AI307,1),"")</f>
        <v>I</v>
      </c>
      <c r="AI307" s="3">
        <v>189</v>
      </c>
      <c r="AJ307" s="3" t="str">
        <f>IFERROR(MID(VLOOKUP($B307,Seqs!$A:$B,2,0),AK307,1),"")</f>
        <v>S</v>
      </c>
      <c r="AK307" s="3">
        <v>202</v>
      </c>
      <c r="AL307" s="3" t="str">
        <f>IFERROR(MID(VLOOKUP($B307,Seqs!$A:$B,2,0),AM307,1),"")</f>
        <v>L</v>
      </c>
      <c r="AM307" s="3">
        <v>226</v>
      </c>
      <c r="AN307" s="3" t="str">
        <f>IFERROR(MID(VLOOKUP($B307,Seqs!$A:$B,2,0),AO307,1),"")</f>
        <v>T</v>
      </c>
      <c r="AO307" s="3">
        <v>243</v>
      </c>
      <c r="AP307" s="3" t="str">
        <f>IFERROR(MID(VLOOKUP($B307,Seqs!$A:$B,2,0),AQ307,1),"")</f>
        <v>H</v>
      </c>
      <c r="AQ307" s="3">
        <v>278</v>
      </c>
      <c r="AR307" s="3" t="str">
        <f>IFERROR(MID(VLOOKUP($B307,Seqs!$A:$B,2,0),AS307,1),"")</f>
        <v>P</v>
      </c>
      <c r="AS307" s="3">
        <v>285</v>
      </c>
      <c r="AT307" s="3" t="str">
        <f>IFERROR(MID(VLOOKUP($B307,Seqs!$A:$B,2,0),AU307,1),"")</f>
        <v>M</v>
      </c>
      <c r="AU307" s="3">
        <v>309</v>
      </c>
      <c r="AV307" s="3" t="str">
        <f>IFERROR(MID(VLOOKUP($B307,Seqs!$A:$B,2,0),AW307,1),"")</f>
        <v>N</v>
      </c>
      <c r="AW307" s="3">
        <v>310</v>
      </c>
      <c r="AX307" s="3" t="str">
        <f>IFERROR(MID(VLOOKUP($B307,Seqs!$A:$B,2,0),AY307,1),"")</f>
        <v>C</v>
      </c>
      <c r="AY307" s="3">
        <v>323</v>
      </c>
      <c r="AZ307" s="77" t="str">
        <f>VLOOKUP(B307,Classification!A:D,2,0)</f>
        <v>A</v>
      </c>
      <c r="BA307" s="94" t="str">
        <f>VLOOKUP(B307,Classification!A:D,4,0)</f>
        <v>Opsins</v>
      </c>
      <c r="BB307" s="27" t="b">
        <f t="shared" si="2544"/>
        <v>1</v>
      </c>
      <c r="BC307" s="23">
        <f t="shared" si="2545"/>
        <v>235</v>
      </c>
      <c r="BD307" s="2" t="s">
        <v>23</v>
      </c>
      <c r="BE307" s="3" t="s">
        <v>1374</v>
      </c>
      <c r="BF307" s="118">
        <v>4.01</v>
      </c>
      <c r="BG307" s="49" t="s">
        <v>1377</v>
      </c>
      <c r="BH307" s="49" t="s">
        <v>1377</v>
      </c>
      <c r="BI307" s="1"/>
      <c r="BJ307" s="70" t="s">
        <v>1287</v>
      </c>
      <c r="BK307" s="57" t="s">
        <v>1287</v>
      </c>
      <c r="BL307" s="57" t="s">
        <v>1287</v>
      </c>
      <c r="BM307" s="57" t="s">
        <v>1287</v>
      </c>
      <c r="BN307" s="57" t="s">
        <v>1287</v>
      </c>
      <c r="BO307" s="57" t="s">
        <v>1287</v>
      </c>
      <c r="BP307" s="57" t="s">
        <v>1287</v>
      </c>
      <c r="BQ307" s="57" t="s">
        <v>1287</v>
      </c>
      <c r="BR307" s="57" t="s">
        <v>1287</v>
      </c>
      <c r="BS307" s="57" t="s">
        <v>1287</v>
      </c>
      <c r="BT307" s="57" t="s">
        <v>1287</v>
      </c>
      <c r="BU307" s="57" t="s">
        <v>1287</v>
      </c>
      <c r="BV307" s="70">
        <f t="shared" si="2546"/>
        <v>36</v>
      </c>
      <c r="BW307" s="71">
        <f t="shared" si="2547"/>
        <v>66</v>
      </c>
      <c r="BX307" s="72">
        <f t="shared" si="2548"/>
        <v>70</v>
      </c>
      <c r="BY307" s="71">
        <f t="shared" si="2549"/>
        <v>102</v>
      </c>
      <c r="BZ307" s="72">
        <f t="shared" si="2550"/>
        <v>106</v>
      </c>
      <c r="CA307" s="71" t="str">
        <f t="shared" si="2551"/>
        <v>-</v>
      </c>
      <c r="CB307" s="72">
        <f t="shared" si="2552"/>
        <v>149</v>
      </c>
      <c r="CC307" s="71">
        <f t="shared" si="2553"/>
        <v>187</v>
      </c>
      <c r="CD307" s="72">
        <f t="shared" si="2554"/>
        <v>202</v>
      </c>
      <c r="CE307" s="71">
        <f t="shared" si="2555"/>
        <v>243</v>
      </c>
      <c r="CF307" s="72">
        <f t="shared" si="2556"/>
        <v>285</v>
      </c>
      <c r="CG307" s="71">
        <f t="shared" si="2557"/>
        <v>310</v>
      </c>
      <c r="CH307" s="70">
        <f t="shared" si="2558"/>
        <v>65</v>
      </c>
      <c r="CI307" s="71">
        <f t="shared" si="2559"/>
        <v>69</v>
      </c>
      <c r="CJ307" s="72">
        <f t="shared" si="2560"/>
        <v>101</v>
      </c>
      <c r="CK307" s="72">
        <f t="shared" si="2561"/>
        <v>105</v>
      </c>
      <c r="CL307" s="72">
        <f t="shared" si="2562"/>
        <v>141</v>
      </c>
      <c r="CM307" s="72" t="str">
        <f t="shared" si="2563"/>
        <v>-</v>
      </c>
      <c r="CN307" s="72">
        <f t="shared" si="2564"/>
        <v>173</v>
      </c>
      <c r="CO307" s="72">
        <f t="shared" si="2565"/>
        <v>189</v>
      </c>
      <c r="CP307" s="72">
        <f t="shared" si="2566"/>
        <v>226</v>
      </c>
      <c r="CQ307" s="72">
        <f t="shared" si="2567"/>
        <v>278</v>
      </c>
      <c r="CR307" s="72">
        <f t="shared" si="2568"/>
        <v>309</v>
      </c>
      <c r="CS307" s="72">
        <f t="shared" si="2569"/>
        <v>323</v>
      </c>
      <c r="CT307" s="23">
        <f t="shared" si="2570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29" x14ac:dyDescent="0.2">
      <c r="A308" s="3" t="str">
        <f t="shared" si="2543"/>
        <v>opsd_bovin_5WKT</v>
      </c>
      <c r="B308" s="3" t="s">
        <v>919</v>
      </c>
      <c r="C308" s="3" t="s">
        <v>1450</v>
      </c>
      <c r="D308" s="3" t="str">
        <f>IFERROR(MID(VLOOKUP($B308,Seqs!$A:$B,2,0),E308,1),"")</f>
        <v>E</v>
      </c>
      <c r="E308" s="3">
        <v>33</v>
      </c>
      <c r="F308" s="3" t="str">
        <f>IFERROR(MID(VLOOKUP($B308,Seqs!$A:$B,2,0),G308,1),"")</f>
        <v>Q</v>
      </c>
      <c r="G308" s="3">
        <v>64</v>
      </c>
      <c r="H308" s="3" t="str">
        <f>IFERROR(MID(VLOOKUP($B308,Seqs!$A:$B,2,0),I308,1),"")</f>
        <v>K</v>
      </c>
      <c r="I308" s="23">
        <v>66</v>
      </c>
      <c r="J308" s="3" t="str">
        <f>IFERROR(MID(VLOOKUP($B308,Seqs!$A:$B,2,0),K308,1),"")</f>
        <v>R</v>
      </c>
      <c r="K308" s="23">
        <v>69</v>
      </c>
      <c r="L308" s="3" t="str">
        <f>IFERROR(MID(VLOOKUP($B308,Seqs!$A:$B,2,0),M308,1),"")</f>
        <v>N</v>
      </c>
      <c r="M308" s="3">
        <v>73</v>
      </c>
      <c r="N308" s="3" t="str">
        <f>IFERROR(MID(VLOOKUP($B308,Seqs!$A:$B,2,0),O308,1),"")</f>
        <v>G</v>
      </c>
      <c r="O308" s="3">
        <v>101</v>
      </c>
      <c r="P308" s="3" t="str">
        <f>IFERROR(MID(VLOOKUP($B308,Seqs!$A:$B,2,0),Q308,1),"")</f>
        <v>Y</v>
      </c>
      <c r="Q308" s="3">
        <v>102</v>
      </c>
      <c r="R308" s="3" t="str">
        <f>IFERROR(MID(VLOOKUP($B308,Seqs!$A:$B,2,0),S308,1),"")</f>
        <v>F</v>
      </c>
      <c r="S308" s="3">
        <v>105</v>
      </c>
      <c r="T308" s="3" t="str">
        <f>IFERROR(MID(VLOOKUP($B308,Seqs!$A:$B,2,0),U308,1),"")</f>
        <v>G</v>
      </c>
      <c r="U308" s="3">
        <v>106</v>
      </c>
      <c r="V308" s="3" t="str">
        <f>IFERROR(MID(VLOOKUP($B308,Seqs!$A:$B,2,0),W308,1),"")</f>
        <v>K</v>
      </c>
      <c r="W308" s="3">
        <v>141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G</v>
      </c>
      <c r="AC308" s="3">
        <v>149</v>
      </c>
      <c r="AD308" s="3" t="str">
        <f>IFERROR(MID(VLOOKUP($B308,Seqs!$A:$B,2,0),AE308,1),"")</f>
        <v>V</v>
      </c>
      <c r="AE308" s="3">
        <v>173</v>
      </c>
      <c r="AF308" s="3" t="str">
        <f>IFERROR(MID(VLOOKUP($B308,Seqs!$A:$B,2,0),AG308,1),"")</f>
        <v>C</v>
      </c>
      <c r="AG308" s="3">
        <v>187</v>
      </c>
      <c r="AH308" s="3" t="str">
        <f>IFERROR(MID(VLOOKUP($B308,Seqs!$A:$B,2,0),AI308,1),"")</f>
        <v>I</v>
      </c>
      <c r="AI308" s="3">
        <v>189</v>
      </c>
      <c r="AJ308" s="3" t="str">
        <f>IFERROR(MID(VLOOKUP($B308,Seqs!$A:$B,2,0),AK308,1),"")</f>
        <v>N</v>
      </c>
      <c r="AK308" s="3">
        <v>199</v>
      </c>
      <c r="AL308" s="3" t="str">
        <f>IFERROR(MID(VLOOKUP($B308,Seqs!$A:$B,2,0),AM308,1),"")</f>
        <v>Q</v>
      </c>
      <c r="AM308" s="3">
        <v>236</v>
      </c>
      <c r="AN308" s="3" t="str">
        <f>IFERROR(MID(VLOOKUP($B308,Seqs!$A:$B,2,0),AO308,1),"")</f>
        <v>S</v>
      </c>
      <c r="AO308" s="3">
        <v>240</v>
      </c>
      <c r="AP308" s="3" t="str">
        <f>IFERROR(MID(VLOOKUP($B308,Seqs!$A:$B,2,0),AQ308,1),"")</f>
        <v>H</v>
      </c>
      <c r="AQ308" s="3">
        <v>278</v>
      </c>
      <c r="AR308" s="3" t="str">
        <f>IFERROR(MID(VLOOKUP($B308,Seqs!$A:$B,2,0),AS308,1),"")</f>
        <v>G</v>
      </c>
      <c r="AS308" s="3">
        <v>284</v>
      </c>
      <c r="AT308" s="3" t="str">
        <f>IFERROR(MID(VLOOKUP($B308,Seqs!$A:$B,2,0),AU308,1),"")</f>
        <v>M</v>
      </c>
      <c r="AU308" s="3">
        <v>309</v>
      </c>
      <c r="AV308" s="3" t="str">
        <f>IFERROR(MID(VLOOKUP($B308,Seqs!$A:$B,2,0),AW308,1),"")</f>
        <v>N</v>
      </c>
      <c r="AW308" s="3">
        <v>310</v>
      </c>
      <c r="AX308" s="3" t="str">
        <f>IFERROR(MID(VLOOKUP($B308,Seqs!$A:$B,2,0),AY308,1),"")</f>
        <v>C</v>
      </c>
      <c r="AY308" s="3">
        <v>322</v>
      </c>
      <c r="AZ308" s="77" t="str">
        <f>VLOOKUP(B308,Classification!A:D,2,0)</f>
        <v>A</v>
      </c>
      <c r="BA308" s="94" t="str">
        <f>VLOOKUP(B308,Classification!A:D,4,0)</f>
        <v>Opsins</v>
      </c>
      <c r="BB308" s="27" t="b">
        <f t="shared" si="2544"/>
        <v>1</v>
      </c>
      <c r="BC308" s="23">
        <f t="shared" si="2545"/>
        <v>250</v>
      </c>
      <c r="BD308" s="2" t="s">
        <v>23</v>
      </c>
      <c r="BE308" s="3" t="s">
        <v>1291</v>
      </c>
      <c r="BF308" s="118">
        <v>3.2</v>
      </c>
      <c r="BG308" s="49" t="s">
        <v>1</v>
      </c>
      <c r="BH308" s="49" t="s">
        <v>1</v>
      </c>
      <c r="BI308" s="1"/>
      <c r="BJ308" s="70" t="s">
        <v>1287</v>
      </c>
      <c r="BK308" s="57" t="s">
        <v>1287</v>
      </c>
      <c r="BL308" s="57" t="s">
        <v>1287</v>
      </c>
      <c r="BM308" s="57" t="s">
        <v>1287</v>
      </c>
      <c r="BN308" s="57" t="s">
        <v>1287</v>
      </c>
      <c r="BO308" s="57" t="s">
        <v>1287</v>
      </c>
      <c r="BP308" s="57" t="s">
        <v>1287</v>
      </c>
      <c r="BQ308" s="57" t="s">
        <v>1287</v>
      </c>
      <c r="BR308" s="57" t="s">
        <v>1287</v>
      </c>
      <c r="BS308" s="57" t="s">
        <v>1287</v>
      </c>
      <c r="BT308" s="57" t="s">
        <v>1287</v>
      </c>
      <c r="BU308" s="57" t="s">
        <v>1287</v>
      </c>
      <c r="BV308" s="70">
        <f t="shared" si="2546"/>
        <v>33</v>
      </c>
      <c r="BW308" s="71">
        <f t="shared" si="2547"/>
        <v>66</v>
      </c>
      <c r="BX308" s="72">
        <f t="shared" si="2548"/>
        <v>73</v>
      </c>
      <c r="BY308" s="71">
        <f t="shared" si="2549"/>
        <v>102</v>
      </c>
      <c r="BZ308" s="72">
        <f t="shared" si="2550"/>
        <v>106</v>
      </c>
      <c r="CA308" s="71" t="str">
        <f t="shared" si="2551"/>
        <v>-</v>
      </c>
      <c r="CB308" s="72">
        <f t="shared" si="2552"/>
        <v>149</v>
      </c>
      <c r="CC308" s="71">
        <f t="shared" si="2553"/>
        <v>187</v>
      </c>
      <c r="CD308" s="72">
        <f t="shared" si="2554"/>
        <v>199</v>
      </c>
      <c r="CE308" s="71">
        <f t="shared" si="2555"/>
        <v>240</v>
      </c>
      <c r="CF308" s="72">
        <f t="shared" si="2556"/>
        <v>284</v>
      </c>
      <c r="CG308" s="71">
        <f t="shared" si="2557"/>
        <v>310</v>
      </c>
      <c r="CH308" s="70">
        <f t="shared" si="2558"/>
        <v>64</v>
      </c>
      <c r="CI308" s="71">
        <f t="shared" si="2559"/>
        <v>69</v>
      </c>
      <c r="CJ308" s="72">
        <f t="shared" si="2560"/>
        <v>101</v>
      </c>
      <c r="CK308" s="72">
        <f t="shared" si="2561"/>
        <v>105</v>
      </c>
      <c r="CL308" s="72">
        <f t="shared" si="2562"/>
        <v>141</v>
      </c>
      <c r="CM308" s="72" t="str">
        <f t="shared" si="2563"/>
        <v>-</v>
      </c>
      <c r="CN308" s="72">
        <f t="shared" si="2564"/>
        <v>173</v>
      </c>
      <c r="CO308" s="72">
        <f t="shared" si="2565"/>
        <v>189</v>
      </c>
      <c r="CP308" s="72">
        <f t="shared" si="2566"/>
        <v>236</v>
      </c>
      <c r="CQ308" s="72">
        <f t="shared" si="2567"/>
        <v>278</v>
      </c>
      <c r="CR308" s="72">
        <f t="shared" si="2568"/>
        <v>309</v>
      </c>
      <c r="CS308" s="72">
        <f t="shared" si="2569"/>
        <v>322</v>
      </c>
      <c r="CT308" s="23">
        <f t="shared" si="2570"/>
        <v>4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29" x14ac:dyDescent="0.2">
      <c r="A309" s="3" t="str">
        <f t="shared" si="2543"/>
        <v>opsd_bovin_6FK6</v>
      </c>
      <c r="B309" s="3" t="s">
        <v>919</v>
      </c>
      <c r="C309" s="3" t="s">
        <v>1481</v>
      </c>
      <c r="D309" s="3" t="str">
        <f>IFERROR(MID(VLOOKUP($B309,Seqs!$A:$B,2,0),E309,1),"")</f>
        <v>E</v>
      </c>
      <c r="E309" s="3">
        <v>33</v>
      </c>
      <c r="F309" s="3" t="str">
        <f>IFERROR(MID(VLOOKUP($B309,Seqs!$A:$B,2,0),G309,1),"")</f>
        <v>Q</v>
      </c>
      <c r="G309" s="3">
        <v>64</v>
      </c>
      <c r="H309" s="3" t="str">
        <f>IFERROR(MID(VLOOKUP($B309,Seqs!$A:$B,2,0),I309,1),"")</f>
        <v>K</v>
      </c>
      <c r="I309" s="23">
        <v>66</v>
      </c>
      <c r="J309" s="3" t="str">
        <f>IFERROR(MID(VLOOKUP($B309,Seqs!$A:$B,2,0),K309,1),"")</f>
        <v>R</v>
      </c>
      <c r="K309" s="23">
        <v>69</v>
      </c>
      <c r="L309" s="3" t="str">
        <f>IFERROR(MID(VLOOKUP($B309,Seqs!$A:$B,2,0),M309,1),"")</f>
        <v>N</v>
      </c>
      <c r="M309" s="3">
        <v>73</v>
      </c>
      <c r="N309" s="3" t="str">
        <f>IFERROR(MID(VLOOKUP($B309,Seqs!$A:$B,2,0),O309,1),"")</f>
        <v>G</v>
      </c>
      <c r="O309" s="3">
        <v>101</v>
      </c>
      <c r="P309" s="3" t="str">
        <f>IFERROR(MID(VLOOKUP($B309,Seqs!$A:$B,2,0),Q309,1),"")</f>
        <v>Y</v>
      </c>
      <c r="Q309" s="3">
        <v>102</v>
      </c>
      <c r="R309" s="3" t="str">
        <f>IFERROR(MID(VLOOKUP($B309,Seqs!$A:$B,2,0),S309,1),"")</f>
        <v>F</v>
      </c>
      <c r="S309" s="3">
        <v>105</v>
      </c>
      <c r="T309" s="3" t="str">
        <f>IFERROR(MID(VLOOKUP($B309,Seqs!$A:$B,2,0),U309,1),"")</f>
        <v>G</v>
      </c>
      <c r="U309" s="3">
        <v>106</v>
      </c>
      <c r="V309" s="3" t="str">
        <f>IFERROR(MID(VLOOKUP($B309,Seqs!$A:$B,2,0),W309,1),"")</f>
        <v>K</v>
      </c>
      <c r="W309" s="3">
        <v>141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G</v>
      </c>
      <c r="AC309" s="3">
        <v>149</v>
      </c>
      <c r="AD309" s="3" t="str">
        <f>IFERROR(MID(VLOOKUP($B309,Seqs!$A:$B,2,0),AE309,1),"")</f>
        <v>V</v>
      </c>
      <c r="AE309" s="3">
        <v>173</v>
      </c>
      <c r="AF309" s="3" t="str">
        <f>IFERROR(MID(VLOOKUP($B309,Seqs!$A:$B,2,0),AG309,1),"")</f>
        <v>C</v>
      </c>
      <c r="AG309" s="3">
        <v>187</v>
      </c>
      <c r="AH309" s="3" t="str">
        <f>IFERROR(MID(VLOOKUP($B309,Seqs!$A:$B,2,0),AI309,1),"")</f>
        <v>I</v>
      </c>
      <c r="AI309" s="3">
        <v>189</v>
      </c>
      <c r="AJ309" s="3" t="str">
        <f>IFERROR(MID(VLOOKUP($B309,Seqs!$A:$B,2,0),AK309,1),"")</f>
        <v>N</v>
      </c>
      <c r="AK309" s="3">
        <v>199</v>
      </c>
      <c r="AL309" s="3" t="str">
        <f>IFERROR(MID(VLOOKUP($B309,Seqs!$A:$B,2,0),AM309,1),"")</f>
        <v>Q</v>
      </c>
      <c r="AM309" s="3">
        <v>236</v>
      </c>
      <c r="AN309" s="3" t="str">
        <f>IFERROR(MID(VLOOKUP($B309,Seqs!$A:$B,2,0),AO309,1),"")</f>
        <v>S</v>
      </c>
      <c r="AO309" s="3">
        <v>240</v>
      </c>
      <c r="AP309" s="3" t="str">
        <f>IFERROR(MID(VLOOKUP($B309,Seqs!$A:$B,2,0),AQ309,1),"")</f>
        <v>H</v>
      </c>
      <c r="AQ309" s="3">
        <v>278</v>
      </c>
      <c r="AR309" s="3" t="str">
        <f>IFERROR(MID(VLOOKUP($B309,Seqs!$A:$B,2,0),AS309,1),"")</f>
        <v>G</v>
      </c>
      <c r="AS309" s="3">
        <v>284</v>
      </c>
      <c r="AT309" s="3" t="str">
        <f>IFERROR(MID(VLOOKUP($B309,Seqs!$A:$B,2,0),AU309,1),"")</f>
        <v>M</v>
      </c>
      <c r="AU309" s="3">
        <v>309</v>
      </c>
      <c r="AV309" s="3" t="str">
        <f>IFERROR(MID(VLOOKUP($B309,Seqs!$A:$B,2,0),AW309,1),"")</f>
        <v>N</v>
      </c>
      <c r="AW309" s="3">
        <v>310</v>
      </c>
      <c r="AX309" s="3" t="str">
        <f>IFERROR(MID(VLOOKUP($B309,Seqs!$A:$B,2,0),AY309,1),"")</f>
        <v>C</v>
      </c>
      <c r="AY309" s="3">
        <v>322</v>
      </c>
      <c r="AZ309" s="77" t="str">
        <f>VLOOKUP(B309,Classification!A:D,2,0)</f>
        <v>A</v>
      </c>
      <c r="BA309" s="94" t="str">
        <f>VLOOKUP(B309,Classification!A:D,4,0)</f>
        <v>Opsins</v>
      </c>
      <c r="BB309" s="27" t="b">
        <f t="shared" si="2544"/>
        <v>1</v>
      </c>
      <c r="BC309" s="23">
        <f t="shared" si="2545"/>
        <v>250</v>
      </c>
      <c r="BD309" s="2" t="s">
        <v>23</v>
      </c>
      <c r="BE309" s="3" t="s">
        <v>1291</v>
      </c>
      <c r="BF309" s="118">
        <v>2.36</v>
      </c>
      <c r="BG309" s="49" t="s">
        <v>1</v>
      </c>
      <c r="BH309" s="49" t="s">
        <v>1</v>
      </c>
      <c r="BI309" s="1"/>
      <c r="BJ309" s="70" t="s">
        <v>1287</v>
      </c>
      <c r="BK309" s="57" t="s">
        <v>1287</v>
      </c>
      <c r="BL309" s="57" t="s">
        <v>1287</v>
      </c>
      <c r="BM309" s="57" t="s">
        <v>1287</v>
      </c>
      <c r="BN309" s="57" t="s">
        <v>1287</v>
      </c>
      <c r="BO309" s="57" t="s">
        <v>1287</v>
      </c>
      <c r="BP309" s="57" t="s">
        <v>1287</v>
      </c>
      <c r="BQ309" s="57" t="s">
        <v>1287</v>
      </c>
      <c r="BR309" s="57" t="s">
        <v>1287</v>
      </c>
      <c r="BS309" s="57" t="s">
        <v>1287</v>
      </c>
      <c r="BT309" s="57" t="s">
        <v>1287</v>
      </c>
      <c r="BU309" s="57" t="s">
        <v>1287</v>
      </c>
      <c r="BV309" s="70">
        <f t="shared" si="2546"/>
        <v>33</v>
      </c>
      <c r="BW309" s="71">
        <f t="shared" si="2547"/>
        <v>66</v>
      </c>
      <c r="BX309" s="72">
        <f t="shared" si="2548"/>
        <v>73</v>
      </c>
      <c r="BY309" s="71">
        <f t="shared" si="2549"/>
        <v>102</v>
      </c>
      <c r="BZ309" s="72">
        <f t="shared" si="2550"/>
        <v>106</v>
      </c>
      <c r="CA309" s="71" t="str">
        <f t="shared" si="2551"/>
        <v>-</v>
      </c>
      <c r="CB309" s="72">
        <f t="shared" si="2552"/>
        <v>149</v>
      </c>
      <c r="CC309" s="71">
        <f t="shared" si="2553"/>
        <v>187</v>
      </c>
      <c r="CD309" s="72">
        <f t="shared" si="2554"/>
        <v>199</v>
      </c>
      <c r="CE309" s="71">
        <f t="shared" si="2555"/>
        <v>240</v>
      </c>
      <c r="CF309" s="72">
        <f t="shared" si="2556"/>
        <v>284</v>
      </c>
      <c r="CG309" s="71">
        <f t="shared" si="2557"/>
        <v>310</v>
      </c>
      <c r="CH309" s="70">
        <f t="shared" si="2558"/>
        <v>64</v>
      </c>
      <c r="CI309" s="71">
        <f t="shared" si="2559"/>
        <v>69</v>
      </c>
      <c r="CJ309" s="72">
        <f t="shared" si="2560"/>
        <v>101</v>
      </c>
      <c r="CK309" s="72">
        <f t="shared" si="2561"/>
        <v>105</v>
      </c>
      <c r="CL309" s="72">
        <f t="shared" si="2562"/>
        <v>141</v>
      </c>
      <c r="CM309" s="72" t="str">
        <f t="shared" si="2563"/>
        <v>-</v>
      </c>
      <c r="CN309" s="72">
        <f t="shared" si="2564"/>
        <v>173</v>
      </c>
      <c r="CO309" s="72">
        <f t="shared" si="2565"/>
        <v>189</v>
      </c>
      <c r="CP309" s="72">
        <f t="shared" si="2566"/>
        <v>236</v>
      </c>
      <c r="CQ309" s="72">
        <f t="shared" si="2567"/>
        <v>278</v>
      </c>
      <c r="CR309" s="72">
        <f t="shared" si="2568"/>
        <v>309</v>
      </c>
      <c r="CS309" s="72">
        <f t="shared" si="2569"/>
        <v>322</v>
      </c>
      <c r="CT309" s="23">
        <f t="shared" si="2570"/>
        <v>4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29" x14ac:dyDescent="0.2">
      <c r="A310" s="3" t="str">
        <f t="shared" si="2543"/>
        <v>opsd_bovin_6FK7</v>
      </c>
      <c r="B310" s="3" t="s">
        <v>919</v>
      </c>
      <c r="C310" s="3" t="s">
        <v>1482</v>
      </c>
      <c r="D310" s="3" t="str">
        <f>IFERROR(MID(VLOOKUP($B310,Seqs!$A:$B,2,0),E310,1),"")</f>
        <v>E</v>
      </c>
      <c r="E310" s="3">
        <v>33</v>
      </c>
      <c r="F310" s="3" t="str">
        <f>IFERROR(MID(VLOOKUP($B310,Seqs!$A:$B,2,0),G310,1),"")</f>
        <v>Q</v>
      </c>
      <c r="G310" s="3">
        <v>64</v>
      </c>
      <c r="H310" s="3" t="str">
        <f>IFERROR(MID(VLOOKUP($B310,Seqs!$A:$B,2,0),I310,1),"")</f>
        <v>K</v>
      </c>
      <c r="I310" s="23">
        <v>66</v>
      </c>
      <c r="J310" s="3" t="str">
        <f>IFERROR(MID(VLOOKUP($B310,Seqs!$A:$B,2,0),K310,1),"")</f>
        <v>R</v>
      </c>
      <c r="K310" s="23">
        <v>69</v>
      </c>
      <c r="L310" s="3" t="str">
        <f>IFERROR(MID(VLOOKUP($B310,Seqs!$A:$B,2,0),M310,1),"")</f>
        <v>N</v>
      </c>
      <c r="M310" s="3">
        <v>73</v>
      </c>
      <c r="N310" s="3" t="str">
        <f>IFERROR(MID(VLOOKUP($B310,Seqs!$A:$B,2,0),O310,1),"")</f>
        <v>G</v>
      </c>
      <c r="O310" s="3">
        <v>101</v>
      </c>
      <c r="P310" s="3" t="str">
        <f>IFERROR(MID(VLOOKUP($B310,Seqs!$A:$B,2,0),Q310,1),"")</f>
        <v>Y</v>
      </c>
      <c r="Q310" s="3">
        <v>102</v>
      </c>
      <c r="R310" s="3" t="str">
        <f>IFERROR(MID(VLOOKUP($B310,Seqs!$A:$B,2,0),S310,1),"")</f>
        <v>F</v>
      </c>
      <c r="S310" s="3">
        <v>105</v>
      </c>
      <c r="T310" s="3" t="str">
        <f>IFERROR(MID(VLOOKUP($B310,Seqs!$A:$B,2,0),U310,1),"")</f>
        <v>G</v>
      </c>
      <c r="U310" s="3">
        <v>106</v>
      </c>
      <c r="V310" s="3" t="str">
        <f>IFERROR(MID(VLOOKUP($B310,Seqs!$A:$B,2,0),W310,1),"")</f>
        <v>K</v>
      </c>
      <c r="W310" s="3">
        <v>141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G</v>
      </c>
      <c r="AC310" s="3">
        <v>149</v>
      </c>
      <c r="AD310" s="3" t="str">
        <f>IFERROR(MID(VLOOKUP($B310,Seqs!$A:$B,2,0),AE310,1),"")</f>
        <v>V</v>
      </c>
      <c r="AE310" s="3">
        <v>173</v>
      </c>
      <c r="AF310" s="3" t="str">
        <f>IFERROR(MID(VLOOKUP($B310,Seqs!$A:$B,2,0),AG310,1),"")</f>
        <v>C</v>
      </c>
      <c r="AG310" s="3">
        <v>187</v>
      </c>
      <c r="AH310" s="3" t="str">
        <f>IFERROR(MID(VLOOKUP($B310,Seqs!$A:$B,2,0),AI310,1),"")</f>
        <v>I</v>
      </c>
      <c r="AI310" s="3">
        <v>189</v>
      </c>
      <c r="AJ310" s="3" t="str">
        <f>IFERROR(MID(VLOOKUP($B310,Seqs!$A:$B,2,0),AK310,1),"")</f>
        <v>N</v>
      </c>
      <c r="AK310" s="3">
        <v>199</v>
      </c>
      <c r="AL310" s="3" t="str">
        <f>IFERROR(MID(VLOOKUP($B310,Seqs!$A:$B,2,0),AM310,1),"")</f>
        <v>Q</v>
      </c>
      <c r="AM310" s="3">
        <v>236</v>
      </c>
      <c r="AN310" s="3" t="str">
        <f>IFERROR(MID(VLOOKUP($B310,Seqs!$A:$B,2,0),AO310,1),"")</f>
        <v>S</v>
      </c>
      <c r="AO310" s="3">
        <v>240</v>
      </c>
      <c r="AP310" s="3" t="str">
        <f>IFERROR(MID(VLOOKUP($B310,Seqs!$A:$B,2,0),AQ310,1),"")</f>
        <v>H</v>
      </c>
      <c r="AQ310" s="3">
        <v>278</v>
      </c>
      <c r="AR310" s="3" t="str">
        <f>IFERROR(MID(VLOOKUP($B310,Seqs!$A:$B,2,0),AS310,1),"")</f>
        <v>T</v>
      </c>
      <c r="AS310" s="3">
        <v>289</v>
      </c>
      <c r="AT310" s="3" t="str">
        <f>IFERROR(MID(VLOOKUP($B310,Seqs!$A:$B,2,0),AU310,1),"")</f>
        <v>M</v>
      </c>
      <c r="AU310" s="3">
        <v>309</v>
      </c>
      <c r="AV310" s="3" t="str">
        <f>IFERROR(MID(VLOOKUP($B310,Seqs!$A:$B,2,0),AW310,1),"")</f>
        <v>N</v>
      </c>
      <c r="AW310" s="3">
        <v>310</v>
      </c>
      <c r="AX310" s="3" t="str">
        <f>IFERROR(MID(VLOOKUP($B310,Seqs!$A:$B,2,0),AY310,1),"")</f>
        <v>C</v>
      </c>
      <c r="AY310" s="3">
        <v>322</v>
      </c>
      <c r="AZ310" s="77" t="str">
        <f>VLOOKUP(B310,Classification!A:D,2,0)</f>
        <v>A</v>
      </c>
      <c r="BA310" s="94" t="str">
        <f>VLOOKUP(B310,Classification!A:D,4,0)</f>
        <v>Opsins</v>
      </c>
      <c r="BB310" s="27" t="b">
        <f t="shared" si="2544"/>
        <v>1</v>
      </c>
      <c r="BC310" s="23">
        <f t="shared" si="2545"/>
        <v>245</v>
      </c>
      <c r="BD310" s="2" t="s">
        <v>23</v>
      </c>
      <c r="BE310" s="3" t="s">
        <v>1291</v>
      </c>
      <c r="BF310" s="118">
        <v>2.62</v>
      </c>
      <c r="BG310" s="49" t="s">
        <v>1</v>
      </c>
      <c r="BH310" s="49" t="s">
        <v>1</v>
      </c>
      <c r="BI310" s="1"/>
      <c r="BJ310" s="70" t="s">
        <v>1287</v>
      </c>
      <c r="BK310" s="57" t="s">
        <v>1287</v>
      </c>
      <c r="BL310" s="57" t="s">
        <v>1287</v>
      </c>
      <c r="BM310" s="57" t="s">
        <v>1287</v>
      </c>
      <c r="BN310" s="57" t="s">
        <v>1287</v>
      </c>
      <c r="BO310" s="57" t="s">
        <v>1287</v>
      </c>
      <c r="BP310" s="57" t="s">
        <v>1287</v>
      </c>
      <c r="BQ310" s="57" t="s">
        <v>1287</v>
      </c>
      <c r="BR310" s="57" t="s">
        <v>1287</v>
      </c>
      <c r="BS310" s="57" t="s">
        <v>1287</v>
      </c>
      <c r="BT310" s="57" t="s">
        <v>1287</v>
      </c>
      <c r="BU310" s="57" t="s">
        <v>1287</v>
      </c>
      <c r="BV310" s="70">
        <f t="shared" si="2546"/>
        <v>33</v>
      </c>
      <c r="BW310" s="71">
        <f t="shared" si="2547"/>
        <v>66</v>
      </c>
      <c r="BX310" s="72">
        <f t="shared" si="2548"/>
        <v>73</v>
      </c>
      <c r="BY310" s="71">
        <f t="shared" si="2549"/>
        <v>102</v>
      </c>
      <c r="BZ310" s="72">
        <f t="shared" si="2550"/>
        <v>106</v>
      </c>
      <c r="CA310" s="71" t="str">
        <f t="shared" si="2551"/>
        <v>-</v>
      </c>
      <c r="CB310" s="72">
        <f t="shared" si="2552"/>
        <v>149</v>
      </c>
      <c r="CC310" s="71">
        <f t="shared" si="2553"/>
        <v>187</v>
      </c>
      <c r="CD310" s="72">
        <f t="shared" si="2554"/>
        <v>199</v>
      </c>
      <c r="CE310" s="71">
        <f t="shared" si="2555"/>
        <v>240</v>
      </c>
      <c r="CF310" s="72">
        <f t="shared" si="2556"/>
        <v>289</v>
      </c>
      <c r="CG310" s="71">
        <f t="shared" si="2557"/>
        <v>310</v>
      </c>
      <c r="CH310" s="70">
        <f t="shared" si="2558"/>
        <v>64</v>
      </c>
      <c r="CI310" s="71">
        <f t="shared" si="2559"/>
        <v>69</v>
      </c>
      <c r="CJ310" s="72">
        <f t="shared" si="2560"/>
        <v>101</v>
      </c>
      <c r="CK310" s="72">
        <f t="shared" si="2561"/>
        <v>105</v>
      </c>
      <c r="CL310" s="72">
        <f t="shared" si="2562"/>
        <v>141</v>
      </c>
      <c r="CM310" s="72" t="str">
        <f t="shared" si="2563"/>
        <v>-</v>
      </c>
      <c r="CN310" s="72">
        <f t="shared" si="2564"/>
        <v>173</v>
      </c>
      <c r="CO310" s="72">
        <f t="shared" si="2565"/>
        <v>189</v>
      </c>
      <c r="CP310" s="72">
        <f t="shared" si="2566"/>
        <v>236</v>
      </c>
      <c r="CQ310" s="72">
        <f t="shared" si="2567"/>
        <v>278</v>
      </c>
      <c r="CR310" s="72">
        <f t="shared" si="2568"/>
        <v>309</v>
      </c>
      <c r="CS310" s="72">
        <f t="shared" si="2569"/>
        <v>322</v>
      </c>
      <c r="CT310" s="23">
        <f t="shared" si="2570"/>
        <v>4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29" x14ac:dyDescent="0.2">
      <c r="A311" s="3" t="str">
        <f t="shared" si="2543"/>
        <v>opsd_bovin_6FK8</v>
      </c>
      <c r="B311" s="3" t="s">
        <v>919</v>
      </c>
      <c r="C311" s="3" t="s">
        <v>1483</v>
      </c>
      <c r="D311" s="3" t="str">
        <f>IFERROR(MID(VLOOKUP($B311,Seqs!$A:$B,2,0),E311,1),"")</f>
        <v>E</v>
      </c>
      <c r="E311" s="3">
        <v>33</v>
      </c>
      <c r="F311" s="3" t="str">
        <f>IFERROR(MID(VLOOKUP($B311,Seqs!$A:$B,2,0),G311,1),"")</f>
        <v>Q</v>
      </c>
      <c r="G311" s="3">
        <v>64</v>
      </c>
      <c r="H311" s="3" t="str">
        <f>IFERROR(MID(VLOOKUP($B311,Seqs!$A:$B,2,0),I311,1),"")</f>
        <v>K</v>
      </c>
      <c r="I311" s="23">
        <v>66</v>
      </c>
      <c r="J311" s="3" t="str">
        <f>IFERROR(MID(VLOOKUP($B311,Seqs!$A:$B,2,0),K311,1),"")</f>
        <v>R</v>
      </c>
      <c r="K311" s="23">
        <v>69</v>
      </c>
      <c r="L311" s="3" t="str">
        <f>IFERROR(MID(VLOOKUP($B311,Seqs!$A:$B,2,0),M311,1),"")</f>
        <v>N</v>
      </c>
      <c r="M311" s="3">
        <v>73</v>
      </c>
      <c r="N311" s="3" t="str">
        <f>IFERROR(MID(VLOOKUP($B311,Seqs!$A:$B,2,0),O311,1),"")</f>
        <v>G</v>
      </c>
      <c r="O311" s="3">
        <v>101</v>
      </c>
      <c r="P311" s="3" t="str">
        <f>IFERROR(MID(VLOOKUP($B311,Seqs!$A:$B,2,0),Q311,1),"")</f>
        <v>Y</v>
      </c>
      <c r="Q311" s="3">
        <v>102</v>
      </c>
      <c r="R311" s="3" t="str">
        <f>IFERROR(MID(VLOOKUP($B311,Seqs!$A:$B,2,0),S311,1),"")</f>
        <v>F</v>
      </c>
      <c r="S311" s="3">
        <v>105</v>
      </c>
      <c r="T311" s="3" t="str">
        <f>IFERROR(MID(VLOOKUP($B311,Seqs!$A:$B,2,0),U311,1),"")</f>
        <v>G</v>
      </c>
      <c r="U311" s="3">
        <v>106</v>
      </c>
      <c r="V311" s="3" t="str">
        <f>IFERROR(MID(VLOOKUP($B311,Seqs!$A:$B,2,0),W311,1),"")</f>
        <v>K</v>
      </c>
      <c r="W311" s="3">
        <v>141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G</v>
      </c>
      <c r="AC311" s="3">
        <v>149</v>
      </c>
      <c r="AD311" s="3" t="str">
        <f>IFERROR(MID(VLOOKUP($B311,Seqs!$A:$B,2,0),AE311,1),"")</f>
        <v>V</v>
      </c>
      <c r="AE311" s="3">
        <v>173</v>
      </c>
      <c r="AF311" s="3" t="str">
        <f>IFERROR(MID(VLOOKUP($B311,Seqs!$A:$B,2,0),AG311,1),"")</f>
        <v>C</v>
      </c>
      <c r="AG311" s="3">
        <v>187</v>
      </c>
      <c r="AH311" s="3" t="str">
        <f>IFERROR(MID(VLOOKUP($B311,Seqs!$A:$B,2,0),AI311,1),"")</f>
        <v>I</v>
      </c>
      <c r="AI311" s="3">
        <v>189</v>
      </c>
      <c r="AJ311" s="3" t="str">
        <f>IFERROR(MID(VLOOKUP($B311,Seqs!$A:$B,2,0),AK311,1),"")</f>
        <v>N</v>
      </c>
      <c r="AK311" s="3">
        <v>199</v>
      </c>
      <c r="AL311" s="3" t="str">
        <f>IFERROR(MID(VLOOKUP($B311,Seqs!$A:$B,2,0),AM311,1),"")</f>
        <v>Q</v>
      </c>
      <c r="AM311" s="3">
        <v>236</v>
      </c>
      <c r="AN311" s="3" t="str">
        <f>IFERROR(MID(VLOOKUP($B311,Seqs!$A:$B,2,0),AO311,1),"")</f>
        <v>S</v>
      </c>
      <c r="AO311" s="3">
        <v>240</v>
      </c>
      <c r="AP311" s="3" t="str">
        <f>IFERROR(MID(VLOOKUP($B311,Seqs!$A:$B,2,0),AQ311,1),"")</f>
        <v>H</v>
      </c>
      <c r="AQ311" s="3">
        <v>278</v>
      </c>
      <c r="AR311" s="3" t="str">
        <f>IFERROR(MID(VLOOKUP($B311,Seqs!$A:$B,2,0),AS311,1),"")</f>
        <v>T</v>
      </c>
      <c r="AS311" s="3">
        <v>289</v>
      </c>
      <c r="AT311" s="3" t="str">
        <f>IFERROR(MID(VLOOKUP($B311,Seqs!$A:$B,2,0),AU311,1),"")</f>
        <v>M</v>
      </c>
      <c r="AU311" s="3">
        <v>309</v>
      </c>
      <c r="AV311" s="3" t="str">
        <f>IFERROR(MID(VLOOKUP($B311,Seqs!$A:$B,2,0),AW311,1),"")</f>
        <v>N</v>
      </c>
      <c r="AW311" s="3">
        <v>310</v>
      </c>
      <c r="AX311" s="3" t="str">
        <f>IFERROR(MID(VLOOKUP($B311,Seqs!$A:$B,2,0),AY311,1),"")</f>
        <v>C</v>
      </c>
      <c r="AY311" s="3">
        <v>322</v>
      </c>
      <c r="AZ311" s="77" t="str">
        <f>VLOOKUP(B311,Classification!A:D,2,0)</f>
        <v>A</v>
      </c>
      <c r="BA311" s="94" t="str">
        <f>VLOOKUP(B311,Classification!A:D,4,0)</f>
        <v>Opsins</v>
      </c>
      <c r="BB311" s="27" t="b">
        <f t="shared" si="2544"/>
        <v>1</v>
      </c>
      <c r="BC311" s="23">
        <f t="shared" si="2545"/>
        <v>245</v>
      </c>
      <c r="BD311" s="2" t="s">
        <v>23</v>
      </c>
      <c r="BE311" s="3" t="s">
        <v>1291</v>
      </c>
      <c r="BF311" s="118">
        <v>2.87</v>
      </c>
      <c r="BG311" s="49" t="s">
        <v>1</v>
      </c>
      <c r="BH311" s="49" t="s">
        <v>1</v>
      </c>
      <c r="BI311" s="1"/>
      <c r="BJ311" s="70" t="s">
        <v>1287</v>
      </c>
      <c r="BK311" s="57" t="s">
        <v>1287</v>
      </c>
      <c r="BL311" s="57" t="s">
        <v>1287</v>
      </c>
      <c r="BM311" s="57" t="s">
        <v>1287</v>
      </c>
      <c r="BN311" s="57" t="s">
        <v>1287</v>
      </c>
      <c r="BO311" s="57" t="s">
        <v>1287</v>
      </c>
      <c r="BP311" s="57" t="s">
        <v>1287</v>
      </c>
      <c r="BQ311" s="57" t="s">
        <v>1287</v>
      </c>
      <c r="BR311" s="57" t="s">
        <v>1287</v>
      </c>
      <c r="BS311" s="57" t="s">
        <v>1287</v>
      </c>
      <c r="BT311" s="57" t="s">
        <v>1287</v>
      </c>
      <c r="BU311" s="57" t="s">
        <v>1287</v>
      </c>
      <c r="BV311" s="70">
        <f t="shared" si="2546"/>
        <v>33</v>
      </c>
      <c r="BW311" s="71">
        <f t="shared" si="2547"/>
        <v>66</v>
      </c>
      <c r="BX311" s="72">
        <f t="shared" si="2548"/>
        <v>73</v>
      </c>
      <c r="BY311" s="71">
        <f t="shared" si="2549"/>
        <v>102</v>
      </c>
      <c r="BZ311" s="72">
        <f t="shared" si="2550"/>
        <v>106</v>
      </c>
      <c r="CA311" s="71" t="str">
        <f t="shared" si="2551"/>
        <v>-</v>
      </c>
      <c r="CB311" s="72">
        <f t="shared" si="2552"/>
        <v>149</v>
      </c>
      <c r="CC311" s="71">
        <f t="shared" si="2553"/>
        <v>187</v>
      </c>
      <c r="CD311" s="72">
        <f t="shared" si="2554"/>
        <v>199</v>
      </c>
      <c r="CE311" s="71">
        <f t="shared" si="2555"/>
        <v>240</v>
      </c>
      <c r="CF311" s="72">
        <f t="shared" si="2556"/>
        <v>289</v>
      </c>
      <c r="CG311" s="71">
        <f t="shared" si="2557"/>
        <v>310</v>
      </c>
      <c r="CH311" s="70">
        <f t="shared" si="2558"/>
        <v>64</v>
      </c>
      <c r="CI311" s="71">
        <f t="shared" si="2559"/>
        <v>69</v>
      </c>
      <c r="CJ311" s="72">
        <f t="shared" si="2560"/>
        <v>101</v>
      </c>
      <c r="CK311" s="72">
        <f t="shared" si="2561"/>
        <v>105</v>
      </c>
      <c r="CL311" s="72">
        <f t="shared" si="2562"/>
        <v>141</v>
      </c>
      <c r="CM311" s="72" t="str">
        <f t="shared" si="2563"/>
        <v>-</v>
      </c>
      <c r="CN311" s="72">
        <f t="shared" si="2564"/>
        <v>173</v>
      </c>
      <c r="CO311" s="72">
        <f t="shared" si="2565"/>
        <v>189</v>
      </c>
      <c r="CP311" s="72">
        <f t="shared" si="2566"/>
        <v>236</v>
      </c>
      <c r="CQ311" s="72">
        <f t="shared" si="2567"/>
        <v>278</v>
      </c>
      <c r="CR311" s="72">
        <f t="shared" si="2568"/>
        <v>309</v>
      </c>
      <c r="CS311" s="72">
        <f t="shared" si="2569"/>
        <v>322</v>
      </c>
      <c r="CT311" s="23">
        <f t="shared" si="2570"/>
        <v>4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29" x14ac:dyDescent="0.2">
      <c r="A312" s="3" t="str">
        <f t="shared" si="2543"/>
        <v>opsd_bovin_6FK9</v>
      </c>
      <c r="B312" s="3" t="s">
        <v>919</v>
      </c>
      <c r="C312" s="3" t="s">
        <v>1484</v>
      </c>
      <c r="D312" s="3" t="str">
        <f>IFERROR(MID(VLOOKUP($B312,Seqs!$A:$B,2,0),E312,1),"")</f>
        <v>E</v>
      </c>
      <c r="E312" s="3">
        <v>33</v>
      </c>
      <c r="F312" s="3" t="str">
        <f>IFERROR(MID(VLOOKUP($B312,Seqs!$A:$B,2,0),G312,1),"")</f>
        <v>Q</v>
      </c>
      <c r="G312" s="3">
        <v>64</v>
      </c>
      <c r="H312" s="3" t="str">
        <f>IFERROR(MID(VLOOKUP($B312,Seqs!$A:$B,2,0),I312,1),"")</f>
        <v>K</v>
      </c>
      <c r="I312" s="23">
        <v>66</v>
      </c>
      <c r="J312" s="3" t="str">
        <f>IFERROR(MID(VLOOKUP($B312,Seqs!$A:$B,2,0),K312,1),"")</f>
        <v>R</v>
      </c>
      <c r="K312" s="23">
        <v>69</v>
      </c>
      <c r="L312" s="3" t="str">
        <f>IFERROR(MID(VLOOKUP($B312,Seqs!$A:$B,2,0),M312,1),"")</f>
        <v>N</v>
      </c>
      <c r="M312" s="3">
        <v>73</v>
      </c>
      <c r="N312" s="3" t="str">
        <f>IFERROR(MID(VLOOKUP($B312,Seqs!$A:$B,2,0),O312,1),"")</f>
        <v>G</v>
      </c>
      <c r="O312" s="3">
        <v>101</v>
      </c>
      <c r="P312" s="3" t="str">
        <f>IFERROR(MID(VLOOKUP($B312,Seqs!$A:$B,2,0),Q312,1),"")</f>
        <v>Y</v>
      </c>
      <c r="Q312" s="3">
        <v>102</v>
      </c>
      <c r="R312" s="3" t="str">
        <f>IFERROR(MID(VLOOKUP($B312,Seqs!$A:$B,2,0),S312,1),"")</f>
        <v>F</v>
      </c>
      <c r="S312" s="3">
        <v>105</v>
      </c>
      <c r="T312" s="3" t="str">
        <f>IFERROR(MID(VLOOKUP($B312,Seqs!$A:$B,2,0),U312,1),"")</f>
        <v>G</v>
      </c>
      <c r="U312" s="3">
        <v>106</v>
      </c>
      <c r="V312" s="3" t="str">
        <f>IFERROR(MID(VLOOKUP($B312,Seqs!$A:$B,2,0),W312,1),"")</f>
        <v>K</v>
      </c>
      <c r="W312" s="3">
        <v>141</v>
      </c>
      <c r="X312" s="3" t="str">
        <f>IFERROR(MID(VLOOKUP($B312,Seqs!$A:$B,2,0),Y312,1),"")</f>
        <v/>
      </c>
      <c r="Y312" s="3" t="s">
        <v>23</v>
      </c>
      <c r="Z312" s="3" t="str">
        <f>IFERROR(MID(VLOOKUP($B312,Seqs!$A:$B,2,0),AA312,1),"")</f>
        <v/>
      </c>
      <c r="AA312" s="3" t="s">
        <v>23</v>
      </c>
      <c r="AB312" s="3" t="str">
        <f>IFERROR(MID(VLOOKUP($B312,Seqs!$A:$B,2,0),AC312,1),"")</f>
        <v>G</v>
      </c>
      <c r="AC312" s="3">
        <v>149</v>
      </c>
      <c r="AD312" s="3" t="str">
        <f>IFERROR(MID(VLOOKUP($B312,Seqs!$A:$B,2,0),AE312,1),"")</f>
        <v>V</v>
      </c>
      <c r="AE312" s="3">
        <v>173</v>
      </c>
      <c r="AF312" s="3" t="str">
        <f>IFERROR(MID(VLOOKUP($B312,Seqs!$A:$B,2,0),AG312,1),"")</f>
        <v>C</v>
      </c>
      <c r="AG312" s="3">
        <v>187</v>
      </c>
      <c r="AH312" s="3" t="str">
        <f>IFERROR(MID(VLOOKUP($B312,Seqs!$A:$B,2,0),AI312,1),"")</f>
        <v>I</v>
      </c>
      <c r="AI312" s="3">
        <v>189</v>
      </c>
      <c r="AJ312" s="3" t="str">
        <f>IFERROR(MID(VLOOKUP($B312,Seqs!$A:$B,2,0),AK312,1),"")</f>
        <v>N</v>
      </c>
      <c r="AK312" s="3">
        <v>199</v>
      </c>
      <c r="AL312" s="3" t="str">
        <f>IFERROR(MID(VLOOKUP($B312,Seqs!$A:$B,2,0),AM312,1),"")</f>
        <v>Q</v>
      </c>
      <c r="AM312" s="3">
        <v>236</v>
      </c>
      <c r="AN312" s="3" t="str">
        <f>IFERROR(MID(VLOOKUP($B312,Seqs!$A:$B,2,0),AO312,1),"")</f>
        <v>S</v>
      </c>
      <c r="AO312" s="3">
        <v>240</v>
      </c>
      <c r="AP312" s="3" t="str">
        <f>IFERROR(MID(VLOOKUP($B312,Seqs!$A:$B,2,0),AQ312,1),"")</f>
        <v>H</v>
      </c>
      <c r="AQ312" s="3">
        <v>278</v>
      </c>
      <c r="AR312" s="3" t="str">
        <f>IFERROR(MID(VLOOKUP($B312,Seqs!$A:$B,2,0),AS312,1),"")</f>
        <v>G</v>
      </c>
      <c r="AS312" s="3">
        <v>284</v>
      </c>
      <c r="AT312" s="3" t="str">
        <f>IFERROR(MID(VLOOKUP($B312,Seqs!$A:$B,2,0),AU312,1),"")</f>
        <v>M</v>
      </c>
      <c r="AU312" s="3">
        <v>309</v>
      </c>
      <c r="AV312" s="3" t="str">
        <f>IFERROR(MID(VLOOKUP($B312,Seqs!$A:$B,2,0),AW312,1),"")</f>
        <v>N</v>
      </c>
      <c r="AW312" s="3">
        <v>310</v>
      </c>
      <c r="AX312" s="3" t="str">
        <f>IFERROR(MID(VLOOKUP($B312,Seqs!$A:$B,2,0),AY312,1),"")</f>
        <v>C</v>
      </c>
      <c r="AY312" s="3">
        <v>322</v>
      </c>
      <c r="AZ312" s="77" t="str">
        <f>VLOOKUP(B312,Classification!A:D,2,0)</f>
        <v>A</v>
      </c>
      <c r="BA312" s="94" t="str">
        <f>VLOOKUP(B312,Classification!A:D,4,0)</f>
        <v>Opsins</v>
      </c>
      <c r="BB312" s="27" t="b">
        <f t="shared" si="2544"/>
        <v>1</v>
      </c>
      <c r="BC312" s="23">
        <f t="shared" si="2545"/>
        <v>250</v>
      </c>
      <c r="BD312" s="2" t="s">
        <v>23</v>
      </c>
      <c r="BE312" s="3" t="s">
        <v>1291</v>
      </c>
      <c r="BF312" s="118">
        <v>2.63</v>
      </c>
      <c r="BG312" s="49" t="s">
        <v>1</v>
      </c>
      <c r="BH312" s="49" t="s">
        <v>1</v>
      </c>
      <c r="BI312" s="1"/>
      <c r="BJ312" s="70" t="s">
        <v>1287</v>
      </c>
      <c r="BK312" s="57" t="s">
        <v>1287</v>
      </c>
      <c r="BL312" s="57" t="s">
        <v>1287</v>
      </c>
      <c r="BM312" s="57" t="s">
        <v>1287</v>
      </c>
      <c r="BN312" s="57" t="s">
        <v>1287</v>
      </c>
      <c r="BO312" s="57" t="s">
        <v>1287</v>
      </c>
      <c r="BP312" s="57" t="s">
        <v>1287</v>
      </c>
      <c r="BQ312" s="57" t="s">
        <v>1287</v>
      </c>
      <c r="BR312" s="57" t="s">
        <v>1287</v>
      </c>
      <c r="BS312" s="57" t="s">
        <v>1287</v>
      </c>
      <c r="BT312" s="57" t="s">
        <v>1287</v>
      </c>
      <c r="BU312" s="57" t="s">
        <v>1287</v>
      </c>
      <c r="BV312" s="70">
        <f t="shared" si="2546"/>
        <v>33</v>
      </c>
      <c r="BW312" s="71">
        <f t="shared" si="2547"/>
        <v>66</v>
      </c>
      <c r="BX312" s="72">
        <f t="shared" si="2548"/>
        <v>73</v>
      </c>
      <c r="BY312" s="71">
        <f t="shared" si="2549"/>
        <v>102</v>
      </c>
      <c r="BZ312" s="72">
        <f t="shared" si="2550"/>
        <v>106</v>
      </c>
      <c r="CA312" s="71" t="str">
        <f t="shared" si="2551"/>
        <v>-</v>
      </c>
      <c r="CB312" s="72">
        <f t="shared" si="2552"/>
        <v>149</v>
      </c>
      <c r="CC312" s="71">
        <f t="shared" si="2553"/>
        <v>187</v>
      </c>
      <c r="CD312" s="72">
        <f t="shared" si="2554"/>
        <v>199</v>
      </c>
      <c r="CE312" s="71">
        <f t="shared" si="2555"/>
        <v>240</v>
      </c>
      <c r="CF312" s="72">
        <f t="shared" si="2556"/>
        <v>284</v>
      </c>
      <c r="CG312" s="71">
        <f t="shared" si="2557"/>
        <v>310</v>
      </c>
      <c r="CH312" s="70">
        <f t="shared" si="2558"/>
        <v>64</v>
      </c>
      <c r="CI312" s="71">
        <f t="shared" si="2559"/>
        <v>69</v>
      </c>
      <c r="CJ312" s="72">
        <f t="shared" si="2560"/>
        <v>101</v>
      </c>
      <c r="CK312" s="72">
        <f t="shared" si="2561"/>
        <v>105</v>
      </c>
      <c r="CL312" s="72">
        <f t="shared" si="2562"/>
        <v>141</v>
      </c>
      <c r="CM312" s="72" t="str">
        <f t="shared" si="2563"/>
        <v>-</v>
      </c>
      <c r="CN312" s="72">
        <f t="shared" si="2564"/>
        <v>173</v>
      </c>
      <c r="CO312" s="72">
        <f t="shared" si="2565"/>
        <v>189</v>
      </c>
      <c r="CP312" s="72">
        <f t="shared" si="2566"/>
        <v>236</v>
      </c>
      <c r="CQ312" s="72">
        <f t="shared" si="2567"/>
        <v>278</v>
      </c>
      <c r="CR312" s="72">
        <f t="shared" si="2568"/>
        <v>309</v>
      </c>
      <c r="CS312" s="72">
        <f t="shared" si="2569"/>
        <v>322</v>
      </c>
      <c r="CT312" s="23">
        <f t="shared" si="2570"/>
        <v>4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29" x14ac:dyDescent="0.2">
      <c r="A313" s="3" t="str">
        <f t="shared" si="2543"/>
        <v>opsd_bovin_6FKA</v>
      </c>
      <c r="B313" s="3" t="s">
        <v>919</v>
      </c>
      <c r="C313" s="3" t="s">
        <v>1485</v>
      </c>
      <c r="D313" s="3" t="str">
        <f>IFERROR(MID(VLOOKUP($B313,Seqs!$A:$B,2,0),E313,1),"")</f>
        <v>E</v>
      </c>
      <c r="E313" s="3">
        <v>33</v>
      </c>
      <c r="F313" s="3" t="str">
        <f>IFERROR(MID(VLOOKUP($B313,Seqs!$A:$B,2,0),G313,1),"")</f>
        <v>Q</v>
      </c>
      <c r="G313" s="3">
        <v>64</v>
      </c>
      <c r="H313" s="3" t="str">
        <f>IFERROR(MID(VLOOKUP($B313,Seqs!$A:$B,2,0),I313,1),"")</f>
        <v>K</v>
      </c>
      <c r="I313" s="23">
        <v>66</v>
      </c>
      <c r="J313" s="3" t="str">
        <f>IFERROR(MID(VLOOKUP($B313,Seqs!$A:$B,2,0),K313,1),"")</f>
        <v>R</v>
      </c>
      <c r="K313" s="23">
        <v>69</v>
      </c>
      <c r="L313" s="3" t="str">
        <f>IFERROR(MID(VLOOKUP($B313,Seqs!$A:$B,2,0),M313,1),"")</f>
        <v>N</v>
      </c>
      <c r="M313" s="3">
        <v>73</v>
      </c>
      <c r="N313" s="3" t="str">
        <f>IFERROR(MID(VLOOKUP($B313,Seqs!$A:$B,2,0),O313,1),"")</f>
        <v>G</v>
      </c>
      <c r="O313" s="3">
        <v>101</v>
      </c>
      <c r="P313" s="3" t="str">
        <f>IFERROR(MID(VLOOKUP($B313,Seqs!$A:$B,2,0),Q313,1),"")</f>
        <v>Y</v>
      </c>
      <c r="Q313" s="3">
        <v>102</v>
      </c>
      <c r="R313" s="3" t="str">
        <f>IFERROR(MID(VLOOKUP($B313,Seqs!$A:$B,2,0),S313,1),"")</f>
        <v>F</v>
      </c>
      <c r="S313" s="3">
        <v>105</v>
      </c>
      <c r="T313" s="3" t="str">
        <f>IFERROR(MID(VLOOKUP($B313,Seqs!$A:$B,2,0),U313,1),"")</f>
        <v>G</v>
      </c>
      <c r="U313" s="3">
        <v>106</v>
      </c>
      <c r="V313" s="3" t="str">
        <f>IFERROR(MID(VLOOKUP($B313,Seqs!$A:$B,2,0),W313,1),"")</f>
        <v>K</v>
      </c>
      <c r="W313" s="3">
        <v>141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G</v>
      </c>
      <c r="AC313" s="3">
        <v>149</v>
      </c>
      <c r="AD313" s="3" t="str">
        <f>IFERROR(MID(VLOOKUP($B313,Seqs!$A:$B,2,0),AE313,1),"")</f>
        <v>V</v>
      </c>
      <c r="AE313" s="3">
        <v>173</v>
      </c>
      <c r="AF313" s="3" t="str">
        <f>IFERROR(MID(VLOOKUP($B313,Seqs!$A:$B,2,0),AG313,1),"")</f>
        <v>C</v>
      </c>
      <c r="AG313" s="3">
        <v>187</v>
      </c>
      <c r="AH313" s="3" t="str">
        <f>IFERROR(MID(VLOOKUP($B313,Seqs!$A:$B,2,0),AI313,1),"")</f>
        <v>I</v>
      </c>
      <c r="AI313" s="3">
        <v>189</v>
      </c>
      <c r="AJ313" s="3" t="str">
        <f>IFERROR(MID(VLOOKUP($B313,Seqs!$A:$B,2,0),AK313,1),"")</f>
        <v>N</v>
      </c>
      <c r="AK313" s="3">
        <v>199</v>
      </c>
      <c r="AL313" s="3" t="str">
        <f>IFERROR(MID(VLOOKUP($B313,Seqs!$A:$B,2,0),AM313,1),"")</f>
        <v>Q</v>
      </c>
      <c r="AM313" s="3">
        <v>236</v>
      </c>
      <c r="AN313" s="3" t="str">
        <f>IFERROR(MID(VLOOKUP($B313,Seqs!$A:$B,2,0),AO313,1),"")</f>
        <v>S</v>
      </c>
      <c r="AO313" s="3">
        <v>240</v>
      </c>
      <c r="AP313" s="3" t="str">
        <f>IFERROR(MID(VLOOKUP($B313,Seqs!$A:$B,2,0),AQ313,1),"")</f>
        <v>H</v>
      </c>
      <c r="AQ313" s="3">
        <v>278</v>
      </c>
      <c r="AR313" s="3" t="str">
        <f>IFERROR(MID(VLOOKUP($B313,Seqs!$A:$B,2,0),AS313,1),"")</f>
        <v>G</v>
      </c>
      <c r="AS313" s="3">
        <v>284</v>
      </c>
      <c r="AT313" s="3" t="str">
        <f>IFERROR(MID(VLOOKUP($B313,Seqs!$A:$B,2,0),AU313,1),"")</f>
        <v>M</v>
      </c>
      <c r="AU313" s="3">
        <v>309</v>
      </c>
      <c r="AV313" s="3" t="str">
        <f>IFERROR(MID(VLOOKUP($B313,Seqs!$A:$B,2,0),AW313,1),"")</f>
        <v>N</v>
      </c>
      <c r="AW313" s="3">
        <v>310</v>
      </c>
      <c r="AX313" s="3" t="str">
        <f>IFERROR(MID(VLOOKUP($B313,Seqs!$A:$B,2,0),AY313,1),"")</f>
        <v>C</v>
      </c>
      <c r="AY313" s="3">
        <v>322</v>
      </c>
      <c r="AZ313" s="77" t="str">
        <f>VLOOKUP(B313,Classification!A:D,2,0)</f>
        <v>A</v>
      </c>
      <c r="BA313" s="94" t="str">
        <f>VLOOKUP(B313,Classification!A:D,4,0)</f>
        <v>Opsins</v>
      </c>
      <c r="BB313" s="27" t="b">
        <f t="shared" si="2544"/>
        <v>1</v>
      </c>
      <c r="BC313" s="23">
        <f t="shared" si="2545"/>
        <v>250</v>
      </c>
      <c r="BD313" s="2" t="s">
        <v>23</v>
      </c>
      <c r="BE313" s="3" t="s">
        <v>1291</v>
      </c>
      <c r="BF313" s="118">
        <v>2.7</v>
      </c>
      <c r="BG313" s="49" t="s">
        <v>1</v>
      </c>
      <c r="BH313" s="49" t="s">
        <v>1</v>
      </c>
      <c r="BI313" s="1"/>
      <c r="BJ313" s="70" t="s">
        <v>1287</v>
      </c>
      <c r="BK313" s="57" t="s">
        <v>1287</v>
      </c>
      <c r="BL313" s="57" t="s">
        <v>1287</v>
      </c>
      <c r="BM313" s="57" t="s">
        <v>1287</v>
      </c>
      <c r="BN313" s="57" t="s">
        <v>1287</v>
      </c>
      <c r="BO313" s="57" t="s">
        <v>1287</v>
      </c>
      <c r="BP313" s="57" t="s">
        <v>1287</v>
      </c>
      <c r="BQ313" s="57" t="s">
        <v>1287</v>
      </c>
      <c r="BR313" s="57" t="s">
        <v>1287</v>
      </c>
      <c r="BS313" s="57" t="s">
        <v>1287</v>
      </c>
      <c r="BT313" s="57" t="s">
        <v>1287</v>
      </c>
      <c r="BU313" s="57" t="s">
        <v>1287</v>
      </c>
      <c r="BV313" s="70">
        <f t="shared" si="2546"/>
        <v>33</v>
      </c>
      <c r="BW313" s="71">
        <f t="shared" si="2547"/>
        <v>66</v>
      </c>
      <c r="BX313" s="72">
        <f t="shared" si="2548"/>
        <v>73</v>
      </c>
      <c r="BY313" s="71">
        <f t="shared" si="2549"/>
        <v>102</v>
      </c>
      <c r="BZ313" s="72">
        <f t="shared" si="2550"/>
        <v>106</v>
      </c>
      <c r="CA313" s="71" t="str">
        <f t="shared" si="2551"/>
        <v>-</v>
      </c>
      <c r="CB313" s="72">
        <f t="shared" si="2552"/>
        <v>149</v>
      </c>
      <c r="CC313" s="71">
        <f t="shared" si="2553"/>
        <v>187</v>
      </c>
      <c r="CD313" s="72">
        <f t="shared" si="2554"/>
        <v>199</v>
      </c>
      <c r="CE313" s="71">
        <f t="shared" si="2555"/>
        <v>240</v>
      </c>
      <c r="CF313" s="72">
        <f t="shared" si="2556"/>
        <v>284</v>
      </c>
      <c r="CG313" s="71">
        <f t="shared" si="2557"/>
        <v>310</v>
      </c>
      <c r="CH313" s="70">
        <f t="shared" si="2558"/>
        <v>64</v>
      </c>
      <c r="CI313" s="71">
        <f t="shared" si="2559"/>
        <v>69</v>
      </c>
      <c r="CJ313" s="72">
        <f t="shared" si="2560"/>
        <v>101</v>
      </c>
      <c r="CK313" s="72">
        <f t="shared" si="2561"/>
        <v>105</v>
      </c>
      <c r="CL313" s="72">
        <f t="shared" si="2562"/>
        <v>141</v>
      </c>
      <c r="CM313" s="72" t="str">
        <f t="shared" si="2563"/>
        <v>-</v>
      </c>
      <c r="CN313" s="72">
        <f t="shared" si="2564"/>
        <v>173</v>
      </c>
      <c r="CO313" s="72">
        <f t="shared" si="2565"/>
        <v>189</v>
      </c>
      <c r="CP313" s="72">
        <f t="shared" si="2566"/>
        <v>236</v>
      </c>
      <c r="CQ313" s="72">
        <f t="shared" si="2567"/>
        <v>278</v>
      </c>
      <c r="CR313" s="72">
        <f t="shared" si="2568"/>
        <v>309</v>
      </c>
      <c r="CS313" s="72">
        <f t="shared" si="2569"/>
        <v>322</v>
      </c>
      <c r="CT313" s="23">
        <f t="shared" si="2570"/>
        <v>4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29" x14ac:dyDescent="0.2">
      <c r="A314" s="3" t="str">
        <f t="shared" si="2543"/>
        <v>opsd_bovin_6FKB</v>
      </c>
      <c r="B314" s="3" t="s">
        <v>919</v>
      </c>
      <c r="C314" s="3" t="s">
        <v>1486</v>
      </c>
      <c r="D314" s="3" t="str">
        <f>IFERROR(MID(VLOOKUP($B314,Seqs!$A:$B,2,0),E314,1),"")</f>
        <v>E</v>
      </c>
      <c r="E314" s="3">
        <v>33</v>
      </c>
      <c r="F314" s="3" t="str">
        <f>IFERROR(MID(VLOOKUP($B314,Seqs!$A:$B,2,0),G314,1),"")</f>
        <v>Q</v>
      </c>
      <c r="G314" s="3">
        <v>64</v>
      </c>
      <c r="H314" s="3" t="str">
        <f>IFERROR(MID(VLOOKUP($B314,Seqs!$A:$B,2,0),I314,1),"")</f>
        <v>K</v>
      </c>
      <c r="I314" s="23">
        <v>66</v>
      </c>
      <c r="J314" s="3" t="str">
        <f>IFERROR(MID(VLOOKUP($B314,Seqs!$A:$B,2,0),K314,1),"")</f>
        <v>R</v>
      </c>
      <c r="K314" s="23">
        <v>69</v>
      </c>
      <c r="L314" s="3" t="str">
        <f>IFERROR(MID(VLOOKUP($B314,Seqs!$A:$B,2,0),M314,1),"")</f>
        <v>N</v>
      </c>
      <c r="M314" s="3">
        <v>73</v>
      </c>
      <c r="N314" s="3" t="str">
        <f>IFERROR(MID(VLOOKUP($B314,Seqs!$A:$B,2,0),O314,1),"")</f>
        <v>G</v>
      </c>
      <c r="O314" s="3">
        <v>101</v>
      </c>
      <c r="P314" s="3" t="str">
        <f>IFERROR(MID(VLOOKUP($B314,Seqs!$A:$B,2,0),Q314,1),"")</f>
        <v>Y</v>
      </c>
      <c r="Q314" s="3">
        <v>102</v>
      </c>
      <c r="R314" s="3" t="str">
        <f>IFERROR(MID(VLOOKUP($B314,Seqs!$A:$B,2,0),S314,1),"")</f>
        <v>F</v>
      </c>
      <c r="S314" s="3">
        <v>105</v>
      </c>
      <c r="T314" s="3" t="str">
        <f>IFERROR(MID(VLOOKUP($B314,Seqs!$A:$B,2,0),U314,1),"")</f>
        <v>G</v>
      </c>
      <c r="U314" s="3">
        <v>106</v>
      </c>
      <c r="V314" s="3" t="str">
        <f>IFERROR(MID(VLOOKUP($B314,Seqs!$A:$B,2,0),W314,1),"")</f>
        <v>K</v>
      </c>
      <c r="W314" s="3">
        <v>141</v>
      </c>
      <c r="X314" s="3" t="str">
        <f>IFERROR(MID(VLOOKUP($B314,Seqs!$A:$B,2,0),Y314,1),"")</f>
        <v/>
      </c>
      <c r="Y314" s="3" t="s">
        <v>23</v>
      </c>
      <c r="Z314" s="3" t="str">
        <f>IFERROR(MID(VLOOKUP($B314,Seqs!$A:$B,2,0),AA314,1),"")</f>
        <v/>
      </c>
      <c r="AA314" s="3" t="s">
        <v>23</v>
      </c>
      <c r="AB314" s="3" t="str">
        <f>IFERROR(MID(VLOOKUP($B314,Seqs!$A:$B,2,0),AC314,1),"")</f>
        <v>G</v>
      </c>
      <c r="AC314" s="3">
        <v>149</v>
      </c>
      <c r="AD314" s="3" t="str">
        <f>IFERROR(MID(VLOOKUP($B314,Seqs!$A:$B,2,0),AE314,1),"")</f>
        <v>V</v>
      </c>
      <c r="AE314" s="3">
        <v>173</v>
      </c>
      <c r="AF314" s="3" t="str">
        <f>IFERROR(MID(VLOOKUP($B314,Seqs!$A:$B,2,0),AG314,1),"")</f>
        <v>C</v>
      </c>
      <c r="AG314" s="3">
        <v>187</v>
      </c>
      <c r="AH314" s="3" t="str">
        <f>IFERROR(MID(VLOOKUP($B314,Seqs!$A:$B,2,0),AI314,1),"")</f>
        <v>I</v>
      </c>
      <c r="AI314" s="3">
        <v>189</v>
      </c>
      <c r="AJ314" s="3" t="str">
        <f>IFERROR(MID(VLOOKUP($B314,Seqs!$A:$B,2,0),AK314,1),"")</f>
        <v>N</v>
      </c>
      <c r="AK314" s="3">
        <v>199</v>
      </c>
      <c r="AL314" s="3" t="str">
        <f>IFERROR(MID(VLOOKUP($B314,Seqs!$A:$B,2,0),AM314,1),"")</f>
        <v>Q</v>
      </c>
      <c r="AM314" s="3">
        <v>236</v>
      </c>
      <c r="AN314" s="3" t="str">
        <f>IFERROR(MID(VLOOKUP($B314,Seqs!$A:$B,2,0),AO314,1),"")</f>
        <v>S</v>
      </c>
      <c r="AO314" s="3">
        <v>240</v>
      </c>
      <c r="AP314" s="3" t="str">
        <f>IFERROR(MID(VLOOKUP($B314,Seqs!$A:$B,2,0),AQ314,1),"")</f>
        <v>H</v>
      </c>
      <c r="AQ314" s="3">
        <v>278</v>
      </c>
      <c r="AR314" s="3" t="str">
        <f>IFERROR(MID(VLOOKUP($B314,Seqs!$A:$B,2,0),AS314,1),"")</f>
        <v>G</v>
      </c>
      <c r="AS314" s="3">
        <v>284</v>
      </c>
      <c r="AT314" s="3" t="str">
        <f>IFERROR(MID(VLOOKUP($B314,Seqs!$A:$B,2,0),AU314,1),"")</f>
        <v>M</v>
      </c>
      <c r="AU314" s="3">
        <v>309</v>
      </c>
      <c r="AV314" s="3" t="str">
        <f>IFERROR(MID(VLOOKUP($B314,Seqs!$A:$B,2,0),AW314,1),"")</f>
        <v>N</v>
      </c>
      <c r="AW314" s="3">
        <v>310</v>
      </c>
      <c r="AX314" s="3" t="str">
        <f>IFERROR(MID(VLOOKUP($B314,Seqs!$A:$B,2,0),AY314,1),"")</f>
        <v>C</v>
      </c>
      <c r="AY314" s="3">
        <v>322</v>
      </c>
      <c r="AZ314" s="77" t="str">
        <f>VLOOKUP(B314,Classification!A:D,2,0)</f>
        <v>A</v>
      </c>
      <c r="BA314" s="94" t="str">
        <f>VLOOKUP(B314,Classification!A:D,4,0)</f>
        <v>Opsins</v>
      </c>
      <c r="BB314" s="27" t="b">
        <f t="shared" si="2544"/>
        <v>1</v>
      </c>
      <c r="BC314" s="23">
        <f t="shared" si="2545"/>
        <v>250</v>
      </c>
      <c r="BD314" s="2" t="s">
        <v>23</v>
      </c>
      <c r="BE314" s="3" t="s">
        <v>1291</v>
      </c>
      <c r="BF314" s="118">
        <v>3.03</v>
      </c>
      <c r="BG314" s="49" t="s">
        <v>1</v>
      </c>
      <c r="BH314" s="49" t="s">
        <v>1</v>
      </c>
      <c r="BI314" s="1"/>
      <c r="BJ314" s="70" t="s">
        <v>1287</v>
      </c>
      <c r="BK314" s="57" t="s">
        <v>1287</v>
      </c>
      <c r="BL314" s="57" t="s">
        <v>1287</v>
      </c>
      <c r="BM314" s="57" t="s">
        <v>1287</v>
      </c>
      <c r="BN314" s="57" t="s">
        <v>1287</v>
      </c>
      <c r="BO314" s="57" t="s">
        <v>1287</v>
      </c>
      <c r="BP314" s="57" t="s">
        <v>1287</v>
      </c>
      <c r="BQ314" s="57" t="s">
        <v>1287</v>
      </c>
      <c r="BR314" s="57" t="s">
        <v>1287</v>
      </c>
      <c r="BS314" s="57" t="s">
        <v>1287</v>
      </c>
      <c r="BT314" s="57" t="s">
        <v>1287</v>
      </c>
      <c r="BU314" s="57" t="s">
        <v>1287</v>
      </c>
      <c r="BV314" s="70">
        <f t="shared" si="2546"/>
        <v>33</v>
      </c>
      <c r="BW314" s="71">
        <f t="shared" si="2547"/>
        <v>66</v>
      </c>
      <c r="BX314" s="72">
        <f t="shared" si="2548"/>
        <v>73</v>
      </c>
      <c r="BY314" s="71">
        <f t="shared" si="2549"/>
        <v>102</v>
      </c>
      <c r="BZ314" s="72">
        <f t="shared" si="2550"/>
        <v>106</v>
      </c>
      <c r="CA314" s="71" t="str">
        <f t="shared" si="2551"/>
        <v>-</v>
      </c>
      <c r="CB314" s="72">
        <f t="shared" si="2552"/>
        <v>149</v>
      </c>
      <c r="CC314" s="71">
        <f t="shared" si="2553"/>
        <v>187</v>
      </c>
      <c r="CD314" s="72">
        <f t="shared" si="2554"/>
        <v>199</v>
      </c>
      <c r="CE314" s="71">
        <f t="shared" si="2555"/>
        <v>240</v>
      </c>
      <c r="CF314" s="72">
        <f t="shared" si="2556"/>
        <v>284</v>
      </c>
      <c r="CG314" s="71">
        <f t="shared" si="2557"/>
        <v>310</v>
      </c>
      <c r="CH314" s="70">
        <f t="shared" si="2558"/>
        <v>64</v>
      </c>
      <c r="CI314" s="71">
        <f t="shared" si="2559"/>
        <v>69</v>
      </c>
      <c r="CJ314" s="72">
        <f t="shared" si="2560"/>
        <v>101</v>
      </c>
      <c r="CK314" s="72">
        <f t="shared" si="2561"/>
        <v>105</v>
      </c>
      <c r="CL314" s="72">
        <f t="shared" si="2562"/>
        <v>141</v>
      </c>
      <c r="CM314" s="72" t="str">
        <f t="shared" si="2563"/>
        <v>-</v>
      </c>
      <c r="CN314" s="72">
        <f t="shared" si="2564"/>
        <v>173</v>
      </c>
      <c r="CO314" s="72">
        <f t="shared" si="2565"/>
        <v>189</v>
      </c>
      <c r="CP314" s="72">
        <f t="shared" si="2566"/>
        <v>236</v>
      </c>
      <c r="CQ314" s="72">
        <f t="shared" si="2567"/>
        <v>278</v>
      </c>
      <c r="CR314" s="72">
        <f t="shared" si="2568"/>
        <v>309</v>
      </c>
      <c r="CS314" s="72">
        <f t="shared" si="2569"/>
        <v>322</v>
      </c>
      <c r="CT314" s="23">
        <f t="shared" si="2570"/>
        <v>4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29" x14ac:dyDescent="0.2">
      <c r="A315" s="3" t="str">
        <f t="shared" si="2543"/>
        <v>opsd_bovin_6FKC</v>
      </c>
      <c r="B315" s="3" t="s">
        <v>919</v>
      </c>
      <c r="C315" s="3" t="s">
        <v>1487</v>
      </c>
      <c r="D315" s="3" t="str">
        <f>IFERROR(MID(VLOOKUP($B315,Seqs!$A:$B,2,0),E315,1),"")</f>
        <v>E</v>
      </c>
      <c r="E315" s="3">
        <v>33</v>
      </c>
      <c r="F315" s="3" t="str">
        <f>IFERROR(MID(VLOOKUP($B315,Seqs!$A:$B,2,0),G315,1),"")</f>
        <v>Q</v>
      </c>
      <c r="G315" s="3">
        <v>64</v>
      </c>
      <c r="H315" s="3" t="str">
        <f>IFERROR(MID(VLOOKUP($B315,Seqs!$A:$B,2,0),I315,1),"")</f>
        <v>K</v>
      </c>
      <c r="I315" s="23">
        <v>66</v>
      </c>
      <c r="J315" s="3" t="str">
        <f>IFERROR(MID(VLOOKUP($B315,Seqs!$A:$B,2,0),K315,1),"")</f>
        <v>R</v>
      </c>
      <c r="K315" s="23">
        <v>69</v>
      </c>
      <c r="L315" s="3" t="str">
        <f>IFERROR(MID(VLOOKUP($B315,Seqs!$A:$B,2,0),M315,1),"")</f>
        <v>N</v>
      </c>
      <c r="M315" s="3">
        <v>73</v>
      </c>
      <c r="N315" s="3" t="str">
        <f>IFERROR(MID(VLOOKUP($B315,Seqs!$A:$B,2,0),O315,1),"")</f>
        <v>G</v>
      </c>
      <c r="O315" s="3">
        <v>101</v>
      </c>
      <c r="P315" s="3" t="str">
        <f>IFERROR(MID(VLOOKUP($B315,Seqs!$A:$B,2,0),Q315,1),"")</f>
        <v>Y</v>
      </c>
      <c r="Q315" s="3">
        <v>102</v>
      </c>
      <c r="R315" s="3" t="str">
        <f>IFERROR(MID(VLOOKUP($B315,Seqs!$A:$B,2,0),S315,1),"")</f>
        <v>F</v>
      </c>
      <c r="S315" s="3">
        <v>105</v>
      </c>
      <c r="T315" s="3" t="str">
        <f>IFERROR(MID(VLOOKUP($B315,Seqs!$A:$B,2,0),U315,1),"")</f>
        <v>G</v>
      </c>
      <c r="U315" s="3">
        <v>106</v>
      </c>
      <c r="V315" s="3" t="str">
        <f>IFERROR(MID(VLOOKUP($B315,Seqs!$A:$B,2,0),W315,1),"")</f>
        <v>K</v>
      </c>
      <c r="W315" s="3">
        <v>141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G</v>
      </c>
      <c r="AC315" s="3">
        <v>149</v>
      </c>
      <c r="AD315" s="3" t="str">
        <f>IFERROR(MID(VLOOKUP($B315,Seqs!$A:$B,2,0),AE315,1),"")</f>
        <v>V</v>
      </c>
      <c r="AE315" s="3">
        <v>173</v>
      </c>
      <c r="AF315" s="3" t="str">
        <f>IFERROR(MID(VLOOKUP($B315,Seqs!$A:$B,2,0),AG315,1),"")</f>
        <v>C</v>
      </c>
      <c r="AG315" s="3">
        <v>187</v>
      </c>
      <c r="AH315" s="3" t="str">
        <f>IFERROR(MID(VLOOKUP($B315,Seqs!$A:$B,2,0),AI315,1),"")</f>
        <v>I</v>
      </c>
      <c r="AI315" s="3">
        <v>189</v>
      </c>
      <c r="AJ315" s="3" t="str">
        <f>IFERROR(MID(VLOOKUP($B315,Seqs!$A:$B,2,0),AK315,1),"")</f>
        <v>N</v>
      </c>
      <c r="AK315" s="3">
        <v>199</v>
      </c>
      <c r="AL315" s="3" t="str">
        <f>IFERROR(MID(VLOOKUP($B315,Seqs!$A:$B,2,0),AM315,1),"")</f>
        <v>Q</v>
      </c>
      <c r="AM315" s="3">
        <v>236</v>
      </c>
      <c r="AN315" s="3" t="str">
        <f>IFERROR(MID(VLOOKUP($B315,Seqs!$A:$B,2,0),AO315,1),"")</f>
        <v>S</v>
      </c>
      <c r="AO315" s="3">
        <v>240</v>
      </c>
      <c r="AP315" s="3" t="str">
        <f>IFERROR(MID(VLOOKUP($B315,Seqs!$A:$B,2,0),AQ315,1),"")</f>
        <v>H</v>
      </c>
      <c r="AQ315" s="3">
        <v>278</v>
      </c>
      <c r="AR315" s="3" t="str">
        <f>IFERROR(MID(VLOOKUP($B315,Seqs!$A:$B,2,0),AS315,1),"")</f>
        <v>T</v>
      </c>
      <c r="AS315" s="3">
        <v>289</v>
      </c>
      <c r="AT315" s="3" t="str">
        <f>IFERROR(MID(VLOOKUP($B315,Seqs!$A:$B,2,0),AU315,1),"")</f>
        <v>M</v>
      </c>
      <c r="AU315" s="3">
        <v>309</v>
      </c>
      <c r="AV315" s="3" t="str">
        <f>IFERROR(MID(VLOOKUP($B315,Seqs!$A:$B,2,0),AW315,1),"")</f>
        <v>N</v>
      </c>
      <c r="AW315" s="3">
        <v>310</v>
      </c>
      <c r="AX315" s="3" t="str">
        <f>IFERROR(MID(VLOOKUP($B315,Seqs!$A:$B,2,0),AY315,1),"")</f>
        <v>C</v>
      </c>
      <c r="AY315" s="3">
        <v>322</v>
      </c>
      <c r="AZ315" s="77" t="str">
        <f>VLOOKUP(B315,Classification!A:D,2,0)</f>
        <v>A</v>
      </c>
      <c r="BA315" s="94" t="str">
        <f>VLOOKUP(B315,Classification!A:D,4,0)</f>
        <v>Opsins</v>
      </c>
      <c r="BB315" s="27" t="b">
        <f t="shared" si="2544"/>
        <v>1</v>
      </c>
      <c r="BC315" s="23">
        <f t="shared" si="2545"/>
        <v>245</v>
      </c>
      <c r="BD315" s="2" t="s">
        <v>23</v>
      </c>
      <c r="BE315" s="3" t="s">
        <v>1291</v>
      </c>
      <c r="BF315" s="118">
        <v>2.46</v>
      </c>
      <c r="BG315" s="49" t="s">
        <v>1</v>
      </c>
      <c r="BH315" s="49" t="s">
        <v>1</v>
      </c>
      <c r="BI315" s="1"/>
      <c r="BJ315" s="70" t="s">
        <v>1287</v>
      </c>
      <c r="BK315" s="57" t="s">
        <v>1287</v>
      </c>
      <c r="BL315" s="57" t="s">
        <v>1287</v>
      </c>
      <c r="BM315" s="57" t="s">
        <v>1287</v>
      </c>
      <c r="BN315" s="57" t="s">
        <v>1287</v>
      </c>
      <c r="BO315" s="57" t="s">
        <v>1287</v>
      </c>
      <c r="BP315" s="57" t="s">
        <v>1287</v>
      </c>
      <c r="BQ315" s="57" t="s">
        <v>1287</v>
      </c>
      <c r="BR315" s="57" t="s">
        <v>1287</v>
      </c>
      <c r="BS315" s="57" t="s">
        <v>1287</v>
      </c>
      <c r="BT315" s="57" t="s">
        <v>1287</v>
      </c>
      <c r="BU315" s="57" t="s">
        <v>1287</v>
      </c>
      <c r="BV315" s="70">
        <f t="shared" si="2546"/>
        <v>33</v>
      </c>
      <c r="BW315" s="71">
        <f t="shared" si="2547"/>
        <v>66</v>
      </c>
      <c r="BX315" s="72">
        <f t="shared" si="2548"/>
        <v>73</v>
      </c>
      <c r="BY315" s="71">
        <f t="shared" si="2549"/>
        <v>102</v>
      </c>
      <c r="BZ315" s="72">
        <f t="shared" si="2550"/>
        <v>106</v>
      </c>
      <c r="CA315" s="71" t="str">
        <f t="shared" si="2551"/>
        <v>-</v>
      </c>
      <c r="CB315" s="72">
        <f t="shared" si="2552"/>
        <v>149</v>
      </c>
      <c r="CC315" s="71">
        <f t="shared" si="2553"/>
        <v>187</v>
      </c>
      <c r="CD315" s="72">
        <f t="shared" si="2554"/>
        <v>199</v>
      </c>
      <c r="CE315" s="71">
        <f t="shared" si="2555"/>
        <v>240</v>
      </c>
      <c r="CF315" s="72">
        <f t="shared" si="2556"/>
        <v>289</v>
      </c>
      <c r="CG315" s="71">
        <f t="shared" si="2557"/>
        <v>310</v>
      </c>
      <c r="CH315" s="70">
        <f t="shared" si="2558"/>
        <v>64</v>
      </c>
      <c r="CI315" s="71">
        <f t="shared" si="2559"/>
        <v>69</v>
      </c>
      <c r="CJ315" s="72">
        <f t="shared" si="2560"/>
        <v>101</v>
      </c>
      <c r="CK315" s="72">
        <f t="shared" si="2561"/>
        <v>105</v>
      </c>
      <c r="CL315" s="72">
        <f t="shared" si="2562"/>
        <v>141</v>
      </c>
      <c r="CM315" s="72" t="str">
        <f t="shared" si="2563"/>
        <v>-</v>
      </c>
      <c r="CN315" s="72">
        <f t="shared" si="2564"/>
        <v>173</v>
      </c>
      <c r="CO315" s="72">
        <f t="shared" si="2565"/>
        <v>189</v>
      </c>
      <c r="CP315" s="72">
        <f t="shared" si="2566"/>
        <v>236</v>
      </c>
      <c r="CQ315" s="72">
        <f t="shared" si="2567"/>
        <v>278</v>
      </c>
      <c r="CR315" s="72">
        <f t="shared" si="2568"/>
        <v>309</v>
      </c>
      <c r="CS315" s="72">
        <f t="shared" si="2569"/>
        <v>322</v>
      </c>
      <c r="CT315" s="23">
        <f t="shared" si="2570"/>
        <v>4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29" x14ac:dyDescent="0.2">
      <c r="A316" s="3" t="str">
        <f t="shared" si="2543"/>
        <v>opsd_bovin_6FKD</v>
      </c>
      <c r="B316" s="3" t="s">
        <v>919</v>
      </c>
      <c r="C316" s="3" t="s">
        <v>1488</v>
      </c>
      <c r="D316" s="3" t="str">
        <f>IFERROR(MID(VLOOKUP($B316,Seqs!$A:$B,2,0),E316,1),"")</f>
        <v>E</v>
      </c>
      <c r="E316" s="3">
        <v>33</v>
      </c>
      <c r="F316" s="3" t="str">
        <f>IFERROR(MID(VLOOKUP($B316,Seqs!$A:$B,2,0),G316,1),"")</f>
        <v>Q</v>
      </c>
      <c r="G316" s="3">
        <v>64</v>
      </c>
      <c r="H316" s="3" t="str">
        <f>IFERROR(MID(VLOOKUP($B316,Seqs!$A:$B,2,0),I316,1),"")</f>
        <v>K</v>
      </c>
      <c r="I316" s="23">
        <v>66</v>
      </c>
      <c r="J316" s="3" t="str">
        <f>IFERROR(MID(VLOOKUP($B316,Seqs!$A:$B,2,0),K316,1),"")</f>
        <v>R</v>
      </c>
      <c r="K316" s="23">
        <v>69</v>
      </c>
      <c r="L316" s="3" t="str">
        <f>IFERROR(MID(VLOOKUP($B316,Seqs!$A:$B,2,0),M316,1),"")</f>
        <v>N</v>
      </c>
      <c r="M316" s="3">
        <v>73</v>
      </c>
      <c r="N316" s="3" t="str">
        <f>IFERROR(MID(VLOOKUP($B316,Seqs!$A:$B,2,0),O316,1),"")</f>
        <v>G</v>
      </c>
      <c r="O316" s="3">
        <v>101</v>
      </c>
      <c r="P316" s="3" t="str">
        <f>IFERROR(MID(VLOOKUP($B316,Seqs!$A:$B,2,0),Q316,1),"")</f>
        <v>Y</v>
      </c>
      <c r="Q316" s="3">
        <v>102</v>
      </c>
      <c r="R316" s="3" t="str">
        <f>IFERROR(MID(VLOOKUP($B316,Seqs!$A:$B,2,0),S316,1),"")</f>
        <v>F</v>
      </c>
      <c r="S316" s="3">
        <v>105</v>
      </c>
      <c r="T316" s="3" t="str">
        <f>IFERROR(MID(VLOOKUP($B316,Seqs!$A:$B,2,0),U316,1),"")</f>
        <v>G</v>
      </c>
      <c r="U316" s="3">
        <v>106</v>
      </c>
      <c r="V316" s="3" t="str">
        <f>IFERROR(MID(VLOOKUP($B316,Seqs!$A:$B,2,0),W316,1),"")</f>
        <v>K</v>
      </c>
      <c r="W316" s="3">
        <v>141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G</v>
      </c>
      <c r="AC316" s="3">
        <v>149</v>
      </c>
      <c r="AD316" s="3" t="str">
        <f>IFERROR(MID(VLOOKUP($B316,Seqs!$A:$B,2,0),AE316,1),"")</f>
        <v>V</v>
      </c>
      <c r="AE316" s="3">
        <v>173</v>
      </c>
      <c r="AF316" s="3" t="str">
        <f>IFERROR(MID(VLOOKUP($B316,Seqs!$A:$B,2,0),AG316,1),"")</f>
        <v>C</v>
      </c>
      <c r="AG316" s="3">
        <v>187</v>
      </c>
      <c r="AH316" s="3" t="str">
        <f>IFERROR(MID(VLOOKUP($B316,Seqs!$A:$B,2,0),AI316,1),"")</f>
        <v>I</v>
      </c>
      <c r="AI316" s="3">
        <v>189</v>
      </c>
      <c r="AJ316" s="3" t="str">
        <f>IFERROR(MID(VLOOKUP($B316,Seqs!$A:$B,2,0),AK316,1),"")</f>
        <v>N</v>
      </c>
      <c r="AK316" s="3">
        <v>199</v>
      </c>
      <c r="AL316" s="3" t="str">
        <f>IFERROR(MID(VLOOKUP($B316,Seqs!$A:$B,2,0),AM316,1),"")</f>
        <v>Q</v>
      </c>
      <c r="AM316" s="3">
        <v>236</v>
      </c>
      <c r="AN316" s="3" t="str">
        <f>IFERROR(MID(VLOOKUP($B316,Seqs!$A:$B,2,0),AO316,1),"")</f>
        <v>S</v>
      </c>
      <c r="AO316" s="3">
        <v>240</v>
      </c>
      <c r="AP316" s="3" t="str">
        <f>IFERROR(MID(VLOOKUP($B316,Seqs!$A:$B,2,0),AQ316,1),"")</f>
        <v>H</v>
      </c>
      <c r="AQ316" s="3">
        <v>278</v>
      </c>
      <c r="AR316" s="3" t="str">
        <f>IFERROR(MID(VLOOKUP($B316,Seqs!$A:$B,2,0),AS316,1),"")</f>
        <v>T</v>
      </c>
      <c r="AS316" s="3">
        <v>289</v>
      </c>
      <c r="AT316" s="3" t="str">
        <f>IFERROR(MID(VLOOKUP($B316,Seqs!$A:$B,2,0),AU316,1),"")</f>
        <v>M</v>
      </c>
      <c r="AU316" s="3">
        <v>309</v>
      </c>
      <c r="AV316" s="3" t="str">
        <f>IFERROR(MID(VLOOKUP($B316,Seqs!$A:$B,2,0),AW316,1),"")</f>
        <v>N</v>
      </c>
      <c r="AW316" s="3">
        <v>310</v>
      </c>
      <c r="AX316" s="3" t="str">
        <f>IFERROR(MID(VLOOKUP($B316,Seqs!$A:$B,2,0),AY316,1),"")</f>
        <v>C</v>
      </c>
      <c r="AY316" s="3">
        <v>322</v>
      </c>
      <c r="AZ316" s="77" t="str">
        <f>VLOOKUP(B316,Classification!A:D,2,0)</f>
        <v>A</v>
      </c>
      <c r="BA316" s="94" t="str">
        <f>VLOOKUP(B316,Classification!A:D,4,0)</f>
        <v>Opsins</v>
      </c>
      <c r="BB316" s="27" t="b">
        <f t="shared" si="2544"/>
        <v>1</v>
      </c>
      <c r="BC316" s="23">
        <f t="shared" si="2545"/>
        <v>245</v>
      </c>
      <c r="BD316" s="2" t="s">
        <v>23</v>
      </c>
      <c r="BE316" s="3" t="s">
        <v>1291</v>
      </c>
      <c r="BF316" s="118">
        <v>2.4900000000000002</v>
      </c>
      <c r="BG316" s="49" t="s">
        <v>1</v>
      </c>
      <c r="BH316" s="49" t="s">
        <v>1</v>
      </c>
      <c r="BI316" s="1"/>
      <c r="BJ316" s="70" t="s">
        <v>1287</v>
      </c>
      <c r="BK316" s="57" t="s">
        <v>1287</v>
      </c>
      <c r="BL316" s="57" t="s">
        <v>1287</v>
      </c>
      <c r="BM316" s="57" t="s">
        <v>1287</v>
      </c>
      <c r="BN316" s="57" t="s">
        <v>1287</v>
      </c>
      <c r="BO316" s="57" t="s">
        <v>1287</v>
      </c>
      <c r="BP316" s="57" t="s">
        <v>1287</v>
      </c>
      <c r="BQ316" s="57" t="s">
        <v>1287</v>
      </c>
      <c r="BR316" s="57" t="s">
        <v>1287</v>
      </c>
      <c r="BS316" s="57" t="s">
        <v>1287</v>
      </c>
      <c r="BT316" s="57" t="s">
        <v>1287</v>
      </c>
      <c r="BU316" s="57" t="s">
        <v>1287</v>
      </c>
      <c r="BV316" s="70">
        <f t="shared" si="2546"/>
        <v>33</v>
      </c>
      <c r="BW316" s="71">
        <f t="shared" si="2547"/>
        <v>66</v>
      </c>
      <c r="BX316" s="72">
        <f t="shared" si="2548"/>
        <v>73</v>
      </c>
      <c r="BY316" s="71">
        <f t="shared" si="2549"/>
        <v>102</v>
      </c>
      <c r="BZ316" s="72">
        <f t="shared" si="2550"/>
        <v>106</v>
      </c>
      <c r="CA316" s="71" t="str">
        <f t="shared" si="2551"/>
        <v>-</v>
      </c>
      <c r="CB316" s="72">
        <f t="shared" si="2552"/>
        <v>149</v>
      </c>
      <c r="CC316" s="71">
        <f t="shared" si="2553"/>
        <v>187</v>
      </c>
      <c r="CD316" s="72">
        <f t="shared" si="2554"/>
        <v>199</v>
      </c>
      <c r="CE316" s="71">
        <f t="shared" si="2555"/>
        <v>240</v>
      </c>
      <c r="CF316" s="72">
        <f t="shared" si="2556"/>
        <v>289</v>
      </c>
      <c r="CG316" s="71">
        <f t="shared" si="2557"/>
        <v>310</v>
      </c>
      <c r="CH316" s="70">
        <f t="shared" si="2558"/>
        <v>64</v>
      </c>
      <c r="CI316" s="71">
        <f t="shared" si="2559"/>
        <v>69</v>
      </c>
      <c r="CJ316" s="72">
        <f t="shared" si="2560"/>
        <v>101</v>
      </c>
      <c r="CK316" s="72">
        <f t="shared" si="2561"/>
        <v>105</v>
      </c>
      <c r="CL316" s="72">
        <f t="shared" si="2562"/>
        <v>141</v>
      </c>
      <c r="CM316" s="72" t="str">
        <f t="shared" si="2563"/>
        <v>-</v>
      </c>
      <c r="CN316" s="72">
        <f t="shared" si="2564"/>
        <v>173</v>
      </c>
      <c r="CO316" s="72">
        <f t="shared" si="2565"/>
        <v>189</v>
      </c>
      <c r="CP316" s="72">
        <f t="shared" si="2566"/>
        <v>236</v>
      </c>
      <c r="CQ316" s="72">
        <f t="shared" si="2567"/>
        <v>278</v>
      </c>
      <c r="CR316" s="72">
        <f t="shared" si="2568"/>
        <v>309</v>
      </c>
      <c r="CS316" s="72">
        <f t="shared" si="2569"/>
        <v>322</v>
      </c>
      <c r="CT316" s="23">
        <f t="shared" si="2570"/>
        <v>4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29" x14ac:dyDescent="0.2">
      <c r="A317" s="3" t="str">
        <f t="shared" ref="A317" si="2571">CONCATENATE(B317,"_",C317)</f>
        <v>opsd_bovin_6FUF</v>
      </c>
      <c r="B317" s="3" t="s">
        <v>919</v>
      </c>
      <c r="C317" s="3" t="s">
        <v>1518</v>
      </c>
      <c r="D317" s="3" t="str">
        <f>IFERROR(MID(VLOOKUP($B317,Seqs!$A:$B,2,0),E317,1),"")</f>
        <v>E</v>
      </c>
      <c r="E317" s="3">
        <v>33</v>
      </c>
      <c r="F317" s="3" t="str">
        <f>IFERROR(MID(VLOOKUP($B317,Seqs!$A:$B,2,0),G317,1),"")</f>
        <v>H</v>
      </c>
      <c r="G317" s="3">
        <v>65</v>
      </c>
      <c r="H317" s="3" t="str">
        <f>IFERROR(MID(VLOOKUP($B317,Seqs!$A:$B,2,0),I317,1),"")</f>
        <v>K</v>
      </c>
      <c r="I317" s="23">
        <v>66</v>
      </c>
      <c r="J317" s="3" t="str">
        <f>IFERROR(MID(VLOOKUP($B317,Seqs!$A:$B,2,0),K317,1),"")</f>
        <v>R</v>
      </c>
      <c r="K317" s="23">
        <v>69</v>
      </c>
      <c r="L317" s="3" t="str">
        <f>IFERROR(MID(VLOOKUP($B317,Seqs!$A:$B,2,0),M317,1),"")</f>
        <v>N</v>
      </c>
      <c r="M317" s="3">
        <v>73</v>
      </c>
      <c r="N317" s="3" t="str">
        <f>IFERROR(MID(VLOOKUP($B317,Seqs!$A:$B,2,0),O317,1),"")</f>
        <v>G</v>
      </c>
      <c r="O317" s="3">
        <v>101</v>
      </c>
      <c r="P317" s="3" t="str">
        <f>IFERROR(MID(VLOOKUP($B317,Seqs!$A:$B,2,0),Q317,1),"")</f>
        <v>Y</v>
      </c>
      <c r="Q317" s="3">
        <v>102</v>
      </c>
      <c r="R317" s="3" t="str">
        <f>IFERROR(MID(VLOOKUP($B317,Seqs!$A:$B,2,0),S317,1),"")</f>
        <v>F</v>
      </c>
      <c r="S317" s="3">
        <v>105</v>
      </c>
      <c r="T317" s="3" t="str">
        <f>IFERROR(MID(VLOOKUP($B317,Seqs!$A:$B,2,0),U317,1),"")</f>
        <v>G</v>
      </c>
      <c r="U317" s="3">
        <v>106</v>
      </c>
      <c r="V317" s="3" t="str">
        <f>IFERROR(MID(VLOOKUP($B317,Seqs!$A:$B,2,0),W317,1),"")</f>
        <v>K</v>
      </c>
      <c r="W317" s="3">
        <v>141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G</v>
      </c>
      <c r="AC317" s="3">
        <v>149</v>
      </c>
      <c r="AD317" s="3" t="str">
        <f>IFERROR(MID(VLOOKUP($B317,Seqs!$A:$B,2,0),AE317,1),"")</f>
        <v>V</v>
      </c>
      <c r="AE317" s="3">
        <v>173</v>
      </c>
      <c r="AF317" s="3" t="str">
        <f>IFERROR(MID(VLOOKUP($B317,Seqs!$A:$B,2,0),AG317,1),"")</f>
        <v>C</v>
      </c>
      <c r="AG317" s="3">
        <v>187</v>
      </c>
      <c r="AH317" s="3" t="str">
        <f>IFERROR(MID(VLOOKUP($B317,Seqs!$A:$B,2,0),AI317,1),"")</f>
        <v>I</v>
      </c>
      <c r="AI317" s="3">
        <v>189</v>
      </c>
      <c r="AJ317" s="3" t="str">
        <f>IFERROR(MID(VLOOKUP($B317,Seqs!$A:$B,2,0),AK317,1),"")</f>
        <v>N</v>
      </c>
      <c r="AK317" s="3">
        <v>199</v>
      </c>
      <c r="AL317" s="3" t="str">
        <f>IFERROR(MID(VLOOKUP($B317,Seqs!$A:$B,2,0),AM317,1),"")</f>
        <v>Q</v>
      </c>
      <c r="AM317" s="3">
        <v>237</v>
      </c>
      <c r="AN317" s="3" t="str">
        <f>IFERROR(MID(VLOOKUP($B317,Seqs!$A:$B,2,0),AO317,1),"")</f>
        <v>S</v>
      </c>
      <c r="AO317" s="3">
        <v>240</v>
      </c>
      <c r="AP317" s="3" t="str">
        <f>IFERROR(MID(VLOOKUP($B317,Seqs!$A:$B,2,0),AQ317,1),"")</f>
        <v>H</v>
      </c>
      <c r="AQ317" s="3">
        <v>278</v>
      </c>
      <c r="AR317" s="3" t="str">
        <f>IFERROR(MID(VLOOKUP($B317,Seqs!$A:$B,2,0),AS317,1),"")</f>
        <v>T</v>
      </c>
      <c r="AS317" s="3">
        <v>289</v>
      </c>
      <c r="AT317" s="3" t="str">
        <f>IFERROR(MID(VLOOKUP($B317,Seqs!$A:$B,2,0),AU317,1),"")</f>
        <v>M</v>
      </c>
      <c r="AU317" s="3">
        <v>309</v>
      </c>
      <c r="AV317" s="3" t="str">
        <f>IFERROR(MID(VLOOKUP($B317,Seqs!$A:$B,2,0),AW317,1),"")</f>
        <v>N</v>
      </c>
      <c r="AW317" s="3">
        <v>310</v>
      </c>
      <c r="AX317" s="3" t="str">
        <f>IFERROR(MID(VLOOKUP($B317,Seqs!$A:$B,2,0),AY317,1),"")</f>
        <v>R</v>
      </c>
      <c r="AY317" s="3">
        <v>314</v>
      </c>
      <c r="AZ317" s="77" t="str">
        <f>VLOOKUP(B317,Classification!A:D,2,0)</f>
        <v>A</v>
      </c>
      <c r="BA317" s="94" t="str">
        <f>VLOOKUP(B317,Classification!A:D,4,0)</f>
        <v>Opsins</v>
      </c>
      <c r="BB317" s="27" t="b">
        <f t="shared" ref="BB317" si="2572">AND(E317&lt;G317,OR(G317&lt;I317,I317="-"),OR(I317&lt;K317,I317="-"),OR(K317&lt;M317,K317="-"),M317&lt;O317,OR(O317&lt;Q317,Q317="-"),OR(Q317&lt;S317,Q317="-"),OR(S317&lt;U317,S317="-"),U317&lt;W317,OR(W317&lt;Y317,Y317="-"),OR(Y317&lt;AA317,Y317="-"),OR(AA317&lt;AC317,AA317="-"),AC317&lt;AE317,OR(AE317&lt;AG317,AG317="-"),OR(AG317&lt;AI317,AG317="-"),OR(AI317&lt;AK317,AI317="-"),AK317&lt;AM317,AM317&lt;AO317,AO317&lt;AQ317,AQ317&lt;AS317,AS317&lt;AU317,OR(AU317&lt;AW317,AW317="-"),OR(AW317&lt;AY317,AW317="-"))</f>
        <v>1</v>
      </c>
      <c r="BC317" s="23">
        <f t="shared" ref="BC317" si="2573">_xlfn.AGGREGATE(9,6,CH317:CS317)-_xlfn.AGGREGATE(9,6,BV317:CG317)+12</f>
        <v>239</v>
      </c>
      <c r="BD317" s="2" t="s">
        <v>23</v>
      </c>
      <c r="BE317" s="3" t="s">
        <v>1291</v>
      </c>
      <c r="BF317" s="118">
        <v>3.12</v>
      </c>
      <c r="BG317" s="49" t="s">
        <v>1</v>
      </c>
      <c r="BH317" s="49" t="s">
        <v>1</v>
      </c>
      <c r="BI317" s="1"/>
      <c r="BJ317" s="70" t="s">
        <v>1287</v>
      </c>
      <c r="BK317" s="57" t="s">
        <v>1287</v>
      </c>
      <c r="BL317" s="57" t="s">
        <v>1287</v>
      </c>
      <c r="BM317" s="57" t="s">
        <v>1287</v>
      </c>
      <c r="BN317" s="57" t="s">
        <v>1287</v>
      </c>
      <c r="BO317" s="57" t="s">
        <v>1287</v>
      </c>
      <c r="BP317" s="57" t="s">
        <v>1287</v>
      </c>
      <c r="BQ317" s="57" t="s">
        <v>1287</v>
      </c>
      <c r="BR317" s="57" t="s">
        <v>1287</v>
      </c>
      <c r="BS317" s="57" t="s">
        <v>1287</v>
      </c>
      <c r="BT317" s="57" t="s">
        <v>1287</v>
      </c>
      <c r="BU317" s="57" t="s">
        <v>1287</v>
      </c>
      <c r="BV317" s="70">
        <f t="shared" ref="BV317" si="2574">E317</f>
        <v>33</v>
      </c>
      <c r="BW317" s="71">
        <f t="shared" ref="BW317" si="2575">I317</f>
        <v>66</v>
      </c>
      <c r="BX317" s="72">
        <f t="shared" ref="BX317" si="2576">M317</f>
        <v>73</v>
      </c>
      <c r="BY317" s="71">
        <f t="shared" ref="BY317" si="2577">Q317</f>
        <v>102</v>
      </c>
      <c r="BZ317" s="72">
        <f t="shared" ref="BZ317" si="2578">U317</f>
        <v>106</v>
      </c>
      <c r="CA317" s="71" t="str">
        <f t="shared" ref="CA317" si="2579">Y317</f>
        <v>-</v>
      </c>
      <c r="CB317" s="72">
        <f t="shared" ref="CB317" si="2580">AC317</f>
        <v>149</v>
      </c>
      <c r="CC317" s="71">
        <f t="shared" ref="CC317" si="2581">AG317</f>
        <v>187</v>
      </c>
      <c r="CD317" s="72">
        <f t="shared" ref="CD317" si="2582">AK317</f>
        <v>199</v>
      </c>
      <c r="CE317" s="71">
        <f t="shared" ref="CE317" si="2583">AO317</f>
        <v>240</v>
      </c>
      <c r="CF317" s="72">
        <f t="shared" ref="CF317" si="2584">AS317</f>
        <v>289</v>
      </c>
      <c r="CG317" s="71">
        <f t="shared" ref="CG317" si="2585">AW317</f>
        <v>310</v>
      </c>
      <c r="CH317" s="70">
        <f t="shared" ref="CH317" si="2586">G317</f>
        <v>65</v>
      </c>
      <c r="CI317" s="71">
        <f t="shared" ref="CI317" si="2587">K317</f>
        <v>69</v>
      </c>
      <c r="CJ317" s="72">
        <f t="shared" ref="CJ317" si="2588">O317</f>
        <v>101</v>
      </c>
      <c r="CK317" s="72">
        <f t="shared" ref="CK317" si="2589">S317</f>
        <v>105</v>
      </c>
      <c r="CL317" s="72">
        <f t="shared" ref="CL317" si="2590">W317</f>
        <v>141</v>
      </c>
      <c r="CM317" s="72" t="str">
        <f t="shared" ref="CM317" si="2591">AA317</f>
        <v>-</v>
      </c>
      <c r="CN317" s="72">
        <f t="shared" ref="CN317" si="2592">AE317</f>
        <v>173</v>
      </c>
      <c r="CO317" s="72">
        <f t="shared" ref="CO317" si="2593">AI317</f>
        <v>189</v>
      </c>
      <c r="CP317" s="72">
        <f t="shared" ref="CP317" si="2594">AM317</f>
        <v>237</v>
      </c>
      <c r="CQ317" s="72">
        <f t="shared" ref="CQ317" si="2595">AQ317</f>
        <v>278</v>
      </c>
      <c r="CR317" s="72">
        <f t="shared" ref="CR317" si="2596">AU317</f>
        <v>309</v>
      </c>
      <c r="CS317" s="72">
        <f t="shared" ref="CS317" si="2597">AY317</f>
        <v>314</v>
      </c>
      <c r="CT317" s="23">
        <f t="shared" ref="CT317" si="2598">M317-K317</f>
        <v>4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29" x14ac:dyDescent="0.2">
      <c r="A318" s="3" t="str">
        <f t="shared" ref="A318" si="2599">CONCATENATE(B318,"_",C318)</f>
        <v>opsd_bovin_6QNO</v>
      </c>
      <c r="B318" s="3" t="s">
        <v>919</v>
      </c>
      <c r="C318" s="3" t="s">
        <v>1585</v>
      </c>
      <c r="D318" s="3" t="str">
        <f>IFERROR(MID(VLOOKUP($B318,Seqs!$A:$B,2,0),E318,1),"")</f>
        <v>E</v>
      </c>
      <c r="E318" s="3">
        <v>33</v>
      </c>
      <c r="F318" s="3" t="str">
        <f>IFERROR(MID(VLOOKUP($B318,Seqs!$A:$B,2,0),G318,1),"")</f>
        <v>H</v>
      </c>
      <c r="G318" s="3">
        <v>65</v>
      </c>
      <c r="H318" s="3" t="str">
        <f>IFERROR(MID(VLOOKUP($B318,Seqs!$A:$B,2,0),I318,1),"")</f>
        <v>K</v>
      </c>
      <c r="I318" s="23">
        <v>66</v>
      </c>
      <c r="J318" s="3" t="str">
        <f>IFERROR(MID(VLOOKUP($B318,Seqs!$A:$B,2,0),K318,1),"")</f>
        <v>R</v>
      </c>
      <c r="K318" s="23">
        <v>69</v>
      </c>
      <c r="L318" s="3" t="str">
        <f>IFERROR(MID(VLOOKUP($B318,Seqs!$A:$B,2,0),M318,1),"")</f>
        <v>N</v>
      </c>
      <c r="M318" s="3">
        <v>73</v>
      </c>
      <c r="N318" s="3" t="str">
        <f>IFERROR(MID(VLOOKUP($B318,Seqs!$A:$B,2,0),O318,1),"")</f>
        <v>H</v>
      </c>
      <c r="O318" s="3">
        <v>100</v>
      </c>
      <c r="P318" s="3" t="str">
        <f>IFERROR(MID(VLOOKUP($B318,Seqs!$A:$B,2,0),Q318,1),"")</f>
        <v>Y</v>
      </c>
      <c r="Q318" s="3">
        <v>102</v>
      </c>
      <c r="R318" s="3" t="str">
        <f>IFERROR(MID(VLOOKUP($B318,Seqs!$A:$B,2,0),S318,1),"")</f>
        <v>F</v>
      </c>
      <c r="S318" s="3">
        <v>105</v>
      </c>
      <c r="T318" s="3" t="str">
        <f>IFERROR(MID(VLOOKUP($B318,Seqs!$A:$B,2,0),U318,1),"")</f>
        <v>G</v>
      </c>
      <c r="U318" s="3">
        <v>106</v>
      </c>
      <c r="V318" s="3" t="str">
        <f>IFERROR(MID(VLOOKUP($B318,Seqs!$A:$B,2,0),W318,1),"")</f>
        <v>K</v>
      </c>
      <c r="W318" s="3">
        <v>141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E</v>
      </c>
      <c r="AC318" s="3">
        <v>150</v>
      </c>
      <c r="AD318" s="3" t="str">
        <f>IFERROR(MID(VLOOKUP($B318,Seqs!$A:$B,2,0),AE318,1),"")</f>
        <v>V</v>
      </c>
      <c r="AE318" s="3">
        <v>173</v>
      </c>
      <c r="AF318" s="3" t="str">
        <f>IFERROR(MID(VLOOKUP($B318,Seqs!$A:$B,2,0),AG318,1),"")</f>
        <v>C</v>
      </c>
      <c r="AG318" s="3">
        <v>187</v>
      </c>
      <c r="AH318" s="3" t="str">
        <f>IFERROR(MID(VLOOKUP($B318,Seqs!$A:$B,2,0),AI318,1),"")</f>
        <v>I</v>
      </c>
      <c r="AI318" s="3">
        <v>189</v>
      </c>
      <c r="AJ318" s="3" t="str">
        <f>IFERROR(MID(VLOOKUP($B318,Seqs!$A:$B,2,0),AK318,1),"")</f>
        <v>N</v>
      </c>
      <c r="AK318" s="3">
        <v>200</v>
      </c>
      <c r="AL318" s="3" t="str">
        <f>IFERROR(MID(VLOOKUP($B318,Seqs!$A:$B,2,0),AM318,1),"")</f>
        <v>Q</v>
      </c>
      <c r="AM318" s="3">
        <v>237</v>
      </c>
      <c r="AN318" s="3" t="str">
        <f>IFERROR(MID(VLOOKUP($B318,Seqs!$A:$B,2,0),AO318,1),"")</f>
        <v>S</v>
      </c>
      <c r="AO318" s="3">
        <v>240</v>
      </c>
      <c r="AP318" s="3" t="str">
        <f>IFERROR(MID(VLOOKUP($B318,Seqs!$A:$B,2,0),AQ318,1),"")</f>
        <v>H</v>
      </c>
      <c r="AQ318" s="3">
        <v>278</v>
      </c>
      <c r="AR318" s="3" t="str">
        <f>IFERROR(MID(VLOOKUP($B318,Seqs!$A:$B,2,0),AS318,1),"")</f>
        <v>G</v>
      </c>
      <c r="AS318" s="3">
        <v>284</v>
      </c>
      <c r="AT318" s="3" t="str">
        <f>IFERROR(MID(VLOOKUP($B318,Seqs!$A:$B,2,0),AU318,1),"")</f>
        <v>M</v>
      </c>
      <c r="AU318" s="3">
        <v>309</v>
      </c>
      <c r="AV318" s="3" t="str">
        <f>IFERROR(MID(VLOOKUP($B318,Seqs!$A:$B,2,0),AW318,1),"")</f>
        <v>N</v>
      </c>
      <c r="AW318" s="3">
        <v>310</v>
      </c>
      <c r="AX318" s="3" t="str">
        <f>IFERROR(MID(VLOOKUP($B318,Seqs!$A:$B,2,0),AY318,1),"")</f>
        <v>C</v>
      </c>
      <c r="AY318" s="3">
        <v>322</v>
      </c>
      <c r="AZ318" s="77" t="str">
        <f>VLOOKUP(B318,Classification!A:D,2,0)</f>
        <v>A</v>
      </c>
      <c r="BA318" s="94" t="str">
        <f>VLOOKUP(B318,Classification!A:D,4,0)</f>
        <v>Opsins</v>
      </c>
      <c r="BB318" s="27" t="b">
        <f t="shared" ref="BB318" si="2600">AND(E318&lt;G318,OR(G318&lt;I318,I318="-"),OR(I318&lt;K318,I318="-"),OR(K318&lt;M318,K318="-"),M318&lt;O318,OR(O318&lt;Q318,Q318="-"),OR(Q318&lt;S318,Q318="-"),OR(S318&lt;U318,S318="-"),U318&lt;W318,OR(W318&lt;Y318,Y318="-"),OR(Y318&lt;AA318,Y318="-"),OR(AA318&lt;AC318,AA318="-"),AC318&lt;AE318,OR(AE318&lt;AG318,AG318="-"),OR(AG318&lt;AI318,AG318="-"),OR(AI318&lt;AK318,AI318="-"),AK318&lt;AM318,AM318&lt;AO318,AO318&lt;AQ318,AQ318&lt;AS318,AS318&lt;AU318,OR(AU318&lt;AW318,AW318="-"),OR(AW318&lt;AY318,AW318="-"))</f>
        <v>1</v>
      </c>
      <c r="BC318" s="23">
        <f t="shared" ref="BC318" si="2601">_xlfn.AGGREGATE(9,6,CH318:CS318)-_xlfn.AGGREGATE(9,6,BV318:CG318)+12</f>
        <v>249</v>
      </c>
      <c r="BD318" s="2" t="s">
        <v>23</v>
      </c>
      <c r="BE318" s="3" t="s">
        <v>1291</v>
      </c>
      <c r="BF318" s="118">
        <v>4.38</v>
      </c>
      <c r="BG318" s="49" t="s">
        <v>1422</v>
      </c>
      <c r="BH318" s="49" t="s">
        <v>1422</v>
      </c>
      <c r="BI318" s="1"/>
      <c r="BJ318" s="70" t="s">
        <v>1287</v>
      </c>
      <c r="BK318" s="57" t="s">
        <v>1287</v>
      </c>
      <c r="BL318" s="57" t="s">
        <v>1287</v>
      </c>
      <c r="BM318" s="57" t="s">
        <v>1287</v>
      </c>
      <c r="BN318" s="57" t="s">
        <v>1287</v>
      </c>
      <c r="BO318" s="57" t="s">
        <v>1287</v>
      </c>
      <c r="BP318" s="57" t="s">
        <v>1287</v>
      </c>
      <c r="BQ318" s="57" t="s">
        <v>1287</v>
      </c>
      <c r="BR318" s="57" t="s">
        <v>1287</v>
      </c>
      <c r="BS318" s="57" t="s">
        <v>1287</v>
      </c>
      <c r="BT318" s="57" t="s">
        <v>1287</v>
      </c>
      <c r="BU318" s="57" t="s">
        <v>1287</v>
      </c>
      <c r="BV318" s="70">
        <f t="shared" ref="BV318" si="2602">E318</f>
        <v>33</v>
      </c>
      <c r="BW318" s="71">
        <f t="shared" ref="BW318" si="2603">I318</f>
        <v>66</v>
      </c>
      <c r="BX318" s="72">
        <f t="shared" ref="BX318" si="2604">M318</f>
        <v>73</v>
      </c>
      <c r="BY318" s="71">
        <f t="shared" ref="BY318" si="2605">Q318</f>
        <v>102</v>
      </c>
      <c r="BZ318" s="72">
        <f t="shared" ref="BZ318" si="2606">U318</f>
        <v>106</v>
      </c>
      <c r="CA318" s="71" t="str">
        <f t="shared" ref="CA318" si="2607">Y318</f>
        <v>-</v>
      </c>
      <c r="CB318" s="72">
        <f t="shared" ref="CB318" si="2608">AC318</f>
        <v>150</v>
      </c>
      <c r="CC318" s="71">
        <f t="shared" ref="CC318" si="2609">AG318</f>
        <v>187</v>
      </c>
      <c r="CD318" s="72">
        <f t="shared" ref="CD318" si="2610">AK318</f>
        <v>200</v>
      </c>
      <c r="CE318" s="71">
        <f t="shared" ref="CE318" si="2611">AO318</f>
        <v>240</v>
      </c>
      <c r="CF318" s="72">
        <f t="shared" ref="CF318" si="2612">AS318</f>
        <v>284</v>
      </c>
      <c r="CG318" s="71">
        <f t="shared" ref="CG318" si="2613">AW318</f>
        <v>310</v>
      </c>
      <c r="CH318" s="70">
        <f t="shared" ref="CH318" si="2614">G318</f>
        <v>65</v>
      </c>
      <c r="CI318" s="71">
        <f t="shared" ref="CI318" si="2615">K318</f>
        <v>69</v>
      </c>
      <c r="CJ318" s="72">
        <f t="shared" ref="CJ318" si="2616">O318</f>
        <v>100</v>
      </c>
      <c r="CK318" s="72">
        <f t="shared" ref="CK318" si="2617">S318</f>
        <v>105</v>
      </c>
      <c r="CL318" s="72">
        <f t="shared" ref="CL318" si="2618">W318</f>
        <v>141</v>
      </c>
      <c r="CM318" s="72" t="str">
        <f t="shared" ref="CM318" si="2619">AA318</f>
        <v>-</v>
      </c>
      <c r="CN318" s="72">
        <f t="shared" ref="CN318" si="2620">AE318</f>
        <v>173</v>
      </c>
      <c r="CO318" s="72">
        <f t="shared" ref="CO318" si="2621">AI318</f>
        <v>189</v>
      </c>
      <c r="CP318" s="72">
        <f t="shared" ref="CP318" si="2622">AM318</f>
        <v>237</v>
      </c>
      <c r="CQ318" s="72">
        <f t="shared" ref="CQ318" si="2623">AQ318</f>
        <v>278</v>
      </c>
      <c r="CR318" s="72">
        <f t="shared" ref="CR318" si="2624">AU318</f>
        <v>309</v>
      </c>
      <c r="CS318" s="72">
        <f t="shared" ref="CS318" si="2625">AY318</f>
        <v>322</v>
      </c>
      <c r="CT318" s="23">
        <f t="shared" ref="CT318" si="2626">M318-K318</f>
        <v>4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29" x14ac:dyDescent="0.2">
      <c r="A319" s="3" t="str">
        <f t="shared" ref="A319" si="2627">CONCATENATE(B319,"_",C319)</f>
        <v>opsd_bovin_6OY9</v>
      </c>
      <c r="B319" s="3" t="s">
        <v>919</v>
      </c>
      <c r="C319" s="3" t="s">
        <v>1587</v>
      </c>
      <c r="D319" s="3" t="str">
        <f>IFERROR(MID(VLOOKUP($B319,Seqs!$A:$B,2,0),E319,1),"")</f>
        <v>E</v>
      </c>
      <c r="E319" s="3">
        <v>33</v>
      </c>
      <c r="F319" s="3" t="str">
        <f>IFERROR(MID(VLOOKUP($B319,Seqs!$A:$B,2,0),G319,1),"")</f>
        <v>Q</v>
      </c>
      <c r="G319" s="3">
        <v>64</v>
      </c>
      <c r="H319" s="3" t="str">
        <f>IFERROR(MID(VLOOKUP($B319,Seqs!$A:$B,2,0),I319,1),"")</f>
        <v/>
      </c>
      <c r="I319" s="23" t="s">
        <v>23</v>
      </c>
      <c r="J319" s="3" t="str">
        <f>IFERROR(MID(VLOOKUP($B319,Seqs!$A:$B,2,0),K319,1),"")</f>
        <v/>
      </c>
      <c r="K319" s="23" t="s">
        <v>23</v>
      </c>
      <c r="L319" s="3" t="str">
        <f>IFERROR(MID(VLOOKUP($B319,Seqs!$A:$B,2,0),M319,1),"")</f>
        <v>N</v>
      </c>
      <c r="M319" s="3">
        <v>73</v>
      </c>
      <c r="N319" s="3" t="str">
        <f>IFERROR(MID(VLOOKUP($B319,Seqs!$A:$B,2,0),O319,1),"")</f>
        <v>H</v>
      </c>
      <c r="O319" s="3">
        <v>100</v>
      </c>
      <c r="P319" s="3" t="str">
        <f>IFERROR(MID(VLOOKUP($B319,Seqs!$A:$B,2,0),Q319,1),"")</f>
        <v>Y</v>
      </c>
      <c r="Q319" s="3">
        <v>102</v>
      </c>
      <c r="R319" s="3" t="str">
        <f>IFERROR(MID(VLOOKUP($B319,Seqs!$A:$B,2,0),S319,1),"")</f>
        <v>F</v>
      </c>
      <c r="S319" s="3">
        <v>105</v>
      </c>
      <c r="T319" s="3" t="str">
        <f>IFERROR(MID(VLOOKUP($B319,Seqs!$A:$B,2,0),U319,1),"")</f>
        <v>G</v>
      </c>
      <c r="U319" s="3">
        <v>106</v>
      </c>
      <c r="V319" s="3" t="str">
        <f>IFERROR(MID(VLOOKUP($B319,Seqs!$A:$B,2,0),W319,1),"")</f>
        <v>C</v>
      </c>
      <c r="W319" s="3">
        <v>140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E</v>
      </c>
      <c r="AC319" s="3">
        <v>150</v>
      </c>
      <c r="AD319" s="3" t="str">
        <f>IFERROR(MID(VLOOKUP($B319,Seqs!$A:$B,2,0),AE319,1),"")</f>
        <v>L</v>
      </c>
      <c r="AE319" s="3">
        <v>172</v>
      </c>
      <c r="AF319" s="3" t="str">
        <f>IFERROR(MID(VLOOKUP($B319,Seqs!$A:$B,2,0),AG319,1),"")</f>
        <v>C</v>
      </c>
      <c r="AG319" s="3">
        <v>187</v>
      </c>
      <c r="AH319" s="3" t="str">
        <f>IFERROR(MID(VLOOKUP($B319,Seqs!$A:$B,2,0),AI319,1),"")</f>
        <v>I</v>
      </c>
      <c r="AI319" s="3">
        <v>189</v>
      </c>
      <c r="AJ319" s="3" t="str">
        <f>IFERROR(MID(VLOOKUP($B319,Seqs!$A:$B,2,0),AK319,1),"")</f>
        <v>N</v>
      </c>
      <c r="AK319" s="3">
        <v>199</v>
      </c>
      <c r="AL319" s="3" t="str">
        <f>IFERROR(MID(VLOOKUP($B319,Seqs!$A:$B,2,0),AM319,1),"")</f>
        <v>Q</v>
      </c>
      <c r="AM319" s="3">
        <v>236</v>
      </c>
      <c r="AN319" s="3" t="str">
        <f>IFERROR(MID(VLOOKUP($B319,Seqs!$A:$B,2,0),AO319,1),"")</f>
        <v>S</v>
      </c>
      <c r="AO319" s="3">
        <v>240</v>
      </c>
      <c r="AP319" s="3" t="str">
        <f>IFERROR(MID(VLOOKUP($B319,Seqs!$A:$B,2,0),AQ319,1),"")</f>
        <v>H</v>
      </c>
      <c r="AQ319" s="3">
        <v>278</v>
      </c>
      <c r="AR319" s="3" t="str">
        <f>IFERROR(MID(VLOOKUP($B319,Seqs!$A:$B,2,0),AS319,1),"")</f>
        <v>G</v>
      </c>
      <c r="AS319" s="3">
        <v>284</v>
      </c>
      <c r="AT319" s="3" t="str">
        <f>IFERROR(MID(VLOOKUP($B319,Seqs!$A:$B,2,0),AU319,1),"")</f>
        <v>M</v>
      </c>
      <c r="AU319" s="3">
        <v>309</v>
      </c>
      <c r="AV319" s="3" t="str">
        <f>IFERROR(MID(VLOOKUP($B319,Seqs!$A:$B,2,0),AW319,1),"")</f>
        <v>F</v>
      </c>
      <c r="AW319" s="3">
        <v>313</v>
      </c>
      <c r="AX319" s="3" t="str">
        <f>IFERROR(MID(VLOOKUP($B319,Seqs!$A:$B,2,0),AY319,1),"")</f>
        <v>C</v>
      </c>
      <c r="AY319" s="3">
        <v>322</v>
      </c>
      <c r="AZ319" s="77" t="str">
        <f>VLOOKUP(B319,Classification!A:D,2,0)</f>
        <v>A</v>
      </c>
      <c r="BA319" s="94" t="str">
        <f>VLOOKUP(B319,Classification!A:D,4,0)</f>
        <v>Opsins</v>
      </c>
      <c r="BB319" s="27" t="b">
        <f t="shared" ref="BB319" si="2628">AND(E319&lt;G319,OR(G319&lt;I319,I319="-"),OR(I319&lt;K319,I319="-"),OR(K319&lt;M319,K319="-"),M319&lt;O319,OR(O319&lt;Q319,Q319="-"),OR(Q319&lt;S319,Q319="-"),OR(S319&lt;U319,S319="-"),U319&lt;W319,OR(W319&lt;Y319,Y319="-"),OR(Y319&lt;AA319,Y319="-"),OR(AA319&lt;AC319,AA319="-"),AC319&lt;AE319,OR(AE319&lt;AG319,AG319="-"),OR(AG319&lt;AI319,AG319="-"),OR(AI319&lt;AK319,AI319="-"),AK319&lt;AM319,AM319&lt;AO319,AO319&lt;AQ319,AQ319&lt;AS319,AS319&lt;AU319,OR(AU319&lt;AW319,AW319="-"),OR(AW319&lt;AY319,AW319="-"))</f>
        <v>1</v>
      </c>
      <c r="BC319" s="23">
        <f t="shared" ref="BC319" si="2629">_xlfn.AGGREGATE(9,6,CH319:CS319)-_xlfn.AGGREGATE(9,6,BV319:CG319)+12</f>
        <v>240</v>
      </c>
      <c r="BD319" s="2" t="s">
        <v>23</v>
      </c>
      <c r="BE319" s="3" t="s">
        <v>1291</v>
      </c>
      <c r="BF319" s="118">
        <v>3.9</v>
      </c>
      <c r="BG319" s="49" t="s">
        <v>1422</v>
      </c>
      <c r="BH319" s="49" t="s">
        <v>1422</v>
      </c>
      <c r="BI319" s="1"/>
      <c r="BJ319" s="70" t="s">
        <v>1287</v>
      </c>
      <c r="BK319" s="57" t="s">
        <v>1287</v>
      </c>
      <c r="BL319" s="57" t="s">
        <v>1287</v>
      </c>
      <c r="BM319" s="57" t="s">
        <v>1287</v>
      </c>
      <c r="BN319" s="57" t="s">
        <v>1287</v>
      </c>
      <c r="BO319" s="57" t="s">
        <v>1287</v>
      </c>
      <c r="BP319" s="57" t="s">
        <v>1287</v>
      </c>
      <c r="BQ319" s="57" t="s">
        <v>1287</v>
      </c>
      <c r="BR319" s="57" t="s">
        <v>1287</v>
      </c>
      <c r="BS319" s="57" t="s">
        <v>1287</v>
      </c>
      <c r="BT319" s="57" t="s">
        <v>1287</v>
      </c>
      <c r="BU319" s="57" t="s">
        <v>1287</v>
      </c>
      <c r="BV319" s="70">
        <f t="shared" ref="BV319" si="2630">E319</f>
        <v>33</v>
      </c>
      <c r="BW319" s="71" t="str">
        <f t="shared" ref="BW319" si="2631">I319</f>
        <v>-</v>
      </c>
      <c r="BX319" s="72">
        <f t="shared" ref="BX319" si="2632">M319</f>
        <v>73</v>
      </c>
      <c r="BY319" s="71">
        <f t="shared" ref="BY319" si="2633">Q319</f>
        <v>102</v>
      </c>
      <c r="BZ319" s="72">
        <f t="shared" ref="BZ319" si="2634">U319</f>
        <v>106</v>
      </c>
      <c r="CA319" s="71" t="str">
        <f t="shared" ref="CA319" si="2635">Y319</f>
        <v>-</v>
      </c>
      <c r="CB319" s="72">
        <f t="shared" ref="CB319" si="2636">AC319</f>
        <v>150</v>
      </c>
      <c r="CC319" s="71">
        <f t="shared" ref="CC319" si="2637">AG319</f>
        <v>187</v>
      </c>
      <c r="CD319" s="72">
        <f t="shared" ref="CD319" si="2638">AK319</f>
        <v>199</v>
      </c>
      <c r="CE319" s="71">
        <f t="shared" ref="CE319" si="2639">AO319</f>
        <v>240</v>
      </c>
      <c r="CF319" s="72">
        <f t="shared" ref="CF319" si="2640">AS319</f>
        <v>284</v>
      </c>
      <c r="CG319" s="71">
        <f t="shared" ref="CG319" si="2641">AW319</f>
        <v>313</v>
      </c>
      <c r="CH319" s="70">
        <f t="shared" ref="CH319" si="2642">G319</f>
        <v>64</v>
      </c>
      <c r="CI319" s="71" t="str">
        <f t="shared" ref="CI319" si="2643">K319</f>
        <v>-</v>
      </c>
      <c r="CJ319" s="72">
        <f t="shared" ref="CJ319" si="2644">O319</f>
        <v>100</v>
      </c>
      <c r="CK319" s="72">
        <f t="shared" ref="CK319" si="2645">S319</f>
        <v>105</v>
      </c>
      <c r="CL319" s="72">
        <f t="shared" ref="CL319" si="2646">W319</f>
        <v>140</v>
      </c>
      <c r="CM319" s="72" t="str">
        <f t="shared" ref="CM319" si="2647">AA319</f>
        <v>-</v>
      </c>
      <c r="CN319" s="72">
        <f t="shared" ref="CN319" si="2648">AE319</f>
        <v>172</v>
      </c>
      <c r="CO319" s="72">
        <f t="shared" ref="CO319" si="2649">AI319</f>
        <v>189</v>
      </c>
      <c r="CP319" s="72">
        <f t="shared" ref="CP319" si="2650">AM319</f>
        <v>236</v>
      </c>
      <c r="CQ319" s="72">
        <f t="shared" ref="CQ319" si="2651">AQ319</f>
        <v>278</v>
      </c>
      <c r="CR319" s="72">
        <f t="shared" ref="CR319" si="2652">AU319</f>
        <v>309</v>
      </c>
      <c r="CS319" s="72">
        <f t="shared" ref="CS319" si="2653">AY319</f>
        <v>322</v>
      </c>
      <c r="CT319" s="23" t="e">
        <f t="shared" ref="CT319" si="2654">M319-K319</f>
        <v>#VALUE!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29" x14ac:dyDescent="0.2">
      <c r="A320" s="3" t="str">
        <f t="shared" ref="A320" si="2655">CONCATENATE(B320,"_",C320)</f>
        <v>opsd_bovin_6OYA</v>
      </c>
      <c r="B320" s="3" t="s">
        <v>919</v>
      </c>
      <c r="C320" s="3" t="s">
        <v>1588</v>
      </c>
      <c r="D320" s="3" t="str">
        <f>IFERROR(MID(VLOOKUP($B320,Seqs!$A:$B,2,0),E320,1),"")</f>
        <v>E</v>
      </c>
      <c r="E320" s="3">
        <v>33</v>
      </c>
      <c r="F320" s="3" t="str">
        <f>IFERROR(MID(VLOOKUP($B320,Seqs!$A:$B,2,0),G320,1),"")</f>
        <v>H</v>
      </c>
      <c r="G320" s="3">
        <v>65</v>
      </c>
      <c r="H320" s="3" t="str">
        <f>IFERROR(MID(VLOOKUP($B320,Seqs!$A:$B,2,0),I320,1),"")</f>
        <v>K</v>
      </c>
      <c r="I320" s="23">
        <v>66</v>
      </c>
      <c r="J320" s="3" t="str">
        <f>IFERROR(MID(VLOOKUP($B320,Seqs!$A:$B,2,0),K320,1),"")</f>
        <v>R</v>
      </c>
      <c r="K320" s="23">
        <v>69</v>
      </c>
      <c r="L320" s="3" t="str">
        <f>IFERROR(MID(VLOOKUP($B320,Seqs!$A:$B,2,0),M320,1),"")</f>
        <v>T</v>
      </c>
      <c r="M320" s="3">
        <v>70</v>
      </c>
      <c r="N320" s="3" t="str">
        <f>IFERROR(MID(VLOOKUP($B320,Seqs!$A:$B,2,0),O320,1),"")</f>
        <v>G</v>
      </c>
      <c r="O320" s="3">
        <v>101</v>
      </c>
      <c r="P320" s="3" t="str">
        <f>IFERROR(MID(VLOOKUP($B320,Seqs!$A:$B,2,0),Q320,1),"")</f>
        <v>Y</v>
      </c>
      <c r="Q320" s="3">
        <v>102</v>
      </c>
      <c r="R320" s="3" t="str">
        <f>IFERROR(MID(VLOOKUP($B320,Seqs!$A:$B,2,0),S320,1),"")</f>
        <v>F</v>
      </c>
      <c r="S320" s="3">
        <v>105</v>
      </c>
      <c r="T320" s="3" t="str">
        <f>IFERROR(MID(VLOOKUP($B320,Seqs!$A:$B,2,0),U320,1),"")</f>
        <v>G</v>
      </c>
      <c r="U320" s="3">
        <v>106</v>
      </c>
      <c r="V320" s="3" t="str">
        <f>IFERROR(MID(VLOOKUP($B320,Seqs!$A:$B,2,0),W320,1),"")</f>
        <v>C</v>
      </c>
      <c r="W320" s="3">
        <v>140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G</v>
      </c>
      <c r="AC320" s="3">
        <v>149</v>
      </c>
      <c r="AD320" s="3" t="str">
        <f>IFERROR(MID(VLOOKUP($B320,Seqs!$A:$B,2,0),AE320,1),"")</f>
        <v>G</v>
      </c>
      <c r="AE320" s="3">
        <v>174</v>
      </c>
      <c r="AF320" s="3" t="str">
        <f>IFERROR(MID(VLOOKUP($B320,Seqs!$A:$B,2,0),AG320,1),"")</f>
        <v>C</v>
      </c>
      <c r="AG320" s="3">
        <v>187</v>
      </c>
      <c r="AH320" s="3" t="str">
        <f>IFERROR(MID(VLOOKUP($B320,Seqs!$A:$B,2,0),AI320,1),"")</f>
        <v>I</v>
      </c>
      <c r="AI320" s="3">
        <v>189</v>
      </c>
      <c r="AJ320" s="3" t="str">
        <f>IFERROR(MID(VLOOKUP($B320,Seqs!$A:$B,2,0),AK320,1),"")</f>
        <v>N</v>
      </c>
      <c r="AK320" s="3">
        <v>199</v>
      </c>
      <c r="AL320" s="3" t="str">
        <f>IFERROR(MID(VLOOKUP($B320,Seqs!$A:$B,2,0),AM320,1),"")</f>
        <v>A</v>
      </c>
      <c r="AM320" s="3">
        <v>235</v>
      </c>
      <c r="AN320" s="3" t="str">
        <f>IFERROR(MID(VLOOKUP($B320,Seqs!$A:$B,2,0),AO320,1),"")</f>
        <v>T</v>
      </c>
      <c r="AO320" s="3">
        <v>243</v>
      </c>
      <c r="AP320" s="3" t="str">
        <f>IFERROR(MID(VLOOKUP($B320,Seqs!$A:$B,2,0),AQ320,1),"")</f>
        <v>H</v>
      </c>
      <c r="AQ320" s="3">
        <v>278</v>
      </c>
      <c r="AR320" s="3" t="str">
        <f>IFERROR(MID(VLOOKUP($B320,Seqs!$A:$B,2,0),AS320,1),"")</f>
        <v>G</v>
      </c>
      <c r="AS320" s="3">
        <v>284</v>
      </c>
      <c r="AT320" s="3" t="str">
        <f>IFERROR(MID(VLOOKUP($B320,Seqs!$A:$B,2,0),AU320,1),"")</f>
        <v>M</v>
      </c>
      <c r="AU320" s="3">
        <v>308</v>
      </c>
      <c r="AV320" s="3" t="str">
        <f>IFERROR(MID(VLOOKUP($B320,Seqs!$A:$B,2,0),AW320,1),"")</f>
        <v>F</v>
      </c>
      <c r="AW320" s="3">
        <v>313</v>
      </c>
      <c r="AX320" s="3" t="str">
        <f>IFERROR(MID(VLOOKUP($B320,Seqs!$A:$B,2,0),AY320,1),"")</f>
        <v>C</v>
      </c>
      <c r="AY320" s="3">
        <v>322</v>
      </c>
      <c r="AZ320" s="77" t="str">
        <f>VLOOKUP(B320,Classification!A:D,2,0)</f>
        <v>A</v>
      </c>
      <c r="BA320" s="94" t="str">
        <f>VLOOKUP(B320,Classification!A:D,4,0)</f>
        <v>Opsins</v>
      </c>
      <c r="BB320" s="27" t="b">
        <f t="shared" ref="BB320" si="2656">AND(E320&lt;G320,OR(G320&lt;I320,I320="-"),OR(I320&lt;K320,I320="-"),OR(K320&lt;M320,K320="-"),M320&lt;O320,OR(O320&lt;Q320,Q320="-"),OR(Q320&lt;S320,Q320="-"),OR(S320&lt;U320,S320="-"),U320&lt;W320,OR(W320&lt;Y320,Y320="-"),OR(Y320&lt;AA320,Y320="-"),OR(AA320&lt;AC320,AA320="-"),AC320&lt;AE320,OR(AE320&lt;AG320,AG320="-"),OR(AG320&lt;AI320,AG320="-"),OR(AI320&lt;AK320,AI320="-"),AK320&lt;AM320,AM320&lt;AO320,AO320&lt;AQ320,AQ320&lt;AS320,AS320&lt;AU320,OR(AU320&lt;AW320,AW320="-"),OR(AW320&lt;AY320,AW320="-"))</f>
        <v>1</v>
      </c>
      <c r="BC320" s="23">
        <f t="shared" ref="BC320" si="2657">_xlfn.AGGREGATE(9,6,CH320:CS320)-_xlfn.AGGREGATE(9,6,BV320:CG320)+12</f>
        <v>246</v>
      </c>
      <c r="BD320" s="2" t="s">
        <v>23</v>
      </c>
      <c r="BE320" s="3" t="s">
        <v>1291</v>
      </c>
      <c r="BF320" s="118">
        <v>3.3</v>
      </c>
      <c r="BG320" s="49" t="s">
        <v>1422</v>
      </c>
      <c r="BH320" s="49" t="s">
        <v>1422</v>
      </c>
      <c r="BI320" s="1"/>
      <c r="BJ320" s="70" t="s">
        <v>1287</v>
      </c>
      <c r="BK320" s="57" t="s">
        <v>1287</v>
      </c>
      <c r="BL320" s="57" t="s">
        <v>1287</v>
      </c>
      <c r="BM320" s="57" t="s">
        <v>1287</v>
      </c>
      <c r="BN320" s="57" t="s">
        <v>1287</v>
      </c>
      <c r="BO320" s="57" t="s">
        <v>1287</v>
      </c>
      <c r="BP320" s="57" t="s">
        <v>1287</v>
      </c>
      <c r="BQ320" s="57" t="s">
        <v>1287</v>
      </c>
      <c r="BR320" s="57" t="s">
        <v>1287</v>
      </c>
      <c r="BS320" s="57" t="s">
        <v>1287</v>
      </c>
      <c r="BT320" s="57" t="s">
        <v>1287</v>
      </c>
      <c r="BU320" s="57" t="s">
        <v>1287</v>
      </c>
      <c r="BV320" s="70">
        <f t="shared" ref="BV320" si="2658">E320</f>
        <v>33</v>
      </c>
      <c r="BW320" s="71">
        <f t="shared" ref="BW320" si="2659">I320</f>
        <v>66</v>
      </c>
      <c r="BX320" s="72">
        <f t="shared" ref="BX320" si="2660">M320</f>
        <v>70</v>
      </c>
      <c r="BY320" s="71">
        <f t="shared" ref="BY320" si="2661">Q320</f>
        <v>102</v>
      </c>
      <c r="BZ320" s="72">
        <f t="shared" ref="BZ320" si="2662">U320</f>
        <v>106</v>
      </c>
      <c r="CA320" s="71" t="str">
        <f t="shared" ref="CA320" si="2663">Y320</f>
        <v>-</v>
      </c>
      <c r="CB320" s="72">
        <f t="shared" ref="CB320" si="2664">AC320</f>
        <v>149</v>
      </c>
      <c r="CC320" s="71">
        <f t="shared" ref="CC320" si="2665">AG320</f>
        <v>187</v>
      </c>
      <c r="CD320" s="72">
        <f t="shared" ref="CD320" si="2666">AK320</f>
        <v>199</v>
      </c>
      <c r="CE320" s="71">
        <f t="shared" ref="CE320" si="2667">AO320</f>
        <v>243</v>
      </c>
      <c r="CF320" s="72">
        <f t="shared" ref="CF320" si="2668">AS320</f>
        <v>284</v>
      </c>
      <c r="CG320" s="71">
        <f t="shared" ref="CG320" si="2669">AW320</f>
        <v>313</v>
      </c>
      <c r="CH320" s="70">
        <f t="shared" ref="CH320" si="2670">G320</f>
        <v>65</v>
      </c>
      <c r="CI320" s="71">
        <f t="shared" ref="CI320" si="2671">K320</f>
        <v>69</v>
      </c>
      <c r="CJ320" s="72">
        <f t="shared" ref="CJ320" si="2672">O320</f>
        <v>101</v>
      </c>
      <c r="CK320" s="72">
        <f t="shared" ref="CK320" si="2673">S320</f>
        <v>105</v>
      </c>
      <c r="CL320" s="72">
        <f t="shared" ref="CL320" si="2674">W320</f>
        <v>140</v>
      </c>
      <c r="CM320" s="72" t="str">
        <f t="shared" ref="CM320" si="2675">AA320</f>
        <v>-</v>
      </c>
      <c r="CN320" s="72">
        <f t="shared" ref="CN320" si="2676">AE320</f>
        <v>174</v>
      </c>
      <c r="CO320" s="72">
        <f t="shared" ref="CO320" si="2677">AI320</f>
        <v>189</v>
      </c>
      <c r="CP320" s="72">
        <f t="shared" ref="CP320" si="2678">AM320</f>
        <v>235</v>
      </c>
      <c r="CQ320" s="72">
        <f t="shared" ref="CQ320" si="2679">AQ320</f>
        <v>278</v>
      </c>
      <c r="CR320" s="72">
        <f t="shared" ref="CR320" si="2680">AU320</f>
        <v>308</v>
      </c>
      <c r="CS320" s="72">
        <f t="shared" ref="CS320" si="2681">AY320</f>
        <v>322</v>
      </c>
      <c r="CT320" s="23">
        <f t="shared" ref="CT320" si="2682">M320-K320</f>
        <v>1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</row>
    <row r="321" spans="1:1030" x14ac:dyDescent="0.2">
      <c r="A321" s="3" t="str">
        <f t="shared" ref="A321" si="2683">CONCATENATE(B321,"_",C321)</f>
        <v>opsd_bovin_6OFJ</v>
      </c>
      <c r="B321" s="3" t="s">
        <v>919</v>
      </c>
      <c r="C321" s="3" t="s">
        <v>1591</v>
      </c>
      <c r="D321" s="3" t="str">
        <f>IFERROR(MID(VLOOKUP($B321,Seqs!$A:$B,2,0),E321,1),"")</f>
        <v>P</v>
      </c>
      <c r="E321" s="3">
        <v>34</v>
      </c>
      <c r="F321" s="3" t="str">
        <f>IFERROR(MID(VLOOKUP($B321,Seqs!$A:$B,2,0),G321,1),"")</f>
        <v>H</v>
      </c>
      <c r="G321" s="3">
        <v>65</v>
      </c>
      <c r="H321" s="3" t="str">
        <f>IFERROR(MID(VLOOKUP($B321,Seqs!$A:$B,2,0),I321,1),"")</f>
        <v/>
      </c>
      <c r="I321" s="23" t="s">
        <v>23</v>
      </c>
      <c r="J321" s="3" t="str">
        <f>IFERROR(MID(VLOOKUP($B321,Seqs!$A:$B,2,0),K321,1),"")</f>
        <v/>
      </c>
      <c r="K321" s="23" t="s">
        <v>23</v>
      </c>
      <c r="L321" s="3" t="str">
        <f>IFERROR(MID(VLOOKUP($B321,Seqs!$A:$B,2,0),M321,1),"")</f>
        <v>T</v>
      </c>
      <c r="M321" s="3">
        <v>70</v>
      </c>
      <c r="N321" s="3" t="str">
        <f>IFERROR(MID(VLOOKUP($B321,Seqs!$A:$B,2,0),O321,1),"")</f>
        <v>G</v>
      </c>
      <c r="O321" s="3">
        <v>101</v>
      </c>
      <c r="P321" s="3" t="str">
        <f>IFERROR(MID(VLOOKUP($B321,Seqs!$A:$B,2,0),Q321,1),"")</f>
        <v>Y</v>
      </c>
      <c r="Q321" s="3">
        <v>102</v>
      </c>
      <c r="R321" s="3" t="str">
        <f>IFERROR(MID(VLOOKUP($B321,Seqs!$A:$B,2,0),S321,1),"")</f>
        <v>F</v>
      </c>
      <c r="S321" s="3">
        <v>105</v>
      </c>
      <c r="T321" s="3" t="str">
        <f>IFERROR(MID(VLOOKUP($B321,Seqs!$A:$B,2,0),U321,1),"")</f>
        <v>G</v>
      </c>
      <c r="U321" s="3">
        <v>106</v>
      </c>
      <c r="V321" s="3" t="str">
        <f>IFERROR(MID(VLOOKUP($B321,Seqs!$A:$B,2,0),W321,1),"")</f>
        <v>K</v>
      </c>
      <c r="W321" s="3">
        <v>141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A</v>
      </c>
      <c r="AC321" s="3">
        <v>153</v>
      </c>
      <c r="AD321" s="3" t="str">
        <f>IFERROR(MID(VLOOKUP($B321,Seqs!$A:$B,2,0),AE321,1),"")</f>
        <v>V</v>
      </c>
      <c r="AE321" s="3">
        <v>173</v>
      </c>
      <c r="AF321" s="3" t="str">
        <f>IFERROR(MID(VLOOKUP($B321,Seqs!$A:$B,2,0),AG321,1),"")</f>
        <v>C</v>
      </c>
      <c r="AG321" s="3">
        <v>187</v>
      </c>
      <c r="AH321" s="3" t="str">
        <f>IFERROR(MID(VLOOKUP($B321,Seqs!$A:$B,2,0),AI321,1),"")</f>
        <v>I</v>
      </c>
      <c r="AI321" s="3">
        <v>189</v>
      </c>
      <c r="AJ321" s="3" t="str">
        <f>IFERROR(MID(VLOOKUP($B321,Seqs!$A:$B,2,0),AK321,1),"")</f>
        <v>N</v>
      </c>
      <c r="AK321" s="3">
        <v>200</v>
      </c>
      <c r="AL321" s="3" t="str">
        <f>IFERROR(MID(VLOOKUP($B321,Seqs!$A:$B,2,0),AM321,1),"")</f>
        <v>L</v>
      </c>
      <c r="AM321" s="3">
        <v>226</v>
      </c>
      <c r="AN321" s="3" t="str">
        <f>IFERROR(MID(VLOOKUP($B321,Seqs!$A:$B,2,0),AO321,1),"")</f>
        <v>A</v>
      </c>
      <c r="AO321" s="3">
        <v>241</v>
      </c>
      <c r="AP321" s="3" t="str">
        <f>IFERROR(MID(VLOOKUP($B321,Seqs!$A:$B,2,0),AQ321,1),"")</f>
        <v>H</v>
      </c>
      <c r="AQ321" s="3">
        <v>278</v>
      </c>
      <c r="AR321" s="3" t="str">
        <f>IFERROR(MID(VLOOKUP($B321,Seqs!$A:$B,2,0),AS321,1),"")</f>
        <v>M</v>
      </c>
      <c r="AS321" s="3">
        <v>288</v>
      </c>
      <c r="AT321" s="3" t="str">
        <f>IFERROR(MID(VLOOKUP($B321,Seqs!$A:$B,2,0),AU321,1),"")</f>
        <v>M</v>
      </c>
      <c r="AU321" s="3">
        <v>309</v>
      </c>
      <c r="AV321" s="3" t="str">
        <f>IFERROR(MID(VLOOKUP($B321,Seqs!$A:$B,2,0),AW321,1),"")</f>
        <v>N</v>
      </c>
      <c r="AW321" s="3">
        <v>310</v>
      </c>
      <c r="AX321" s="3" t="str">
        <f>IFERROR(MID(VLOOKUP($B321,Seqs!$A:$B,2,0),AY321,1),"")</f>
        <v>T</v>
      </c>
      <c r="AY321" s="3">
        <v>320</v>
      </c>
      <c r="AZ321" s="77" t="str">
        <f>VLOOKUP(B321,Classification!A:D,2,0)</f>
        <v>A</v>
      </c>
      <c r="BA321" s="94" t="str">
        <f>VLOOKUP(B321,Classification!A:D,4,0)</f>
        <v>Opsins</v>
      </c>
      <c r="BB321" s="27" t="b">
        <f t="shared" ref="BB321" si="2684">AND(E321&lt;G321,OR(G321&lt;I321,I321="-"),OR(I321&lt;K321,I321="-"),OR(K321&lt;M321,K321="-"),M321&lt;O321,OR(O321&lt;Q321,Q321="-"),OR(Q321&lt;S321,Q321="-"),OR(S321&lt;U321,S321="-"),U321&lt;W321,OR(W321&lt;Y321,Y321="-"),OR(Y321&lt;AA321,Y321="-"),OR(AA321&lt;AC321,AA321="-"),AC321&lt;AE321,OR(AE321&lt;AG321,AG321="-"),OR(AG321&lt;AI321,AG321="-"),OR(AI321&lt;AK321,AI321="-"),AK321&lt;AM321,AM321&lt;AO321,AO321&lt;AQ321,AQ321&lt;AS321,AS321&lt;AU321,OR(AU321&lt;AW321,AW321="-"),OR(AW321&lt;AY321,AW321="-"))</f>
        <v>1</v>
      </c>
      <c r="BC321" s="23">
        <f t="shared" ref="BC321" si="2685">_xlfn.AGGREGATE(9,6,CH321:CS321)-_xlfn.AGGREGATE(9,6,BV321:CG321)+12</f>
        <v>228</v>
      </c>
      <c r="BD321" s="2" t="s">
        <v>1429</v>
      </c>
      <c r="BE321" s="3" t="s">
        <v>1428</v>
      </c>
      <c r="BF321" s="118">
        <v>4.5</v>
      </c>
      <c r="BG321" s="49" t="s">
        <v>1</v>
      </c>
      <c r="BH321" s="49" t="s">
        <v>1</v>
      </c>
      <c r="BI321" s="1"/>
      <c r="BJ321" s="70" t="s">
        <v>1287</v>
      </c>
      <c r="BK321" s="57" t="s">
        <v>1287</v>
      </c>
      <c r="BL321" s="57" t="s">
        <v>1287</v>
      </c>
      <c r="BM321" s="57" t="s">
        <v>1287</v>
      </c>
      <c r="BN321" s="57" t="s">
        <v>1287</v>
      </c>
      <c r="BO321" s="57" t="s">
        <v>1287</v>
      </c>
      <c r="BP321" s="57" t="s">
        <v>1287</v>
      </c>
      <c r="BQ321" s="57" t="s">
        <v>1287</v>
      </c>
      <c r="BR321" s="57" t="s">
        <v>1287</v>
      </c>
      <c r="BS321" s="57" t="s">
        <v>1287</v>
      </c>
      <c r="BT321" s="57" t="s">
        <v>1287</v>
      </c>
      <c r="BU321" s="57" t="s">
        <v>1287</v>
      </c>
      <c r="BV321" s="70">
        <f t="shared" ref="BV321" si="2686">E321</f>
        <v>34</v>
      </c>
      <c r="BW321" s="71" t="str">
        <f t="shared" ref="BW321" si="2687">I321</f>
        <v>-</v>
      </c>
      <c r="BX321" s="72">
        <f t="shared" ref="BX321" si="2688">M321</f>
        <v>70</v>
      </c>
      <c r="BY321" s="71">
        <f t="shared" ref="BY321" si="2689">Q321</f>
        <v>102</v>
      </c>
      <c r="BZ321" s="72">
        <f t="shared" ref="BZ321" si="2690">U321</f>
        <v>106</v>
      </c>
      <c r="CA321" s="71" t="str">
        <f t="shared" ref="CA321" si="2691">Y321</f>
        <v>-</v>
      </c>
      <c r="CB321" s="72">
        <f t="shared" ref="CB321" si="2692">AC321</f>
        <v>153</v>
      </c>
      <c r="CC321" s="71">
        <f t="shared" ref="CC321" si="2693">AG321</f>
        <v>187</v>
      </c>
      <c r="CD321" s="72">
        <f t="shared" ref="CD321" si="2694">AK321</f>
        <v>200</v>
      </c>
      <c r="CE321" s="71">
        <f t="shared" ref="CE321" si="2695">AO321</f>
        <v>241</v>
      </c>
      <c r="CF321" s="72">
        <f t="shared" ref="CF321" si="2696">AS321</f>
        <v>288</v>
      </c>
      <c r="CG321" s="71">
        <f t="shared" ref="CG321" si="2697">AW321</f>
        <v>310</v>
      </c>
      <c r="CH321" s="70">
        <f t="shared" ref="CH321" si="2698">G321</f>
        <v>65</v>
      </c>
      <c r="CI321" s="71" t="str">
        <f t="shared" ref="CI321" si="2699">K321</f>
        <v>-</v>
      </c>
      <c r="CJ321" s="72">
        <f t="shared" ref="CJ321" si="2700">O321</f>
        <v>101</v>
      </c>
      <c r="CK321" s="72">
        <f t="shared" ref="CK321" si="2701">S321</f>
        <v>105</v>
      </c>
      <c r="CL321" s="72">
        <f t="shared" ref="CL321" si="2702">W321</f>
        <v>141</v>
      </c>
      <c r="CM321" s="72" t="str">
        <f t="shared" ref="CM321" si="2703">AA321</f>
        <v>-</v>
      </c>
      <c r="CN321" s="72">
        <f t="shared" ref="CN321" si="2704">AE321</f>
        <v>173</v>
      </c>
      <c r="CO321" s="72">
        <f t="shared" ref="CO321" si="2705">AI321</f>
        <v>189</v>
      </c>
      <c r="CP321" s="72">
        <f t="shared" ref="CP321" si="2706">AM321</f>
        <v>226</v>
      </c>
      <c r="CQ321" s="72">
        <f t="shared" ref="CQ321" si="2707">AQ321</f>
        <v>278</v>
      </c>
      <c r="CR321" s="72">
        <f t="shared" ref="CR321" si="2708">AU321</f>
        <v>309</v>
      </c>
      <c r="CS321" s="72">
        <f t="shared" ref="CS321" si="2709">AY321</f>
        <v>320</v>
      </c>
      <c r="CT321" s="23" t="e">
        <f t="shared" ref="CT321" si="2710">M321-K321</f>
        <v>#VALUE!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30" s="12" customFormat="1" x14ac:dyDescent="0.2">
      <c r="A322" s="9" t="str">
        <f t="shared" ref="A322" si="2711">CONCATENATE(B322,"_",C322)</f>
        <v>opsd_bovin_6NWE</v>
      </c>
      <c r="B322" s="9" t="s">
        <v>919</v>
      </c>
      <c r="C322" s="9" t="s">
        <v>1654</v>
      </c>
      <c r="D322" s="9" t="str">
        <f>IFERROR(MID(VLOOKUP($B322,Seqs!$A:$B,2,0),E322,1),"")</f>
        <v>E</v>
      </c>
      <c r="E322" s="9">
        <v>33</v>
      </c>
      <c r="F322" s="9" t="str">
        <f>IFERROR(MID(VLOOKUP($B322,Seqs!$A:$B,2,0),G322,1),"")</f>
        <v>H</v>
      </c>
      <c r="G322" s="9">
        <v>65</v>
      </c>
      <c r="H322" s="9" t="str">
        <f>IFERROR(MID(VLOOKUP($B322,Seqs!$A:$B,2,0),I322,1),"")</f>
        <v>K</v>
      </c>
      <c r="I322" s="109">
        <v>66</v>
      </c>
      <c r="J322" s="9" t="str">
        <f>IFERROR(MID(VLOOKUP($B322,Seqs!$A:$B,2,0),K322,1),"")</f>
        <v>R</v>
      </c>
      <c r="K322" s="109">
        <v>69</v>
      </c>
      <c r="L322" s="9" t="str">
        <f>IFERROR(MID(VLOOKUP($B322,Seqs!$A:$B,2,0),M322,1),"")</f>
        <v>T</v>
      </c>
      <c r="M322" s="9">
        <v>70</v>
      </c>
      <c r="N322" s="9" t="str">
        <f>IFERROR(MID(VLOOKUP($B322,Seqs!$A:$B,2,0),O322,1),"")</f>
        <v>G</v>
      </c>
      <c r="O322" s="9">
        <v>101</v>
      </c>
      <c r="P322" s="9" t="str">
        <f>IFERROR(MID(VLOOKUP($B322,Seqs!$A:$B,2,0),Q322,1),"")</f>
        <v>Y</v>
      </c>
      <c r="Q322" s="9">
        <v>102</v>
      </c>
      <c r="R322" s="9" t="str">
        <f>IFERROR(MID(VLOOKUP($B322,Seqs!$A:$B,2,0),S322,1),"")</f>
        <v>F</v>
      </c>
      <c r="S322" s="9">
        <v>105</v>
      </c>
      <c r="T322" s="9" t="str">
        <f>IFERROR(MID(VLOOKUP($B322,Seqs!$A:$B,2,0),U322,1),"")</f>
        <v>G</v>
      </c>
      <c r="U322" s="9">
        <v>106</v>
      </c>
      <c r="V322" s="9" t="str">
        <f>IFERROR(MID(VLOOKUP($B322,Seqs!$A:$B,2,0),W322,1),"")</f>
        <v>K</v>
      </c>
      <c r="W322" s="9">
        <v>141</v>
      </c>
      <c r="X322" s="9" t="str">
        <f>IFERROR(MID(VLOOKUP($B322,Seqs!$A:$B,2,0),Y322,1),"")</f>
        <v/>
      </c>
      <c r="Y322" s="9" t="s">
        <v>23</v>
      </c>
      <c r="Z322" s="9" t="str">
        <f>IFERROR(MID(VLOOKUP($B322,Seqs!$A:$B,2,0),AA322,1),"")</f>
        <v/>
      </c>
      <c r="AA322" s="9" t="s">
        <v>23</v>
      </c>
      <c r="AB322" s="9" t="str">
        <f>IFERROR(MID(VLOOKUP($B322,Seqs!$A:$B,2,0),AC322,1),"")</f>
        <v>G</v>
      </c>
      <c r="AC322" s="9">
        <v>149</v>
      </c>
      <c r="AD322" s="9" t="str">
        <f>IFERROR(MID(VLOOKUP($B322,Seqs!$A:$B,2,0),AE322,1),"")</f>
        <v>V</v>
      </c>
      <c r="AE322" s="9">
        <v>173</v>
      </c>
      <c r="AF322" s="9" t="str">
        <f>IFERROR(MID(VLOOKUP($B322,Seqs!$A:$B,2,0),AG322,1),"")</f>
        <v>C</v>
      </c>
      <c r="AG322" s="9">
        <v>187</v>
      </c>
      <c r="AH322" s="9" t="str">
        <f>IFERROR(MID(VLOOKUP($B322,Seqs!$A:$B,2,0),AI322,1),"")</f>
        <v>I</v>
      </c>
      <c r="AI322" s="9">
        <v>189</v>
      </c>
      <c r="AJ322" s="9" t="str">
        <f>IFERROR(MID(VLOOKUP($B322,Seqs!$A:$B,2,0),AK322,1),"")</f>
        <v>N</v>
      </c>
      <c r="AK322" s="9">
        <v>199</v>
      </c>
      <c r="AL322" s="9" t="str">
        <f>IFERROR(MID(VLOOKUP($B322,Seqs!$A:$B,2,0),AM322,1),"")</f>
        <v>Q</v>
      </c>
      <c r="AM322" s="9">
        <v>237</v>
      </c>
      <c r="AN322" s="9" t="str">
        <f>IFERROR(MID(VLOOKUP($B322,Seqs!$A:$B,2,0),AO322,1),"")</f>
        <v>S</v>
      </c>
      <c r="AO322" s="9">
        <v>240</v>
      </c>
      <c r="AP322" s="9" t="str">
        <f>IFERROR(MID(VLOOKUP($B322,Seqs!$A:$B,2,0),AQ322,1),"")</f>
        <v>H</v>
      </c>
      <c r="AQ322" s="9">
        <v>278</v>
      </c>
      <c r="AR322" s="9" t="str">
        <f>IFERROR(MID(VLOOKUP($B322,Seqs!$A:$B,2,0),AS322,1),"")</f>
        <v>G</v>
      </c>
      <c r="AS322" s="9">
        <v>284</v>
      </c>
      <c r="AT322" s="9" t="str">
        <f>IFERROR(MID(VLOOKUP($B322,Seqs!$A:$B,2,0),AU322,1),"")</f>
        <v>M</v>
      </c>
      <c r="AU322" s="9">
        <v>309</v>
      </c>
      <c r="AV322" s="9" t="str">
        <f>IFERROR(MID(VLOOKUP($B322,Seqs!$A:$B,2,0),AW322,1),"")</f>
        <v>N</v>
      </c>
      <c r="AW322" s="9">
        <v>310</v>
      </c>
      <c r="AX322" s="9" t="str">
        <f>IFERROR(MID(VLOOKUP($B322,Seqs!$A:$B,2,0),AY322,1),"")</f>
        <v>C</v>
      </c>
      <c r="AY322" s="9">
        <v>323</v>
      </c>
      <c r="AZ322" s="110" t="str">
        <f>VLOOKUP(B322,Classification!A:D,2,0)</f>
        <v>A</v>
      </c>
      <c r="BA322" s="98" t="str">
        <f>VLOOKUP(B322,Classification!A:D,4,0)</f>
        <v>Opsins</v>
      </c>
      <c r="BB322" s="36" t="b">
        <f t="shared" ref="BB322" si="2712">AND(E322&lt;G322,OR(G322&lt;I322,I322="-"),OR(I322&lt;K322,I322="-"),OR(K322&lt;M322,K322="-"),M322&lt;O322,OR(O322&lt;Q322,Q322="-"),OR(Q322&lt;S322,Q322="-"),OR(S322&lt;U322,S322="-"),U322&lt;W322,OR(W322&lt;Y322,Y322="-"),OR(Y322&lt;AA322,Y322="-"),OR(AA322&lt;AC322,AA322="-"),AC322&lt;AE322,OR(AE322&lt;AG322,AG322="-"),OR(AG322&lt;AI322,AG322="-"),OR(AI322&lt;AK322,AI322="-"),AK322&lt;AM322,AM322&lt;AO322,AO322&lt;AQ322,AQ322&lt;AS322,AS322&lt;AU322,OR(AU322&lt;AW322,AW322="-"),OR(AW322&lt;AY322,AW322="-"))</f>
        <v>1</v>
      </c>
      <c r="BC322" s="109">
        <f t="shared" ref="BC322" si="2713">_xlfn.AGGREGATE(9,6,CH322:CS322)-_xlfn.AGGREGATE(9,6,BV322:CG322)+12</f>
        <v>256</v>
      </c>
      <c r="BD322" s="40" t="s">
        <v>23</v>
      </c>
      <c r="BE322" s="9" t="s">
        <v>1291</v>
      </c>
      <c r="BF322" s="119">
        <v>2.71</v>
      </c>
      <c r="BG322" s="51" t="s">
        <v>1</v>
      </c>
      <c r="BH322" s="51" t="s">
        <v>1</v>
      </c>
      <c r="BJ322" s="111" t="s">
        <v>1287</v>
      </c>
      <c r="BK322" s="112" t="s">
        <v>1287</v>
      </c>
      <c r="BL322" s="112" t="s">
        <v>1287</v>
      </c>
      <c r="BM322" s="112" t="s">
        <v>1287</v>
      </c>
      <c r="BN322" s="112" t="s">
        <v>1287</v>
      </c>
      <c r="BO322" s="112" t="s">
        <v>1287</v>
      </c>
      <c r="BP322" s="112" t="s">
        <v>1287</v>
      </c>
      <c r="BQ322" s="112" t="s">
        <v>1287</v>
      </c>
      <c r="BR322" s="112" t="s">
        <v>1287</v>
      </c>
      <c r="BS322" s="112" t="s">
        <v>1287</v>
      </c>
      <c r="BT322" s="112" t="s">
        <v>1287</v>
      </c>
      <c r="BU322" s="112" t="s">
        <v>1287</v>
      </c>
      <c r="BV322" s="111">
        <f t="shared" ref="BV322" si="2714">E322</f>
        <v>33</v>
      </c>
      <c r="BW322" s="113">
        <f t="shared" ref="BW322" si="2715">I322</f>
        <v>66</v>
      </c>
      <c r="BX322" s="114">
        <f t="shared" ref="BX322" si="2716">M322</f>
        <v>70</v>
      </c>
      <c r="BY322" s="113">
        <f t="shared" ref="BY322" si="2717">Q322</f>
        <v>102</v>
      </c>
      <c r="BZ322" s="114">
        <f t="shared" ref="BZ322" si="2718">U322</f>
        <v>106</v>
      </c>
      <c r="CA322" s="113" t="str">
        <f t="shared" ref="CA322" si="2719">Y322</f>
        <v>-</v>
      </c>
      <c r="CB322" s="114">
        <f t="shared" ref="CB322" si="2720">AC322</f>
        <v>149</v>
      </c>
      <c r="CC322" s="113">
        <f t="shared" ref="CC322" si="2721">AG322</f>
        <v>187</v>
      </c>
      <c r="CD322" s="114">
        <f t="shared" ref="CD322" si="2722">AK322</f>
        <v>199</v>
      </c>
      <c r="CE322" s="113">
        <f t="shared" ref="CE322" si="2723">AO322</f>
        <v>240</v>
      </c>
      <c r="CF322" s="114">
        <f t="shared" ref="CF322" si="2724">AS322</f>
        <v>284</v>
      </c>
      <c r="CG322" s="113">
        <f t="shared" ref="CG322" si="2725">AW322</f>
        <v>310</v>
      </c>
      <c r="CH322" s="111">
        <f t="shared" ref="CH322" si="2726">G322</f>
        <v>65</v>
      </c>
      <c r="CI322" s="113">
        <f t="shared" ref="CI322" si="2727">K322</f>
        <v>69</v>
      </c>
      <c r="CJ322" s="114">
        <f t="shared" ref="CJ322" si="2728">O322</f>
        <v>101</v>
      </c>
      <c r="CK322" s="114">
        <f t="shared" ref="CK322" si="2729">S322</f>
        <v>105</v>
      </c>
      <c r="CL322" s="114">
        <f t="shared" ref="CL322" si="2730">W322</f>
        <v>141</v>
      </c>
      <c r="CM322" s="114" t="str">
        <f t="shared" ref="CM322" si="2731">AA322</f>
        <v>-</v>
      </c>
      <c r="CN322" s="114">
        <f t="shared" ref="CN322" si="2732">AE322</f>
        <v>173</v>
      </c>
      <c r="CO322" s="114">
        <f t="shared" ref="CO322" si="2733">AI322</f>
        <v>189</v>
      </c>
      <c r="CP322" s="114">
        <f t="shared" ref="CP322" si="2734">AM322</f>
        <v>237</v>
      </c>
      <c r="CQ322" s="114">
        <f t="shared" ref="CQ322" si="2735">AQ322</f>
        <v>278</v>
      </c>
      <c r="CR322" s="114">
        <f t="shared" ref="CR322" si="2736">AU322</f>
        <v>309</v>
      </c>
      <c r="CS322" s="114">
        <f t="shared" ref="CS322" si="2737">AY322</f>
        <v>323</v>
      </c>
      <c r="CT322" s="109">
        <f t="shared" ref="CT322" si="2738">M322-K322</f>
        <v>1</v>
      </c>
    </row>
    <row r="323" spans="1:1030" x14ac:dyDescent="0.2">
      <c r="A323" s="3" t="str">
        <f t="shared" si="2541"/>
        <v>opsd_human__wt</v>
      </c>
      <c r="B323" s="3" t="s">
        <v>339</v>
      </c>
      <c r="C323" s="3" t="s">
        <v>100</v>
      </c>
      <c r="D323" s="3" t="str">
        <f>IFERROR(MID(VLOOKUP($B323,Seqs!$A:$B,2,0),E323,1),"")</f>
        <v>P</v>
      </c>
      <c r="E323" s="3">
        <v>34</v>
      </c>
      <c r="F323" s="3" t="str">
        <f>IFERROR(MID(VLOOKUP($B323,Seqs!$A:$B,2,0),G323,1),"")</f>
        <v>H</v>
      </c>
      <c r="G323" s="3">
        <v>65</v>
      </c>
      <c r="H323" s="3" t="str">
        <f>IFERROR(MID(VLOOKUP($B323,Seqs!$A:$B,2,0),I323,1),"")</f>
        <v>K</v>
      </c>
      <c r="I323" s="23">
        <v>66</v>
      </c>
      <c r="J323" s="3" t="str">
        <f>IFERROR(MID(VLOOKUP($B323,Seqs!$A:$B,2,0),K323,1),"")</f>
        <v>R</v>
      </c>
      <c r="K323" s="23">
        <v>69</v>
      </c>
      <c r="L323" s="3" t="str">
        <f>IFERROR(MID(VLOOKUP($B323,Seqs!$A:$B,2,0),M323,1),"")</f>
        <v>T</v>
      </c>
      <c r="M323" s="3">
        <v>70</v>
      </c>
      <c r="N323" s="3" t="str">
        <f>IFERROR(MID(VLOOKUP($B323,Seqs!$A:$B,2,0),O323,1),"")</f>
        <v>H</v>
      </c>
      <c r="O323" s="3">
        <v>100</v>
      </c>
      <c r="P323" s="3" t="str">
        <f>IFERROR(MID(VLOOKUP($B323,Seqs!$A:$B,2,0),Q323,1),"")</f>
        <v>Y</v>
      </c>
      <c r="Q323" s="3">
        <v>102</v>
      </c>
      <c r="R323" s="3" t="str">
        <f>IFERROR(MID(VLOOKUP($B323,Seqs!$A:$B,2,0),S323,1),"")</f>
        <v>F</v>
      </c>
      <c r="S323" s="3">
        <v>105</v>
      </c>
      <c r="T323" s="3" t="str">
        <f>IFERROR(MID(VLOOKUP($B323,Seqs!$A:$B,2,0),U323,1),"")</f>
        <v>G</v>
      </c>
      <c r="U323" s="3">
        <v>106</v>
      </c>
      <c r="V323" s="3" t="str">
        <f>IFERROR(MID(VLOOKUP($B323,Seqs!$A:$B,2,0),W323,1),"")</f>
        <v>K</v>
      </c>
      <c r="W323" s="3">
        <v>141</v>
      </c>
      <c r="X323" s="3" t="str">
        <f>IFERROR(MID(VLOOKUP($B323,Seqs!$A:$B,2,0),Y323,1),"")</f>
        <v>P</v>
      </c>
      <c r="Y323" s="3">
        <v>142</v>
      </c>
      <c r="Z323" s="3" t="str">
        <f>IFERROR(MID(VLOOKUP($B323,Seqs!$A:$B,2,0),AA323,1),"")</f>
        <v>F</v>
      </c>
      <c r="AA323" s="3">
        <v>148</v>
      </c>
      <c r="AB323" s="3" t="str">
        <f>IFERROR(MID(VLOOKUP($B323,Seqs!$A:$B,2,0),AC323,1),"")</f>
        <v>G</v>
      </c>
      <c r="AC323" s="9">
        <v>149</v>
      </c>
      <c r="AD323" s="3" t="str">
        <f>IFERROR(MID(VLOOKUP($B323,Seqs!$A:$B,2,0),AE323,1),"")</f>
        <v>A</v>
      </c>
      <c r="AE323" s="3">
        <v>173</v>
      </c>
      <c r="AF323" s="3" t="str">
        <f>IFERROR(MID(VLOOKUP($B323,Seqs!$A:$B,2,0),AG323,1),"")</f>
        <v>C</v>
      </c>
      <c r="AG323" s="3">
        <v>187</v>
      </c>
      <c r="AH323" s="3" t="str">
        <f>IFERROR(MID(VLOOKUP($B323,Seqs!$A:$B,2,0),AI323,1),"")</f>
        <v>I</v>
      </c>
      <c r="AI323" s="3">
        <v>189</v>
      </c>
      <c r="AJ323" s="3" t="str">
        <f>IFERROR(MID(VLOOKUP($B323,Seqs!$A:$B,2,0),AK323,1),"")</f>
        <v>N</v>
      </c>
      <c r="AK323" s="3">
        <v>199</v>
      </c>
      <c r="AL323" s="3" t="str">
        <f>IFERROR(MID(VLOOKUP($B323,Seqs!$A:$B,2,0),AM323,1),"")</f>
        <v>Q</v>
      </c>
      <c r="AM323" s="3">
        <v>237</v>
      </c>
      <c r="AN323" s="3" t="str">
        <f>IFERROR(MID(VLOOKUP($B323,Seqs!$A:$B,2,0),AO323,1),"")</f>
        <v>A</v>
      </c>
      <c r="AO323" s="3">
        <v>241</v>
      </c>
      <c r="AP323" s="3" t="str">
        <f>IFERROR(MID(VLOOKUP($B323,Seqs!$A:$B,2,0),AQ323,1),"")</f>
        <v>H</v>
      </c>
      <c r="AQ323" s="3">
        <v>278</v>
      </c>
      <c r="AR323" s="3" t="str">
        <f>IFERROR(MID(VLOOKUP($B323,Seqs!$A:$B,2,0),AS323,1),"")</f>
        <v>G</v>
      </c>
      <c r="AS323" s="3">
        <v>284</v>
      </c>
      <c r="AT323" s="3" t="str">
        <f>IFERROR(MID(VLOOKUP($B323,Seqs!$A:$B,2,0),AU323,1),"")</f>
        <v>M</v>
      </c>
      <c r="AU323" s="3">
        <v>309</v>
      </c>
      <c r="AV323" s="3" t="str">
        <f>IFERROR(MID(VLOOKUP($B323,Seqs!$A:$B,2,0),AW323,1),"")</f>
        <v>N</v>
      </c>
      <c r="AW323" s="3">
        <v>310</v>
      </c>
      <c r="AX323" s="3" t="str">
        <f>IFERROR(MID(VLOOKUP($B323,Seqs!$A:$B,2,0),AY323,1),"")</f>
        <v>C</v>
      </c>
      <c r="AY323" s="3">
        <v>322</v>
      </c>
      <c r="AZ323" s="77" t="str">
        <f>VLOOKUP(B323,Classification!A:D,2,0)</f>
        <v>A</v>
      </c>
      <c r="BA323" s="94" t="str">
        <f>VLOOKUP(B323,Classification!A:D,4,0)</f>
        <v>Opsins</v>
      </c>
      <c r="BB323" s="27" t="b">
        <f t="shared" si="2542"/>
        <v>1</v>
      </c>
      <c r="BC323" s="23">
        <f t="shared" si="2515"/>
        <v>258</v>
      </c>
      <c r="BD323" s="56" t="s">
        <v>23</v>
      </c>
      <c r="BE323" s="3" t="s">
        <v>23</v>
      </c>
      <c r="BF323" s="118" t="s">
        <v>23</v>
      </c>
      <c r="BG323" s="49" t="s">
        <v>1372</v>
      </c>
      <c r="BH323" s="49" t="s">
        <v>1377</v>
      </c>
      <c r="BI323" s="1"/>
      <c r="BJ323" s="70" t="s">
        <v>1287</v>
      </c>
      <c r="BK323" s="57" t="s">
        <v>1287</v>
      </c>
      <c r="BL323" s="57" t="s">
        <v>1287</v>
      </c>
      <c r="BM323" s="57" t="s">
        <v>1287</v>
      </c>
      <c r="BN323" s="57" t="s">
        <v>1287</v>
      </c>
      <c r="BO323" s="57" t="s">
        <v>1287</v>
      </c>
      <c r="BP323" s="57" t="s">
        <v>1287</v>
      </c>
      <c r="BQ323" s="57" t="s">
        <v>1287</v>
      </c>
      <c r="BR323" s="57" t="s">
        <v>1287</v>
      </c>
      <c r="BS323" s="57" t="s">
        <v>1287</v>
      </c>
      <c r="BT323" s="57" t="s">
        <v>1287</v>
      </c>
      <c r="BU323" s="57" t="s">
        <v>1287</v>
      </c>
      <c r="BV323" s="70">
        <f t="shared" si="2516"/>
        <v>34</v>
      </c>
      <c r="BW323" s="71">
        <f t="shared" si="2517"/>
        <v>66</v>
      </c>
      <c r="BX323" s="72">
        <f t="shared" si="2518"/>
        <v>70</v>
      </c>
      <c r="BY323" s="71">
        <f t="shared" si="2519"/>
        <v>102</v>
      </c>
      <c r="BZ323" s="72">
        <f t="shared" si="2520"/>
        <v>106</v>
      </c>
      <c r="CA323" s="71">
        <f t="shared" si="2521"/>
        <v>142</v>
      </c>
      <c r="CB323" s="72">
        <f t="shared" si="2522"/>
        <v>149</v>
      </c>
      <c r="CC323" s="71">
        <f t="shared" si="2523"/>
        <v>187</v>
      </c>
      <c r="CD323" s="72">
        <f t="shared" si="2524"/>
        <v>199</v>
      </c>
      <c r="CE323" s="71">
        <f t="shared" si="2525"/>
        <v>241</v>
      </c>
      <c r="CF323" s="72">
        <f t="shared" si="2526"/>
        <v>284</v>
      </c>
      <c r="CG323" s="71">
        <f t="shared" si="2527"/>
        <v>310</v>
      </c>
      <c r="CH323" s="70">
        <f t="shared" si="2528"/>
        <v>65</v>
      </c>
      <c r="CI323" s="71">
        <f t="shared" si="2529"/>
        <v>69</v>
      </c>
      <c r="CJ323" s="72">
        <f t="shared" si="2530"/>
        <v>100</v>
      </c>
      <c r="CK323" s="72">
        <f t="shared" si="2531"/>
        <v>105</v>
      </c>
      <c r="CL323" s="72">
        <f t="shared" si="2532"/>
        <v>141</v>
      </c>
      <c r="CM323" s="72">
        <f t="shared" si="2533"/>
        <v>148</v>
      </c>
      <c r="CN323" s="72">
        <f t="shared" si="2534"/>
        <v>173</v>
      </c>
      <c r="CO323" s="72">
        <f t="shared" si="2535"/>
        <v>189</v>
      </c>
      <c r="CP323" s="72">
        <f t="shared" si="2536"/>
        <v>237</v>
      </c>
      <c r="CQ323" s="72">
        <f t="shared" si="2537"/>
        <v>278</v>
      </c>
      <c r="CR323" s="72">
        <f t="shared" si="2538"/>
        <v>309</v>
      </c>
      <c r="CS323" s="72">
        <f t="shared" si="2539"/>
        <v>322</v>
      </c>
      <c r="CT323" s="23">
        <f t="shared" si="2540"/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30" x14ac:dyDescent="0.2">
      <c r="A324" s="3" t="str">
        <f t="shared" si="2541"/>
        <v>opsd_human_4ZWJ</v>
      </c>
      <c r="B324" s="3" t="s">
        <v>339</v>
      </c>
      <c r="C324" s="3" t="s">
        <v>55</v>
      </c>
      <c r="D324" s="3" t="str">
        <f>IFERROR(MID(VLOOKUP($B324,Seqs!$A:$B,2,0),E324,1),"")</f>
        <v>P</v>
      </c>
      <c r="E324" s="3">
        <v>34</v>
      </c>
      <c r="F324" s="3" t="str">
        <f>IFERROR(MID(VLOOKUP($B324,Seqs!$A:$B,2,0),G324,1),"")</f>
        <v>H</v>
      </c>
      <c r="G324" s="3">
        <v>65</v>
      </c>
      <c r="H324" s="3" t="str">
        <f>IFERROR(MID(VLOOKUP($B324,Seqs!$A:$B,2,0),I324,1),"")</f>
        <v>K</v>
      </c>
      <c r="I324" s="23">
        <v>66</v>
      </c>
      <c r="J324" s="3" t="str">
        <f>IFERROR(MID(VLOOKUP($B324,Seqs!$A:$B,2,0),K324,1),"")</f>
        <v>R</v>
      </c>
      <c r="K324" s="23">
        <v>69</v>
      </c>
      <c r="L324" s="3" t="str">
        <f>IFERROR(MID(VLOOKUP($B324,Seqs!$A:$B,2,0),M324,1),"")</f>
        <v>T</v>
      </c>
      <c r="M324" s="3">
        <v>70</v>
      </c>
      <c r="N324" s="3" t="str">
        <f>IFERROR(MID(VLOOKUP($B324,Seqs!$A:$B,2,0),O324,1),"")</f>
        <v>H</v>
      </c>
      <c r="O324" s="3">
        <v>100</v>
      </c>
      <c r="P324" s="3" t="str">
        <f>IFERROR(MID(VLOOKUP($B324,Seqs!$A:$B,2,0),Q324,1),"")</f>
        <v>Y</v>
      </c>
      <c r="Q324" s="3">
        <v>102</v>
      </c>
      <c r="R324" s="3" t="str">
        <f>IFERROR(MID(VLOOKUP($B324,Seqs!$A:$B,2,0),S324,1),"")</f>
        <v>F</v>
      </c>
      <c r="S324" s="3">
        <v>105</v>
      </c>
      <c r="T324" s="3" t="str">
        <f>IFERROR(MID(VLOOKUP($B324,Seqs!$A:$B,2,0),U324,1),"")</f>
        <v>G</v>
      </c>
      <c r="U324" s="3">
        <v>106</v>
      </c>
      <c r="V324" s="3" t="str">
        <f>IFERROR(MID(VLOOKUP($B324,Seqs!$A:$B,2,0),W324,1),"")</f>
        <v>K</v>
      </c>
      <c r="W324" s="3">
        <v>141</v>
      </c>
      <c r="X324" s="3" t="str">
        <f>IFERROR(MID(VLOOKUP($B324,Seqs!$A:$B,2,0),Y324,1),"")</f>
        <v>P</v>
      </c>
      <c r="Y324" s="3">
        <v>142</v>
      </c>
      <c r="Z324" s="3" t="str">
        <f>IFERROR(MID(VLOOKUP($B324,Seqs!$A:$B,2,0),AA324,1),"")</f>
        <v>F</v>
      </c>
      <c r="AA324" s="3">
        <v>148</v>
      </c>
      <c r="AB324" s="3" t="str">
        <f>IFERROR(MID(VLOOKUP($B324,Seqs!$A:$B,2,0),AC324,1),"")</f>
        <v>G</v>
      </c>
      <c r="AC324" s="9">
        <v>149</v>
      </c>
      <c r="AD324" s="3" t="str">
        <f>IFERROR(MID(VLOOKUP($B324,Seqs!$A:$B,2,0),AE324,1),"")</f>
        <v>A</v>
      </c>
      <c r="AE324" s="3">
        <v>173</v>
      </c>
      <c r="AF324" s="3" t="str">
        <f>IFERROR(MID(VLOOKUP($B324,Seqs!$A:$B,2,0),AG324,1),"")</f>
        <v>C</v>
      </c>
      <c r="AG324" s="3">
        <v>187</v>
      </c>
      <c r="AH324" s="3" t="str">
        <f>IFERROR(MID(VLOOKUP($B324,Seqs!$A:$B,2,0),AI324,1),"")</f>
        <v>I</v>
      </c>
      <c r="AI324" s="3">
        <v>189</v>
      </c>
      <c r="AJ324" s="3" t="str">
        <f>IFERROR(MID(VLOOKUP($B324,Seqs!$A:$B,2,0),AK324,1),"")</f>
        <v>N</v>
      </c>
      <c r="AK324" s="3">
        <v>199</v>
      </c>
      <c r="AL324" s="3" t="str">
        <f>IFERROR(MID(VLOOKUP($B324,Seqs!$A:$B,2,0),AM324,1),"")</f>
        <v>Q</v>
      </c>
      <c r="AM324" s="3">
        <v>237</v>
      </c>
      <c r="AN324" s="3" t="str">
        <f>IFERROR(MID(VLOOKUP($B324,Seqs!$A:$B,2,0),AO324,1),"")</f>
        <v>A</v>
      </c>
      <c r="AO324" s="3">
        <v>241</v>
      </c>
      <c r="AP324" s="3" t="str">
        <f>IFERROR(MID(VLOOKUP($B324,Seqs!$A:$B,2,0),AQ324,1),"")</f>
        <v>H</v>
      </c>
      <c r="AQ324" s="3">
        <v>278</v>
      </c>
      <c r="AR324" s="3" t="str">
        <f>IFERROR(MID(VLOOKUP($B324,Seqs!$A:$B,2,0),AS324,1),"")</f>
        <v>G</v>
      </c>
      <c r="AS324" s="3">
        <v>284</v>
      </c>
      <c r="AT324" s="3" t="str">
        <f>IFERROR(MID(VLOOKUP($B324,Seqs!$A:$B,2,0),AU324,1),"")</f>
        <v>M</v>
      </c>
      <c r="AU324" s="3">
        <v>309</v>
      </c>
      <c r="AV324" s="3" t="str">
        <f>IFERROR(MID(VLOOKUP($B324,Seqs!$A:$B,2,0),AW324,1),"")</f>
        <v>N</v>
      </c>
      <c r="AW324" s="3">
        <v>310</v>
      </c>
      <c r="AX324" s="3" t="str">
        <f>IFERROR(MID(VLOOKUP($B324,Seqs!$A:$B,2,0),AY324,1),"")</f>
        <v>C</v>
      </c>
      <c r="AY324" s="3">
        <v>322</v>
      </c>
      <c r="AZ324" s="77" t="str">
        <f>VLOOKUP(B324,Classification!A:D,2,0)</f>
        <v>A</v>
      </c>
      <c r="BA324" s="94" t="str">
        <f>VLOOKUP(B324,Classification!A:D,4,0)</f>
        <v>Opsins</v>
      </c>
      <c r="BB324" s="27" t="b">
        <f t="shared" si="2542"/>
        <v>1</v>
      </c>
      <c r="BC324" s="23">
        <f t="shared" si="2515"/>
        <v>258</v>
      </c>
      <c r="BD324" s="2" t="s">
        <v>1375</v>
      </c>
      <c r="BE324" s="3" t="s">
        <v>1291</v>
      </c>
      <c r="BF324" s="118">
        <v>3.3</v>
      </c>
      <c r="BG324" s="49" t="s">
        <v>1377</v>
      </c>
      <c r="BH324" s="49" t="s">
        <v>1377</v>
      </c>
      <c r="BI324" s="1"/>
      <c r="BJ324" s="70" t="s">
        <v>1287</v>
      </c>
      <c r="BK324" s="57" t="s">
        <v>1287</v>
      </c>
      <c r="BL324" s="57" t="s">
        <v>1287</v>
      </c>
      <c r="BM324" s="57" t="s">
        <v>1287</v>
      </c>
      <c r="BN324" s="57" t="s">
        <v>1287</v>
      </c>
      <c r="BO324" s="57" t="s">
        <v>1287</v>
      </c>
      <c r="BP324" s="57" t="s">
        <v>1287</v>
      </c>
      <c r="BQ324" s="57" t="s">
        <v>1287</v>
      </c>
      <c r="BR324" s="57" t="s">
        <v>1287</v>
      </c>
      <c r="BS324" s="57" t="s">
        <v>1287</v>
      </c>
      <c r="BT324" s="57" t="s">
        <v>1287</v>
      </c>
      <c r="BU324" s="57" t="s">
        <v>1287</v>
      </c>
      <c r="BV324" s="70">
        <f t="shared" si="2516"/>
        <v>34</v>
      </c>
      <c r="BW324" s="71">
        <f t="shared" si="2517"/>
        <v>66</v>
      </c>
      <c r="BX324" s="72">
        <f t="shared" si="2518"/>
        <v>70</v>
      </c>
      <c r="BY324" s="71">
        <f t="shared" si="2519"/>
        <v>102</v>
      </c>
      <c r="BZ324" s="72">
        <f t="shared" si="2520"/>
        <v>106</v>
      </c>
      <c r="CA324" s="71">
        <f t="shared" si="2521"/>
        <v>142</v>
      </c>
      <c r="CB324" s="72">
        <f t="shared" si="2522"/>
        <v>149</v>
      </c>
      <c r="CC324" s="71">
        <f t="shared" si="2523"/>
        <v>187</v>
      </c>
      <c r="CD324" s="72">
        <f t="shared" si="2524"/>
        <v>199</v>
      </c>
      <c r="CE324" s="71">
        <f t="shared" si="2525"/>
        <v>241</v>
      </c>
      <c r="CF324" s="72">
        <f t="shared" si="2526"/>
        <v>284</v>
      </c>
      <c r="CG324" s="71">
        <f t="shared" si="2527"/>
        <v>310</v>
      </c>
      <c r="CH324" s="70">
        <f t="shared" si="2528"/>
        <v>65</v>
      </c>
      <c r="CI324" s="71">
        <f t="shared" si="2529"/>
        <v>69</v>
      </c>
      <c r="CJ324" s="72">
        <f t="shared" si="2530"/>
        <v>100</v>
      </c>
      <c r="CK324" s="72">
        <f t="shared" si="2531"/>
        <v>105</v>
      </c>
      <c r="CL324" s="72">
        <f t="shared" si="2532"/>
        <v>141</v>
      </c>
      <c r="CM324" s="72">
        <f t="shared" si="2533"/>
        <v>148</v>
      </c>
      <c r="CN324" s="72">
        <f t="shared" si="2534"/>
        <v>173</v>
      </c>
      <c r="CO324" s="72">
        <f t="shared" si="2535"/>
        <v>189</v>
      </c>
      <c r="CP324" s="72">
        <f t="shared" si="2536"/>
        <v>237</v>
      </c>
      <c r="CQ324" s="72">
        <f t="shared" si="2537"/>
        <v>278</v>
      </c>
      <c r="CR324" s="72">
        <f t="shared" si="2538"/>
        <v>309</v>
      </c>
      <c r="CS324" s="72">
        <f t="shared" si="2539"/>
        <v>322</v>
      </c>
      <c r="CT324" s="23">
        <f t="shared" si="2540"/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30" x14ac:dyDescent="0.2">
      <c r="A325" s="3" t="str">
        <f t="shared" si="2541"/>
        <v>opsd_human_5DGY</v>
      </c>
      <c r="B325" s="3" t="s">
        <v>339</v>
      </c>
      <c r="C325" s="3" t="s">
        <v>1434</v>
      </c>
      <c r="D325" s="3" t="str">
        <f>IFERROR(MID(VLOOKUP($B325,Seqs!$A:$B,2,0),E325,1),"")</f>
        <v>P</v>
      </c>
      <c r="E325" s="3">
        <v>34</v>
      </c>
      <c r="F325" s="3" t="str">
        <f>IFERROR(MID(VLOOKUP($B325,Seqs!$A:$B,2,0),G325,1),"")</f>
        <v>H</v>
      </c>
      <c r="G325" s="3">
        <v>65</v>
      </c>
      <c r="H325" s="3" t="str">
        <f>IFERROR(MID(VLOOKUP($B325,Seqs!$A:$B,2,0),I325,1),"")</f>
        <v>K</v>
      </c>
      <c r="I325" s="23">
        <v>66</v>
      </c>
      <c r="J325" s="3" t="str">
        <f>IFERROR(MID(VLOOKUP($B325,Seqs!$A:$B,2,0),K325,1),"")</f>
        <v>R</v>
      </c>
      <c r="K325" s="23">
        <v>69</v>
      </c>
      <c r="L325" s="3" t="str">
        <f>IFERROR(MID(VLOOKUP($B325,Seqs!$A:$B,2,0),M325,1),"")</f>
        <v>T</v>
      </c>
      <c r="M325" s="3">
        <v>70</v>
      </c>
      <c r="N325" s="3" t="str">
        <f>IFERROR(MID(VLOOKUP($B325,Seqs!$A:$B,2,0),O325,1),"")</f>
        <v>H</v>
      </c>
      <c r="O325" s="3">
        <v>100</v>
      </c>
      <c r="P325" s="3" t="str">
        <f>IFERROR(MID(VLOOKUP($B325,Seqs!$A:$B,2,0),Q325,1),"")</f>
        <v>Y</v>
      </c>
      <c r="Q325" s="3">
        <v>102</v>
      </c>
      <c r="R325" s="3" t="str">
        <f>IFERROR(MID(VLOOKUP($B325,Seqs!$A:$B,2,0),S325,1),"")</f>
        <v>F</v>
      </c>
      <c r="S325" s="3">
        <v>105</v>
      </c>
      <c r="T325" s="3" t="str">
        <f>IFERROR(MID(VLOOKUP($B325,Seqs!$A:$B,2,0),U325,1),"")</f>
        <v>G</v>
      </c>
      <c r="U325" s="3">
        <v>106</v>
      </c>
      <c r="V325" s="3" t="str">
        <f>IFERROR(MID(VLOOKUP($B325,Seqs!$A:$B,2,0),W325,1),"")</f>
        <v>K</v>
      </c>
      <c r="W325" s="3">
        <v>141</v>
      </c>
      <c r="X325" s="3" t="str">
        <f>IFERROR(MID(VLOOKUP($B325,Seqs!$A:$B,2,0),Y325,1),"")</f>
        <v>P</v>
      </c>
      <c r="Y325" s="3">
        <v>142</v>
      </c>
      <c r="Z325" s="3" t="str">
        <f>IFERROR(MID(VLOOKUP($B325,Seqs!$A:$B,2,0),AA325,1),"")</f>
        <v>F</v>
      </c>
      <c r="AA325" s="3">
        <v>148</v>
      </c>
      <c r="AB325" s="3" t="str">
        <f>IFERROR(MID(VLOOKUP($B325,Seqs!$A:$B,2,0),AC325,1),"")</f>
        <v>G</v>
      </c>
      <c r="AC325" s="3">
        <v>149</v>
      </c>
      <c r="AD325" s="3" t="str">
        <f>IFERROR(MID(VLOOKUP($B325,Seqs!$A:$B,2,0),AE325,1),"")</f>
        <v>A</v>
      </c>
      <c r="AE325" s="3">
        <v>173</v>
      </c>
      <c r="AF325" s="3" t="str">
        <f>IFERROR(MID(VLOOKUP($B325,Seqs!$A:$B,2,0),AG325,1),"")</f>
        <v>C</v>
      </c>
      <c r="AG325" s="3">
        <v>187</v>
      </c>
      <c r="AH325" s="3" t="str">
        <f>IFERROR(MID(VLOOKUP($B325,Seqs!$A:$B,2,0),AI325,1),"")</f>
        <v>I</v>
      </c>
      <c r="AI325" s="3">
        <v>189</v>
      </c>
      <c r="AJ325" s="3" t="str">
        <f>IFERROR(MID(VLOOKUP($B325,Seqs!$A:$B,2,0),AK325,1),"")</f>
        <v>N</v>
      </c>
      <c r="AK325" s="3">
        <v>199</v>
      </c>
      <c r="AL325" s="3" t="str">
        <f>IFERROR(MID(VLOOKUP($B325,Seqs!$A:$B,2,0),AM325,1),"")</f>
        <v>Q</v>
      </c>
      <c r="AM325" s="3">
        <v>237</v>
      </c>
      <c r="AN325" s="3" t="str">
        <f>IFERROR(MID(VLOOKUP($B325,Seqs!$A:$B,2,0),AO325,1),"")</f>
        <v>A</v>
      </c>
      <c r="AO325" s="3">
        <v>241</v>
      </c>
      <c r="AP325" s="3" t="str">
        <f>IFERROR(MID(VLOOKUP($B325,Seqs!$A:$B,2,0),AQ325,1),"")</f>
        <v>H</v>
      </c>
      <c r="AQ325" s="3">
        <v>278</v>
      </c>
      <c r="AR325" s="3" t="str">
        <f>IFERROR(MID(VLOOKUP($B325,Seqs!$A:$B,2,0),AS325,1),"")</f>
        <v>G</v>
      </c>
      <c r="AS325" s="3">
        <v>284</v>
      </c>
      <c r="AT325" s="3" t="str">
        <f>IFERROR(MID(VLOOKUP($B325,Seqs!$A:$B,2,0),AU325,1),"")</f>
        <v>M</v>
      </c>
      <c r="AU325" s="3">
        <v>309</v>
      </c>
      <c r="AV325" s="3" t="str">
        <f>IFERROR(MID(VLOOKUP($B325,Seqs!$A:$B,2,0),AW325,1),"")</f>
        <v>N</v>
      </c>
      <c r="AW325" s="3">
        <v>310</v>
      </c>
      <c r="AX325" s="3" t="str">
        <f>IFERROR(MID(VLOOKUP($B325,Seqs!$A:$B,2,0),AY325,1),"")</f>
        <v>C</v>
      </c>
      <c r="AY325" s="3">
        <v>322</v>
      </c>
      <c r="AZ325" s="77" t="str">
        <f>VLOOKUP(B325,Classification!A:D,2,0)</f>
        <v>A</v>
      </c>
      <c r="BA325" s="94" t="str">
        <f>VLOOKUP(B325,Classification!A:D,4,0)</f>
        <v>Opsins</v>
      </c>
      <c r="BB325" s="27" t="b">
        <f t="shared" si="2542"/>
        <v>1</v>
      </c>
      <c r="BC325" s="23">
        <f t="shared" si="2515"/>
        <v>258</v>
      </c>
      <c r="BD325" s="2" t="s">
        <v>23</v>
      </c>
      <c r="BE325" s="3" t="s">
        <v>1291</v>
      </c>
      <c r="BF325" s="118">
        <v>7.7</v>
      </c>
      <c r="BG325" s="49" t="s">
        <v>1433</v>
      </c>
      <c r="BH325" s="49" t="s">
        <v>1433</v>
      </c>
      <c r="BI325" s="1"/>
      <c r="BJ325" s="70" t="s">
        <v>1287</v>
      </c>
      <c r="BK325" s="57" t="s">
        <v>1287</v>
      </c>
      <c r="BL325" s="57" t="s">
        <v>1287</v>
      </c>
      <c r="BM325" s="57" t="s">
        <v>1287</v>
      </c>
      <c r="BN325" s="57" t="s">
        <v>1287</v>
      </c>
      <c r="BO325" s="57" t="s">
        <v>1287</v>
      </c>
      <c r="BP325" s="57" t="s">
        <v>1287</v>
      </c>
      <c r="BQ325" s="57" t="s">
        <v>1287</v>
      </c>
      <c r="BR325" s="57" t="s">
        <v>1287</v>
      </c>
      <c r="BS325" s="57" t="s">
        <v>1287</v>
      </c>
      <c r="BT325" s="57" t="s">
        <v>1287</v>
      </c>
      <c r="BU325" s="57" t="s">
        <v>1287</v>
      </c>
      <c r="BV325" s="70">
        <f t="shared" si="2516"/>
        <v>34</v>
      </c>
      <c r="BW325" s="71">
        <f t="shared" si="2517"/>
        <v>66</v>
      </c>
      <c r="BX325" s="72">
        <f t="shared" si="2518"/>
        <v>70</v>
      </c>
      <c r="BY325" s="71">
        <f t="shared" si="2519"/>
        <v>102</v>
      </c>
      <c r="BZ325" s="72">
        <f t="shared" si="2520"/>
        <v>106</v>
      </c>
      <c r="CA325" s="71">
        <f t="shared" si="2521"/>
        <v>142</v>
      </c>
      <c r="CB325" s="72">
        <f t="shared" si="2522"/>
        <v>149</v>
      </c>
      <c r="CC325" s="71">
        <f t="shared" si="2523"/>
        <v>187</v>
      </c>
      <c r="CD325" s="72">
        <f t="shared" si="2524"/>
        <v>199</v>
      </c>
      <c r="CE325" s="71">
        <f t="shared" si="2525"/>
        <v>241</v>
      </c>
      <c r="CF325" s="72">
        <f t="shared" si="2526"/>
        <v>284</v>
      </c>
      <c r="CG325" s="71">
        <f t="shared" si="2527"/>
        <v>310</v>
      </c>
      <c r="CH325" s="70">
        <f t="shared" si="2528"/>
        <v>65</v>
      </c>
      <c r="CI325" s="71">
        <f t="shared" si="2529"/>
        <v>69</v>
      </c>
      <c r="CJ325" s="72">
        <f t="shared" si="2530"/>
        <v>100</v>
      </c>
      <c r="CK325" s="72">
        <f t="shared" si="2531"/>
        <v>105</v>
      </c>
      <c r="CL325" s="72">
        <f t="shared" si="2532"/>
        <v>141</v>
      </c>
      <c r="CM325" s="72">
        <f t="shared" si="2533"/>
        <v>148</v>
      </c>
      <c r="CN325" s="72">
        <f t="shared" si="2534"/>
        <v>173</v>
      </c>
      <c r="CO325" s="72">
        <f t="shared" si="2535"/>
        <v>189</v>
      </c>
      <c r="CP325" s="72">
        <f t="shared" si="2536"/>
        <v>237</v>
      </c>
      <c r="CQ325" s="72">
        <f t="shared" si="2537"/>
        <v>278</v>
      </c>
      <c r="CR325" s="72">
        <f t="shared" si="2538"/>
        <v>309</v>
      </c>
      <c r="CS325" s="72">
        <f t="shared" si="2539"/>
        <v>322</v>
      </c>
      <c r="CT325" s="23">
        <f t="shared" si="2540"/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30" x14ac:dyDescent="0.2">
      <c r="A326" s="3" t="str">
        <f>CONCATENATE(B326,"_",C326)</f>
        <v>opsd_human_5W0P</v>
      </c>
      <c r="B326" s="3" t="s">
        <v>339</v>
      </c>
      <c r="C326" s="3" t="s">
        <v>1432</v>
      </c>
      <c r="D326" s="3" t="str">
        <f>IFERROR(MID(VLOOKUP($B326,Seqs!$A:$B,2,0),E326,1),"")</f>
        <v>P</v>
      </c>
      <c r="E326" s="3">
        <v>34</v>
      </c>
      <c r="F326" s="3" t="str">
        <f>IFERROR(MID(VLOOKUP($B326,Seqs!$A:$B,2,0),G326,1),"")</f>
        <v>H</v>
      </c>
      <c r="G326" s="3">
        <v>65</v>
      </c>
      <c r="H326" s="3" t="str">
        <f>IFERROR(MID(VLOOKUP($B326,Seqs!$A:$B,2,0),I326,1),"")</f>
        <v>K</v>
      </c>
      <c r="I326" s="23">
        <v>66</v>
      </c>
      <c r="J326" s="3" t="str">
        <f>IFERROR(MID(VLOOKUP($B326,Seqs!$A:$B,2,0),K326,1),"")</f>
        <v>R</v>
      </c>
      <c r="K326" s="23">
        <v>69</v>
      </c>
      <c r="L326" s="3" t="str">
        <f>IFERROR(MID(VLOOKUP($B326,Seqs!$A:$B,2,0),M326,1),"")</f>
        <v>T</v>
      </c>
      <c r="M326" s="3">
        <v>70</v>
      </c>
      <c r="N326" s="3" t="str">
        <f>IFERROR(MID(VLOOKUP($B326,Seqs!$A:$B,2,0),O326,1),"")</f>
        <v>H</v>
      </c>
      <c r="O326" s="3">
        <v>100</v>
      </c>
      <c r="P326" s="3" t="str">
        <f>IFERROR(MID(VLOOKUP($B326,Seqs!$A:$B,2,0),Q326,1),"")</f>
        <v>Y</v>
      </c>
      <c r="Q326" s="3">
        <v>102</v>
      </c>
      <c r="R326" s="3" t="str">
        <f>IFERROR(MID(VLOOKUP($B326,Seqs!$A:$B,2,0),S326,1),"")</f>
        <v>F</v>
      </c>
      <c r="S326" s="3">
        <v>105</v>
      </c>
      <c r="T326" s="3" t="str">
        <f>IFERROR(MID(VLOOKUP($B326,Seqs!$A:$B,2,0),U326,1),"")</f>
        <v>G</v>
      </c>
      <c r="U326" s="3">
        <v>106</v>
      </c>
      <c r="V326" s="3" t="str">
        <f>IFERROR(MID(VLOOKUP($B326,Seqs!$A:$B,2,0),W326,1),"")</f>
        <v>K</v>
      </c>
      <c r="W326" s="3">
        <v>141</v>
      </c>
      <c r="X326" s="3" t="str">
        <f>IFERROR(MID(VLOOKUP($B326,Seqs!$A:$B,2,0),Y326,1),"")</f>
        <v>P</v>
      </c>
      <c r="Y326" s="3">
        <v>142</v>
      </c>
      <c r="Z326" s="3" t="str">
        <f>IFERROR(MID(VLOOKUP($B326,Seqs!$A:$B,2,0),AA326,1),"")</f>
        <v>F</v>
      </c>
      <c r="AA326" s="3">
        <v>148</v>
      </c>
      <c r="AB326" s="3" t="str">
        <f>IFERROR(MID(VLOOKUP($B326,Seqs!$A:$B,2,0),AC326,1),"")</f>
        <v>G</v>
      </c>
      <c r="AC326" s="3">
        <v>149</v>
      </c>
      <c r="AD326" s="3" t="str">
        <f>IFERROR(MID(VLOOKUP($B326,Seqs!$A:$B,2,0),AE326,1),"")</f>
        <v>A</v>
      </c>
      <c r="AE326" s="3">
        <v>173</v>
      </c>
      <c r="AF326" s="3" t="str">
        <f>IFERROR(MID(VLOOKUP($B326,Seqs!$A:$B,2,0),AG326,1),"")</f>
        <v>C</v>
      </c>
      <c r="AG326" s="3">
        <v>187</v>
      </c>
      <c r="AH326" s="3" t="str">
        <f>IFERROR(MID(VLOOKUP($B326,Seqs!$A:$B,2,0),AI326,1),"")</f>
        <v>I</v>
      </c>
      <c r="AI326" s="3">
        <v>189</v>
      </c>
      <c r="AJ326" s="3" t="str">
        <f>IFERROR(MID(VLOOKUP($B326,Seqs!$A:$B,2,0),AK326,1),"")</f>
        <v>N</v>
      </c>
      <c r="AK326" s="3">
        <v>199</v>
      </c>
      <c r="AL326" s="3" t="str">
        <f>IFERROR(MID(VLOOKUP($B326,Seqs!$A:$B,2,0),AM326,1),"")</f>
        <v>Q</v>
      </c>
      <c r="AM326" s="3">
        <v>237</v>
      </c>
      <c r="AN326" s="3" t="str">
        <f>IFERROR(MID(VLOOKUP($B326,Seqs!$A:$B,2,0),AO326,1),"")</f>
        <v>A</v>
      </c>
      <c r="AO326" s="3">
        <v>241</v>
      </c>
      <c r="AP326" s="3" t="str">
        <f>IFERROR(MID(VLOOKUP($B326,Seqs!$A:$B,2,0),AQ326,1),"")</f>
        <v>H</v>
      </c>
      <c r="AQ326" s="3">
        <v>278</v>
      </c>
      <c r="AR326" s="3" t="str">
        <f>IFERROR(MID(VLOOKUP($B326,Seqs!$A:$B,2,0),AS326,1),"")</f>
        <v>G</v>
      </c>
      <c r="AS326" s="3">
        <v>284</v>
      </c>
      <c r="AT326" s="3" t="str">
        <f>IFERROR(MID(VLOOKUP($B326,Seqs!$A:$B,2,0),AU326,1),"")</f>
        <v>M</v>
      </c>
      <c r="AU326" s="3">
        <v>309</v>
      </c>
      <c r="AV326" s="3" t="str">
        <f>IFERROR(MID(VLOOKUP($B326,Seqs!$A:$B,2,0),AW326,1),"")</f>
        <v>N</v>
      </c>
      <c r="AW326" s="3">
        <v>310</v>
      </c>
      <c r="AX326" s="3" t="str">
        <f>IFERROR(MID(VLOOKUP($B326,Seqs!$A:$B,2,0),AY326,1),"")</f>
        <v>C</v>
      </c>
      <c r="AY326" s="3">
        <v>322</v>
      </c>
      <c r="AZ326" s="77" t="str">
        <f>VLOOKUP(B326,Classification!A:D,2,0)</f>
        <v>A</v>
      </c>
      <c r="BA326" s="94" t="str">
        <f>VLOOKUP(B326,Classification!A:D,4,0)</f>
        <v>Opsins</v>
      </c>
      <c r="BB326" s="27" t="b">
        <f>AND(E326&lt;G326,OR(G326&lt;I326,I326="-"),OR(I326&lt;K326,I326="-"),OR(K326&lt;M326,K326="-"),M326&lt;O326,OR(O326&lt;Q326,Q326="-"),OR(Q326&lt;S326,Q326="-"),OR(S326&lt;U326,S326="-"),U326&lt;W326,OR(W326&lt;Y326,Y326="-"),OR(Y326&lt;AA326,Y326="-"),OR(AA326&lt;AC326,AA326="-"),AC326&lt;AE326,OR(AE326&lt;AG326,AG326="-"),OR(AG326&lt;AI326,AG326="-"),OR(AI326&lt;AK326,AI326="-"),AK326&lt;AM326,AM326&lt;AO326,AO326&lt;AQ326,AQ326&lt;AS326,AS326&lt;AU326,OR(AU326&lt;AW326,AW326="-"),OR(AW326&lt;AY326,AW326="-"))</f>
        <v>1</v>
      </c>
      <c r="BC326" s="23">
        <f>_xlfn.AGGREGATE(9,6,CH326:CS326)-_xlfn.AGGREGATE(9,6,BV326:CG326)+12</f>
        <v>258</v>
      </c>
      <c r="BD326" s="2" t="s">
        <v>23</v>
      </c>
      <c r="BE326" s="3" t="s">
        <v>1291</v>
      </c>
      <c r="BF326" s="118">
        <v>3.01</v>
      </c>
      <c r="BG326" s="49" t="s">
        <v>1433</v>
      </c>
      <c r="BH326" s="49" t="s">
        <v>1433</v>
      </c>
      <c r="BI326" s="1"/>
      <c r="BJ326" s="70" t="s">
        <v>1287</v>
      </c>
      <c r="BK326" s="57" t="s">
        <v>1287</v>
      </c>
      <c r="BL326" s="57" t="s">
        <v>1287</v>
      </c>
      <c r="BM326" s="57" t="s">
        <v>1287</v>
      </c>
      <c r="BN326" s="57" t="s">
        <v>1287</v>
      </c>
      <c r="BO326" s="57" t="s">
        <v>1287</v>
      </c>
      <c r="BP326" s="57" t="s">
        <v>1287</v>
      </c>
      <c r="BQ326" s="57" t="s">
        <v>1287</v>
      </c>
      <c r="BR326" s="57" t="s">
        <v>1287</v>
      </c>
      <c r="BS326" s="57" t="s">
        <v>1287</v>
      </c>
      <c r="BT326" s="57" t="s">
        <v>1287</v>
      </c>
      <c r="BU326" s="57" t="s">
        <v>1287</v>
      </c>
      <c r="BV326" s="70">
        <f>E326</f>
        <v>34</v>
      </c>
      <c r="BW326" s="71">
        <f>I326</f>
        <v>66</v>
      </c>
      <c r="BX326" s="72">
        <f>M326</f>
        <v>70</v>
      </c>
      <c r="BY326" s="71">
        <f>Q326</f>
        <v>102</v>
      </c>
      <c r="BZ326" s="72">
        <f>U326</f>
        <v>106</v>
      </c>
      <c r="CA326" s="71">
        <f>Y326</f>
        <v>142</v>
      </c>
      <c r="CB326" s="72">
        <f>AC326</f>
        <v>149</v>
      </c>
      <c r="CC326" s="71">
        <f>AG326</f>
        <v>187</v>
      </c>
      <c r="CD326" s="72">
        <f>AK326</f>
        <v>199</v>
      </c>
      <c r="CE326" s="71">
        <f>AO326</f>
        <v>241</v>
      </c>
      <c r="CF326" s="72">
        <f>AS326</f>
        <v>284</v>
      </c>
      <c r="CG326" s="71">
        <f>AW326</f>
        <v>310</v>
      </c>
      <c r="CH326" s="70">
        <f>G326</f>
        <v>65</v>
      </c>
      <c r="CI326" s="71">
        <f>K326</f>
        <v>69</v>
      </c>
      <c r="CJ326" s="72">
        <f>O326</f>
        <v>100</v>
      </c>
      <c r="CK326" s="72">
        <f>S326</f>
        <v>105</v>
      </c>
      <c r="CL326" s="72">
        <f>W326</f>
        <v>141</v>
      </c>
      <c r="CM326" s="72">
        <f>AA326</f>
        <v>148</v>
      </c>
      <c r="CN326" s="72">
        <f>AE326</f>
        <v>173</v>
      </c>
      <c r="CO326" s="72">
        <f>AI326</f>
        <v>189</v>
      </c>
      <c r="CP326" s="72">
        <f>AM326</f>
        <v>237</v>
      </c>
      <c r="CQ326" s="72">
        <f>AQ326</f>
        <v>278</v>
      </c>
      <c r="CR326" s="72">
        <f>AU326</f>
        <v>309</v>
      </c>
      <c r="CS326" s="72">
        <f>AY326</f>
        <v>322</v>
      </c>
      <c r="CT326" s="23">
        <f>M326-K326</f>
        <v>1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30" x14ac:dyDescent="0.2">
      <c r="A327" s="3" t="str">
        <f>CONCATENATE(B327,"_",C327)</f>
        <v>opsd_human_6CMO</v>
      </c>
      <c r="B327" s="3" t="s">
        <v>339</v>
      </c>
      <c r="C327" s="3" t="s">
        <v>1502</v>
      </c>
      <c r="D327" s="3" t="str">
        <f>IFERROR(MID(VLOOKUP($B327,Seqs!$A:$B,2,0),E327,1),"")</f>
        <v>E</v>
      </c>
      <c r="E327" s="3">
        <v>33</v>
      </c>
      <c r="F327" s="3" t="str">
        <f>IFERROR(MID(VLOOKUP($B327,Seqs!$A:$B,2,0),G327,1),"")</f>
        <v>H</v>
      </c>
      <c r="G327" s="3">
        <v>65</v>
      </c>
      <c r="H327" s="3" t="str">
        <f>IFERROR(MID(VLOOKUP($B327,Seqs!$A:$B,2,0),I327,1),"")</f>
        <v>K</v>
      </c>
      <c r="I327" s="23">
        <v>66</v>
      </c>
      <c r="J327" s="3" t="str">
        <f>IFERROR(MID(VLOOKUP($B327,Seqs!$A:$B,2,0),K327,1),"")</f>
        <v>R</v>
      </c>
      <c r="K327" s="23">
        <v>69</v>
      </c>
      <c r="L327" s="3" t="str">
        <f>IFERROR(MID(VLOOKUP($B327,Seqs!$A:$B,2,0),M327,1),"")</f>
        <v>T</v>
      </c>
      <c r="M327" s="3">
        <v>70</v>
      </c>
      <c r="N327" s="3" t="str">
        <f>IFERROR(MID(VLOOKUP($B327,Seqs!$A:$B,2,0),O327,1),"")</f>
        <v>G</v>
      </c>
      <c r="O327" s="3">
        <v>101</v>
      </c>
      <c r="P327" s="3" t="str">
        <f>IFERROR(MID(VLOOKUP($B327,Seqs!$A:$B,2,0),Q327,1),"")</f>
        <v>Y</v>
      </c>
      <c r="Q327" s="3">
        <v>102</v>
      </c>
      <c r="R327" s="3" t="str">
        <f>IFERROR(MID(VLOOKUP($B327,Seqs!$A:$B,2,0),S327,1),"")</f>
        <v>F</v>
      </c>
      <c r="S327" s="3">
        <v>105</v>
      </c>
      <c r="T327" s="3" t="str">
        <f>IFERROR(MID(VLOOKUP($B327,Seqs!$A:$B,2,0),U327,1),"")</f>
        <v>G</v>
      </c>
      <c r="U327" s="3">
        <v>106</v>
      </c>
      <c r="V327" s="3" t="str">
        <f>IFERROR(MID(VLOOKUP($B327,Seqs!$A:$B,2,0),W327,1),"")</f>
        <v>K</v>
      </c>
      <c r="W327" s="3">
        <v>141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E</v>
      </c>
      <c r="AC327" s="3">
        <v>150</v>
      </c>
      <c r="AD327" s="3" t="str">
        <f>IFERROR(MID(VLOOKUP($B327,Seqs!$A:$B,2,0),AE327,1),"")</f>
        <v>A</v>
      </c>
      <c r="AE327" s="3">
        <v>173</v>
      </c>
      <c r="AF327" s="3" t="str">
        <f>IFERROR(MID(VLOOKUP($B327,Seqs!$A:$B,2,0),AG327,1),"")</f>
        <v>C</v>
      </c>
      <c r="AG327" s="3">
        <v>187</v>
      </c>
      <c r="AH327" s="3" t="str">
        <f>IFERROR(MID(VLOOKUP($B327,Seqs!$A:$B,2,0),AI327,1),"")</f>
        <v>I</v>
      </c>
      <c r="AI327" s="3">
        <v>189</v>
      </c>
      <c r="AJ327" s="3" t="str">
        <f>IFERROR(MID(VLOOKUP($B327,Seqs!$A:$B,2,0),AK327,1),"")</f>
        <v>N</v>
      </c>
      <c r="AK327" s="3">
        <v>200</v>
      </c>
      <c r="AL327" s="3" t="str">
        <f>IFERROR(MID(VLOOKUP($B327,Seqs!$A:$B,2,0),AM327,1),"")</f>
        <v>Q</v>
      </c>
      <c r="AM327" s="3">
        <v>238</v>
      </c>
      <c r="AN327" s="3" t="str">
        <f>IFERROR(MID(VLOOKUP($B327,Seqs!$A:$B,2,0),AO327,1),"")</f>
        <v>S</v>
      </c>
      <c r="AO327" s="3">
        <v>240</v>
      </c>
      <c r="AP327" s="3" t="str">
        <f>IFERROR(MID(VLOOKUP($B327,Seqs!$A:$B,2,0),AQ327,1),"")</f>
        <v>H</v>
      </c>
      <c r="AQ327" s="3">
        <v>278</v>
      </c>
      <c r="AR327" s="3" t="str">
        <f>IFERROR(MID(VLOOKUP($B327,Seqs!$A:$B,2,0),AS327,1),"")</f>
        <v>I</v>
      </c>
      <c r="AS327" s="3">
        <v>286</v>
      </c>
      <c r="AT327" s="3" t="str">
        <f>IFERROR(MID(VLOOKUP($B327,Seqs!$A:$B,2,0),AU327,1),"")</f>
        <v>M</v>
      </c>
      <c r="AU327" s="3">
        <v>309</v>
      </c>
      <c r="AV327" s="3" t="str">
        <f>IFERROR(MID(VLOOKUP($B327,Seqs!$A:$B,2,0),AW327,1),"")</f>
        <v>N</v>
      </c>
      <c r="AW327" s="3">
        <v>310</v>
      </c>
      <c r="AX327" s="3" t="str">
        <f>IFERROR(MID(VLOOKUP($B327,Seqs!$A:$B,2,0),AY327,1),"")</f>
        <v>C</v>
      </c>
      <c r="AY327" s="3">
        <v>323</v>
      </c>
      <c r="AZ327" s="77" t="str">
        <f>VLOOKUP(B327,Classification!A:D,2,0)</f>
        <v>A</v>
      </c>
      <c r="BA327" s="94" t="str">
        <f>VLOOKUP(B327,Classification!A:D,4,0)</f>
        <v>Opsins</v>
      </c>
      <c r="BB327" s="27" t="b">
        <f>AND(E327&lt;G327,OR(G327&lt;I327,I327="-"),OR(I327&lt;K327,I327="-"),OR(K327&lt;M327,K327="-"),M327&lt;O327,OR(O327&lt;Q327,Q327="-"),OR(Q327&lt;S327,Q327="-"),OR(S327&lt;U327,S327="-"),U327&lt;W327,OR(W327&lt;Y327,Y327="-"),OR(Y327&lt;AA327,Y327="-"),OR(AA327&lt;AC327,AA327="-"),AC327&lt;AE327,OR(AE327&lt;AG327,AG327="-"),OR(AG327&lt;AI327,AG327="-"),OR(AI327&lt;AK327,AI327="-"),AK327&lt;AM327,AM327&lt;AO327,AO327&lt;AQ327,AQ327&lt;AS327,AS327&lt;AU327,OR(AU327&lt;AW327,AW327="-"),OR(AW327&lt;AY327,AW327="-"))</f>
        <v>1</v>
      </c>
      <c r="BC327" s="23">
        <f>_xlfn.AGGREGATE(9,6,CH327:CS327)-_xlfn.AGGREGATE(9,6,BV327:CG327)+12</f>
        <v>253</v>
      </c>
      <c r="BD327" s="2" t="s">
        <v>23</v>
      </c>
      <c r="BE327" s="3" t="s">
        <v>1291</v>
      </c>
      <c r="BF327" s="118">
        <v>4.5</v>
      </c>
      <c r="BG327" s="49" t="s">
        <v>1433</v>
      </c>
      <c r="BH327" s="49" t="s">
        <v>1433</v>
      </c>
      <c r="BI327" s="1"/>
      <c r="BJ327" s="70" t="s">
        <v>1287</v>
      </c>
      <c r="BK327" s="57" t="s">
        <v>1287</v>
      </c>
      <c r="BL327" s="57" t="s">
        <v>1287</v>
      </c>
      <c r="BM327" s="57" t="s">
        <v>1287</v>
      </c>
      <c r="BN327" s="57" t="s">
        <v>1287</v>
      </c>
      <c r="BO327" s="57" t="s">
        <v>1287</v>
      </c>
      <c r="BP327" s="57" t="s">
        <v>1287</v>
      </c>
      <c r="BQ327" s="57" t="s">
        <v>1287</v>
      </c>
      <c r="BR327" s="57" t="s">
        <v>1287</v>
      </c>
      <c r="BS327" s="57" t="s">
        <v>1287</v>
      </c>
      <c r="BT327" s="57" t="s">
        <v>1287</v>
      </c>
      <c r="BU327" s="57" t="s">
        <v>1287</v>
      </c>
      <c r="BV327" s="70">
        <f>E327</f>
        <v>33</v>
      </c>
      <c r="BW327" s="71">
        <f>I327</f>
        <v>66</v>
      </c>
      <c r="BX327" s="72">
        <f>M327</f>
        <v>70</v>
      </c>
      <c r="BY327" s="71">
        <f>Q327</f>
        <v>102</v>
      </c>
      <c r="BZ327" s="72">
        <f>U327</f>
        <v>106</v>
      </c>
      <c r="CA327" s="71" t="str">
        <f>Y327</f>
        <v>-</v>
      </c>
      <c r="CB327" s="72">
        <f>AC327</f>
        <v>150</v>
      </c>
      <c r="CC327" s="71">
        <f>AG327</f>
        <v>187</v>
      </c>
      <c r="CD327" s="72">
        <f>AK327</f>
        <v>200</v>
      </c>
      <c r="CE327" s="71">
        <f>AO327</f>
        <v>240</v>
      </c>
      <c r="CF327" s="72">
        <f>AS327</f>
        <v>286</v>
      </c>
      <c r="CG327" s="71">
        <f>AW327</f>
        <v>310</v>
      </c>
      <c r="CH327" s="70">
        <f>G327</f>
        <v>65</v>
      </c>
      <c r="CI327" s="71">
        <f>K327</f>
        <v>69</v>
      </c>
      <c r="CJ327" s="72">
        <f>O327</f>
        <v>101</v>
      </c>
      <c r="CK327" s="72">
        <f>S327</f>
        <v>105</v>
      </c>
      <c r="CL327" s="72">
        <f>W327</f>
        <v>141</v>
      </c>
      <c r="CM327" s="72" t="str">
        <f>AA327</f>
        <v>-</v>
      </c>
      <c r="CN327" s="72">
        <f>AE327</f>
        <v>173</v>
      </c>
      <c r="CO327" s="72">
        <f>AI327</f>
        <v>189</v>
      </c>
      <c r="CP327" s="72">
        <f>AM327</f>
        <v>238</v>
      </c>
      <c r="CQ327" s="72">
        <f>AQ327</f>
        <v>278</v>
      </c>
      <c r="CR327" s="72">
        <f>AU327</f>
        <v>309</v>
      </c>
      <c r="CS327" s="72">
        <f>AY327</f>
        <v>323</v>
      </c>
      <c r="CT327" s="23">
        <f>M327-K327</f>
        <v>1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30" x14ac:dyDescent="0.2">
      <c r="A328" s="3" t="str">
        <f t="shared" si="2541"/>
        <v>opsd_todpa__wt</v>
      </c>
      <c r="B328" s="3" t="s">
        <v>921</v>
      </c>
      <c r="C328" s="3" t="s">
        <v>100</v>
      </c>
      <c r="D328" s="3" t="str">
        <f>IFERROR(MID(VLOOKUP($B328,Seqs!$A:$B,2,0),E328,1),"")</f>
        <v>D</v>
      </c>
      <c r="E328" s="3">
        <v>31</v>
      </c>
      <c r="F328" s="3" t="str">
        <f>IFERROR(MID(VLOOKUP($B328,Seqs!$A:$B,2,0),G328,1),"")</f>
        <v>T</v>
      </c>
      <c r="G328" s="3">
        <v>62</v>
      </c>
      <c r="H328" s="3" t="str">
        <f>IFERROR(MID(VLOOKUP($B328,Seqs!$A:$B,2,0),I328,1),"")</f>
        <v>K</v>
      </c>
      <c r="I328" s="23">
        <v>63</v>
      </c>
      <c r="J328" s="3" t="str">
        <f>IFERROR(MID(VLOOKUP($B328,Seqs!$A:$B,2,0),K328,1),"")</f>
        <v>Q</v>
      </c>
      <c r="K328" s="23">
        <v>66</v>
      </c>
      <c r="L328" s="3" t="str">
        <f>IFERROR(MID(VLOOKUP($B328,Seqs!$A:$B,2,0),M328,1),"")</f>
        <v>T</v>
      </c>
      <c r="M328" s="3">
        <v>67</v>
      </c>
      <c r="N328" s="3" t="str">
        <f>IFERROR(MID(VLOOKUP($B328,Seqs!$A:$B,2,0),O328,1),"")</f>
        <v>K</v>
      </c>
      <c r="O328" s="3">
        <v>99</v>
      </c>
      <c r="P328" s="3" t="str">
        <f>IFERROR(MID(VLOOKUP($B328,Seqs!$A:$B,2,0),Q328,1),"")</f>
        <v>K</v>
      </c>
      <c r="Q328" s="3">
        <v>100</v>
      </c>
      <c r="R328" s="3" t="str">
        <f>IFERROR(MID(VLOOKUP($B328,Seqs!$A:$B,2,0),S328,1),"")</f>
        <v>F</v>
      </c>
      <c r="S328" s="3">
        <v>103</v>
      </c>
      <c r="T328" s="3" t="str">
        <f>IFERROR(MID(VLOOKUP($B328,Seqs!$A:$B,2,0),U328,1),"")</f>
        <v>G</v>
      </c>
      <c r="U328" s="3">
        <v>104</v>
      </c>
      <c r="V328" s="3" t="str">
        <f>IFERROR(MID(VLOOKUP($B328,Seqs!$A:$B,2,0),W328,1),"")</f>
        <v>R</v>
      </c>
      <c r="W328" s="3">
        <v>139</v>
      </c>
      <c r="X328" s="3" t="str">
        <f>IFERROR(MID(VLOOKUP($B328,Seqs!$A:$B,2,0),Y328,1),"")</f>
        <v>P</v>
      </c>
      <c r="Y328" s="3">
        <v>140</v>
      </c>
      <c r="Z328" s="3" t="str">
        <f>IFERROR(MID(VLOOKUP($B328,Seqs!$A:$B,2,0),AA328,1),"")</f>
        <v>M</v>
      </c>
      <c r="AA328" s="3">
        <v>147</v>
      </c>
      <c r="AB328" s="3" t="str">
        <f>IFERROR(MID(VLOOKUP($B328,Seqs!$A:$B,2,0),AC328,1),"")</f>
        <v>S</v>
      </c>
      <c r="AC328" s="9">
        <v>148</v>
      </c>
      <c r="AD328" s="3" t="str">
        <f>IFERROR(MID(VLOOKUP($B328,Seqs!$A:$B,2,0),AE328,1),"")</f>
        <v>F</v>
      </c>
      <c r="AE328" s="3">
        <v>172</v>
      </c>
      <c r="AF328" s="3" t="str">
        <f>IFERROR(MID(VLOOKUP($B328,Seqs!$A:$B,2,0),AG328,1),"")</f>
        <v>C</v>
      </c>
      <c r="AG328" s="3">
        <v>186</v>
      </c>
      <c r="AH328" s="3" t="str">
        <f>IFERROR(MID(VLOOKUP($B328,Seqs!$A:$B,2,0),AI328,1),"")</f>
        <v>F</v>
      </c>
      <c r="AI328" s="3">
        <v>188</v>
      </c>
      <c r="AJ328" s="3" t="str">
        <f>IFERROR(MID(VLOOKUP($B328,Seqs!$A:$B,2,0),AK328,1),"")</f>
        <v>D</v>
      </c>
      <c r="AK328" s="3">
        <v>194</v>
      </c>
      <c r="AL328" s="3" t="str">
        <f>IFERROR(MID(VLOOKUP($B328,Seqs!$A:$B,2,0),AM328,1),"")</f>
        <v>K</v>
      </c>
      <c r="AM328" s="3">
        <v>239</v>
      </c>
      <c r="AN328" s="3" t="str">
        <f>IFERROR(MID(VLOOKUP($B328,Seqs!$A:$B,2,0),AO328,1),"")</f>
        <v>K</v>
      </c>
      <c r="AO328" s="3">
        <v>244</v>
      </c>
      <c r="AP328" s="3" t="str">
        <f>IFERROR(MID(VLOOKUP($B328,Seqs!$A:$B,2,0),AQ328,1),"")</f>
        <v>G</v>
      </c>
      <c r="AQ328" s="3">
        <v>287</v>
      </c>
      <c r="AR328" s="3" t="str">
        <f>IFERROR(MID(VLOOKUP($B328,Seqs!$A:$B,2,0),AS328,1),"")</f>
        <v>T</v>
      </c>
      <c r="AS328" s="3">
        <v>293</v>
      </c>
      <c r="AT328" s="3" t="str">
        <f>IFERROR(MID(VLOOKUP($B328,Seqs!$A:$B,2,0),AU328,1),"")</f>
        <v>S</v>
      </c>
      <c r="AU328" s="3">
        <v>318</v>
      </c>
      <c r="AV328" s="3" t="str">
        <f>IFERROR(MID(VLOOKUP($B328,Seqs!$A:$B,2,0),AW328,1),"")</f>
        <v>H</v>
      </c>
      <c r="AW328" s="3">
        <v>319</v>
      </c>
      <c r="AX328" s="3" t="str">
        <f>IFERROR(MID(VLOOKUP($B328,Seqs!$A:$B,2,0),AY328,1),"")</f>
        <v>F</v>
      </c>
      <c r="AY328" s="3">
        <v>330</v>
      </c>
      <c r="AZ328" s="77" t="str">
        <f>VLOOKUP(B328,Classification!A:D,2,0)</f>
        <v>A</v>
      </c>
      <c r="BA328" s="94" t="str">
        <f>VLOOKUP(B328,Classification!A:D,4,0)</f>
        <v>Opsins</v>
      </c>
      <c r="BB328" s="27" t="b">
        <f t="shared" si="2542"/>
        <v>1</v>
      </c>
      <c r="BC328" s="23">
        <f t="shared" si="2515"/>
        <v>273</v>
      </c>
      <c r="BD328" s="56" t="s">
        <v>23</v>
      </c>
      <c r="BE328" s="3" t="s">
        <v>23</v>
      </c>
      <c r="BF328" s="118" t="s">
        <v>23</v>
      </c>
      <c r="BG328" s="49" t="s">
        <v>1372</v>
      </c>
      <c r="BH328" s="49" t="s">
        <v>1377</v>
      </c>
      <c r="BI328" s="1"/>
      <c r="BJ328" s="70" t="s">
        <v>1287</v>
      </c>
      <c r="BK328" s="57" t="s">
        <v>1287</v>
      </c>
      <c r="BL328" s="57" t="s">
        <v>1287</v>
      </c>
      <c r="BM328" s="57" t="s">
        <v>1287</v>
      </c>
      <c r="BN328" s="57" t="s">
        <v>1287</v>
      </c>
      <c r="BO328" s="57" t="s">
        <v>1287</v>
      </c>
      <c r="BP328" s="57" t="s">
        <v>1287</v>
      </c>
      <c r="BQ328" s="57" t="s">
        <v>1287</v>
      </c>
      <c r="BR328" s="57" t="s">
        <v>1287</v>
      </c>
      <c r="BS328" s="57" t="s">
        <v>1287</v>
      </c>
      <c r="BT328" s="57" t="s">
        <v>1287</v>
      </c>
      <c r="BU328" s="57" t="s">
        <v>1287</v>
      </c>
      <c r="BV328" s="70">
        <f t="shared" si="2516"/>
        <v>31</v>
      </c>
      <c r="BW328" s="71">
        <f t="shared" si="2517"/>
        <v>63</v>
      </c>
      <c r="BX328" s="72">
        <f t="shared" si="2518"/>
        <v>67</v>
      </c>
      <c r="BY328" s="71">
        <f t="shared" si="2519"/>
        <v>100</v>
      </c>
      <c r="BZ328" s="72">
        <f t="shared" si="2520"/>
        <v>104</v>
      </c>
      <c r="CA328" s="71">
        <f t="shared" si="2521"/>
        <v>140</v>
      </c>
      <c r="CB328" s="72">
        <f t="shared" si="2522"/>
        <v>148</v>
      </c>
      <c r="CC328" s="71">
        <f t="shared" si="2523"/>
        <v>186</v>
      </c>
      <c r="CD328" s="72">
        <f t="shared" si="2524"/>
        <v>194</v>
      </c>
      <c r="CE328" s="71">
        <f t="shared" si="2525"/>
        <v>244</v>
      </c>
      <c r="CF328" s="72">
        <f t="shared" si="2526"/>
        <v>293</v>
      </c>
      <c r="CG328" s="71">
        <f t="shared" si="2527"/>
        <v>319</v>
      </c>
      <c r="CH328" s="70">
        <f t="shared" si="2528"/>
        <v>62</v>
      </c>
      <c r="CI328" s="71">
        <f t="shared" si="2529"/>
        <v>66</v>
      </c>
      <c r="CJ328" s="72">
        <f t="shared" si="2530"/>
        <v>99</v>
      </c>
      <c r="CK328" s="72">
        <f t="shared" si="2531"/>
        <v>103</v>
      </c>
      <c r="CL328" s="72">
        <f t="shared" si="2532"/>
        <v>139</v>
      </c>
      <c r="CM328" s="72">
        <f t="shared" si="2533"/>
        <v>147</v>
      </c>
      <c r="CN328" s="72">
        <f t="shared" si="2534"/>
        <v>172</v>
      </c>
      <c r="CO328" s="72">
        <f t="shared" si="2535"/>
        <v>188</v>
      </c>
      <c r="CP328" s="72">
        <f t="shared" si="2536"/>
        <v>239</v>
      </c>
      <c r="CQ328" s="72">
        <f t="shared" si="2537"/>
        <v>287</v>
      </c>
      <c r="CR328" s="72">
        <f t="shared" si="2538"/>
        <v>318</v>
      </c>
      <c r="CS328" s="72">
        <f t="shared" si="2539"/>
        <v>330</v>
      </c>
      <c r="CT328" s="23">
        <f t="shared" si="2540"/>
        <v>1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30" x14ac:dyDescent="0.2">
      <c r="A329" s="3" t="str">
        <f t="shared" si="2541"/>
        <v>opsd_todpa_2Z73</v>
      </c>
      <c r="B329" s="3" t="s">
        <v>921</v>
      </c>
      <c r="C329" s="3" t="s">
        <v>97</v>
      </c>
      <c r="D329" s="3" t="str">
        <f>IFERROR(MID(VLOOKUP($B329,Seqs!$A:$B,2,0),E329,1),"")</f>
        <v>D</v>
      </c>
      <c r="E329" s="3">
        <v>31</v>
      </c>
      <c r="F329" s="3" t="str">
        <f>IFERROR(MID(VLOOKUP($B329,Seqs!$A:$B,2,0),G329,1),"")</f>
        <v>T</v>
      </c>
      <c r="G329" s="3">
        <v>62</v>
      </c>
      <c r="H329" s="3" t="str">
        <f>IFERROR(MID(VLOOKUP($B329,Seqs!$A:$B,2,0),I329,1),"")</f>
        <v>K</v>
      </c>
      <c r="I329" s="23">
        <v>63</v>
      </c>
      <c r="J329" s="3" t="str">
        <f>IFERROR(MID(VLOOKUP($B329,Seqs!$A:$B,2,0),K329,1),"")</f>
        <v>Q</v>
      </c>
      <c r="K329" s="23">
        <v>66</v>
      </c>
      <c r="L329" s="3" t="str">
        <f>IFERROR(MID(VLOOKUP($B329,Seqs!$A:$B,2,0),M329,1),"")</f>
        <v>T</v>
      </c>
      <c r="M329" s="3">
        <v>67</v>
      </c>
      <c r="N329" s="3" t="str">
        <f>IFERROR(MID(VLOOKUP($B329,Seqs!$A:$B,2,0),O329,1),"")</f>
        <v>K</v>
      </c>
      <c r="O329" s="3">
        <v>99</v>
      </c>
      <c r="P329" s="3" t="str">
        <f>IFERROR(MID(VLOOKUP($B329,Seqs!$A:$B,2,0),Q329,1),"")</f>
        <v>K</v>
      </c>
      <c r="Q329" s="3">
        <v>100</v>
      </c>
      <c r="R329" s="3" t="str">
        <f>IFERROR(MID(VLOOKUP($B329,Seqs!$A:$B,2,0),S329,1),"")</f>
        <v>F</v>
      </c>
      <c r="S329" s="3">
        <v>103</v>
      </c>
      <c r="T329" s="3" t="str">
        <f>IFERROR(MID(VLOOKUP($B329,Seqs!$A:$B,2,0),U329,1),"")</f>
        <v>G</v>
      </c>
      <c r="U329" s="3">
        <v>104</v>
      </c>
      <c r="V329" s="3" t="str">
        <f>IFERROR(MID(VLOOKUP($B329,Seqs!$A:$B,2,0),W329,1),"")</f>
        <v>R</v>
      </c>
      <c r="W329" s="3">
        <v>139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S</v>
      </c>
      <c r="AC329" s="9">
        <v>148</v>
      </c>
      <c r="AD329" s="3" t="str">
        <f>IFERROR(MID(VLOOKUP($B329,Seqs!$A:$B,2,0),AE329,1),"")</f>
        <v>F</v>
      </c>
      <c r="AE329" s="3">
        <v>172</v>
      </c>
      <c r="AF329" s="3" t="str">
        <f>IFERROR(MID(VLOOKUP($B329,Seqs!$A:$B,2,0),AG329,1),"")</f>
        <v>C</v>
      </c>
      <c r="AG329" s="3">
        <v>186</v>
      </c>
      <c r="AH329" s="3" t="str">
        <f>IFERROR(MID(VLOOKUP($B329,Seqs!$A:$B,2,0),AI329,1),"")</f>
        <v>F</v>
      </c>
      <c r="AI329" s="3">
        <v>188</v>
      </c>
      <c r="AJ329" s="3" t="str">
        <f>IFERROR(MID(VLOOKUP($B329,Seqs!$A:$B,2,0),AK329,1),"")</f>
        <v>D</v>
      </c>
      <c r="AK329" s="3">
        <v>194</v>
      </c>
      <c r="AL329" s="3" t="str">
        <f>IFERROR(MID(VLOOKUP($B329,Seqs!$A:$B,2,0),AM329,1),"")</f>
        <v>K</v>
      </c>
      <c r="AM329" s="3">
        <v>239</v>
      </c>
      <c r="AN329" s="3" t="str">
        <f>IFERROR(MID(VLOOKUP($B329,Seqs!$A:$B,2,0),AO329,1),"")</f>
        <v>K</v>
      </c>
      <c r="AO329" s="3">
        <v>244</v>
      </c>
      <c r="AP329" s="3" t="str">
        <f>IFERROR(MID(VLOOKUP($B329,Seqs!$A:$B,2,0),AQ329,1),"")</f>
        <v>G</v>
      </c>
      <c r="AQ329" s="3">
        <v>287</v>
      </c>
      <c r="AR329" s="3" t="str">
        <f>IFERROR(MID(VLOOKUP($B329,Seqs!$A:$B,2,0),AS329,1),"")</f>
        <v>T</v>
      </c>
      <c r="AS329" s="3">
        <v>293</v>
      </c>
      <c r="AT329" s="3" t="str">
        <f>IFERROR(MID(VLOOKUP($B329,Seqs!$A:$B,2,0),AU329,1),"")</f>
        <v>S</v>
      </c>
      <c r="AU329" s="3">
        <v>318</v>
      </c>
      <c r="AV329" s="3" t="str">
        <f>IFERROR(MID(VLOOKUP($B329,Seqs!$A:$B,2,0),AW329,1),"")</f>
        <v>H</v>
      </c>
      <c r="AW329" s="3">
        <v>319</v>
      </c>
      <c r="AX329" s="3" t="str">
        <f>IFERROR(MID(VLOOKUP($B329,Seqs!$A:$B,2,0),AY329,1),"")</f>
        <v>F</v>
      </c>
      <c r="AY329" s="3">
        <v>330</v>
      </c>
      <c r="AZ329" s="77" t="str">
        <f>VLOOKUP(B329,Classification!A:D,2,0)</f>
        <v>A</v>
      </c>
      <c r="BA329" s="94" t="str">
        <f>VLOOKUP(B329,Classification!A:D,4,0)</f>
        <v>Opsins</v>
      </c>
      <c r="BB329" s="27" t="b">
        <f t="shared" si="2542"/>
        <v>1</v>
      </c>
      <c r="BC329" s="23">
        <f t="shared" si="2515"/>
        <v>266</v>
      </c>
      <c r="BD329" s="2" t="s">
        <v>23</v>
      </c>
      <c r="BE329" s="3" t="s">
        <v>1374</v>
      </c>
      <c r="BF329" s="118">
        <v>2.5</v>
      </c>
      <c r="BG329" s="49" t="s">
        <v>1377</v>
      </c>
      <c r="BH329" s="49" t="s">
        <v>1377</v>
      </c>
      <c r="BI329" s="1"/>
      <c r="BJ329" s="70" t="s">
        <v>1287</v>
      </c>
      <c r="BK329" s="57" t="s">
        <v>1287</v>
      </c>
      <c r="BL329" s="57" t="s">
        <v>1287</v>
      </c>
      <c r="BM329" s="57" t="s">
        <v>1287</v>
      </c>
      <c r="BN329" s="57" t="s">
        <v>1287</v>
      </c>
      <c r="BO329" s="57" t="s">
        <v>1287</v>
      </c>
      <c r="BP329" s="57" t="s">
        <v>1287</v>
      </c>
      <c r="BQ329" s="57" t="s">
        <v>1287</v>
      </c>
      <c r="BR329" s="57" t="s">
        <v>1287</v>
      </c>
      <c r="BS329" s="57" t="s">
        <v>1287</v>
      </c>
      <c r="BT329" s="57" t="s">
        <v>1287</v>
      </c>
      <c r="BU329" s="57" t="s">
        <v>1287</v>
      </c>
      <c r="BV329" s="70">
        <f t="shared" si="2516"/>
        <v>31</v>
      </c>
      <c r="BW329" s="71">
        <f t="shared" si="2517"/>
        <v>63</v>
      </c>
      <c r="BX329" s="72">
        <f t="shared" si="2518"/>
        <v>67</v>
      </c>
      <c r="BY329" s="71">
        <f t="shared" si="2519"/>
        <v>100</v>
      </c>
      <c r="BZ329" s="72">
        <f t="shared" si="2520"/>
        <v>104</v>
      </c>
      <c r="CA329" s="71" t="str">
        <f t="shared" si="2521"/>
        <v>-</v>
      </c>
      <c r="CB329" s="72">
        <f t="shared" si="2522"/>
        <v>148</v>
      </c>
      <c r="CC329" s="71">
        <f t="shared" si="2523"/>
        <v>186</v>
      </c>
      <c r="CD329" s="72">
        <f t="shared" si="2524"/>
        <v>194</v>
      </c>
      <c r="CE329" s="71">
        <f t="shared" si="2525"/>
        <v>244</v>
      </c>
      <c r="CF329" s="72">
        <f t="shared" si="2526"/>
        <v>293</v>
      </c>
      <c r="CG329" s="71">
        <f t="shared" si="2527"/>
        <v>319</v>
      </c>
      <c r="CH329" s="70">
        <f t="shared" si="2528"/>
        <v>62</v>
      </c>
      <c r="CI329" s="71">
        <f t="shared" si="2529"/>
        <v>66</v>
      </c>
      <c r="CJ329" s="72">
        <f t="shared" si="2530"/>
        <v>99</v>
      </c>
      <c r="CK329" s="72">
        <f t="shared" si="2531"/>
        <v>103</v>
      </c>
      <c r="CL329" s="72">
        <f t="shared" si="2532"/>
        <v>139</v>
      </c>
      <c r="CM329" s="72" t="str">
        <f t="shared" si="2533"/>
        <v>-</v>
      </c>
      <c r="CN329" s="72">
        <f t="shared" si="2534"/>
        <v>172</v>
      </c>
      <c r="CO329" s="72">
        <f t="shared" si="2535"/>
        <v>188</v>
      </c>
      <c r="CP329" s="72">
        <f t="shared" si="2536"/>
        <v>239</v>
      </c>
      <c r="CQ329" s="72">
        <f t="shared" si="2537"/>
        <v>287</v>
      </c>
      <c r="CR329" s="72">
        <f t="shared" si="2538"/>
        <v>318</v>
      </c>
      <c r="CS329" s="72">
        <f t="shared" si="2539"/>
        <v>330</v>
      </c>
      <c r="CT329" s="23">
        <f t="shared" si="2540"/>
        <v>1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  <c r="AMP329" s="2"/>
    </row>
    <row r="330" spans="1:1030" x14ac:dyDescent="0.2">
      <c r="A330" s="3" t="str">
        <f t="shared" si="2541"/>
        <v>ox1r_human__wt</v>
      </c>
      <c r="B330" s="3" t="s">
        <v>1174</v>
      </c>
      <c r="C330" s="3" t="s">
        <v>100</v>
      </c>
      <c r="D330" s="3" t="str">
        <f>IFERROR(MID(VLOOKUP($B330,Seqs!$A:$B,2,0),E330,1),"")</f>
        <v>E</v>
      </c>
      <c r="E330" s="3">
        <v>46</v>
      </c>
      <c r="F330" s="3" t="str">
        <f>IFERROR(MID(VLOOKUP($B330,Seqs!$A:$B,2,0),G330,1),"")</f>
        <v>N</v>
      </c>
      <c r="G330" s="3">
        <v>74</v>
      </c>
      <c r="H330" s="3" t="str">
        <f>IFERROR(MID(VLOOKUP($B330,Seqs!$A:$B,2,0),I330,1),"")</f>
        <v>H</v>
      </c>
      <c r="I330" s="23">
        <v>75</v>
      </c>
      <c r="J330" s="3" t="str">
        <f>IFERROR(MID(VLOOKUP($B330,Seqs!$A:$B,2,0),K330,1),"")</f>
        <v>R</v>
      </c>
      <c r="K330" s="23">
        <v>78</v>
      </c>
      <c r="L330" s="3" t="str">
        <f>IFERROR(MID(VLOOKUP($B330,Seqs!$A:$B,2,0),M330,1),"")</f>
        <v>T</v>
      </c>
      <c r="M330" s="3">
        <v>79</v>
      </c>
      <c r="N330" s="3" t="str">
        <f>IFERROR(MID(VLOOKUP($B330,Seqs!$A:$B,2,0),O330,1),"")</f>
        <v>E</v>
      </c>
      <c r="O330" s="105">
        <v>110</v>
      </c>
      <c r="P330" s="3" t="str">
        <f>IFERROR(MID(VLOOKUP($B330,Seqs!$A:$B,2,0),Q330,1),"")</f>
        <v>S</v>
      </c>
      <c r="Q330" s="3">
        <v>111</v>
      </c>
      <c r="R330" s="3" t="str">
        <f>IFERROR(MID(VLOOKUP($B330,Seqs!$A:$B,2,0),S330,1),"")</f>
        <v>F</v>
      </c>
      <c r="S330" s="3">
        <v>114</v>
      </c>
      <c r="T330" s="3" t="str">
        <f>IFERROR(MID(VLOOKUP($B330,Seqs!$A:$B,2,0),U330,1),"")</f>
        <v>G</v>
      </c>
      <c r="U330" s="3">
        <v>115</v>
      </c>
      <c r="V330" s="3" t="str">
        <f>IFERROR(MID(VLOOKUP($B330,Seqs!$A:$B,2,0),W330,1),"")</f>
        <v>H</v>
      </c>
      <c r="W330" s="3">
        <v>150</v>
      </c>
      <c r="X330" s="3" t="str">
        <f>IFERROR(MID(VLOOKUP($B330,Seqs!$A:$B,2,0),Y330,1),"")</f>
        <v>P</v>
      </c>
      <c r="Y330" s="3">
        <v>151</v>
      </c>
      <c r="Z330" s="3" t="str">
        <f>IFERROR(MID(VLOOKUP($B330,Seqs!$A:$B,2,0),AA330,1),"")</f>
        <v>F</v>
      </c>
      <c r="AA330" s="73">
        <v>154</v>
      </c>
      <c r="AB330" s="3" t="str">
        <f>IFERROR(MID(VLOOKUP($B330,Seqs!$A:$B,2,0),AC330,1),"")</f>
        <v>T</v>
      </c>
      <c r="AC330" s="9">
        <v>157</v>
      </c>
      <c r="AD330" s="3" t="str">
        <f>IFERROR(MID(VLOOKUP($B330,Seqs!$A:$B,2,0),AE330,1),"")</f>
        <v>M</v>
      </c>
      <c r="AE330" s="3">
        <v>183</v>
      </c>
      <c r="AF330" s="3" t="str">
        <f>IFERROR(MID(VLOOKUP($B330,Seqs!$A:$B,2,0),AG330,1),"")</f>
        <v>C</v>
      </c>
      <c r="AG330" s="3">
        <v>202</v>
      </c>
      <c r="AH330" s="3" t="str">
        <f>IFERROR(MID(VLOOKUP($B330,Seqs!$A:$B,2,0),AI330,1),"")</f>
        <v>E</v>
      </c>
      <c r="AI330" s="3">
        <v>204</v>
      </c>
      <c r="AJ330" s="3" t="str">
        <f>IFERROR(MID(VLOOKUP($B330,Seqs!$A:$B,2,0),AK330,1),"")</f>
        <v>L</v>
      </c>
      <c r="AK330" s="105">
        <v>210</v>
      </c>
      <c r="AL330" s="3" t="str">
        <f>IFERROR(MID(VLOOKUP($B330,Seqs!$A:$B,2,0),AM330,1),"")</f>
        <v>P</v>
      </c>
      <c r="AM330" s="3">
        <v>248</v>
      </c>
      <c r="AN330" s="3" t="str">
        <f>IFERROR(MID(VLOOKUP($B330,Seqs!$A:$B,2,0),AO330,1),"")</f>
        <v>F</v>
      </c>
      <c r="AO330" s="3">
        <v>283</v>
      </c>
      <c r="AP330" s="3" t="str">
        <f>IFERROR(MID(VLOOKUP($B330,Seqs!$A:$B,2,0),AQ330,1),"")</f>
        <v>F</v>
      </c>
      <c r="AQ330" s="3">
        <v>324</v>
      </c>
      <c r="AR330" s="3" t="str">
        <f>IFERROR(MID(VLOOKUP($B330,Seqs!$A:$B,2,0),AS330,1),"")</f>
        <v>D</v>
      </c>
      <c r="AS330" s="105">
        <v>332</v>
      </c>
      <c r="AT330" s="3" t="str">
        <f>IFERROR(MID(VLOOKUP($B330,Seqs!$A:$B,2,0),AU330,1),"")</f>
        <v>L</v>
      </c>
      <c r="AU330" s="3">
        <v>361</v>
      </c>
      <c r="AV330" s="3" t="str">
        <f>IFERROR(MID(VLOOKUP($B330,Seqs!$A:$B,2,0),AW330,1),"")</f>
        <v>S</v>
      </c>
      <c r="AW330" s="3">
        <v>362</v>
      </c>
      <c r="AX330" s="3" t="str">
        <f>IFERROR(MID(VLOOKUP($B330,Seqs!$A:$B,2,0),AY330,1),"")</f>
        <v>P</v>
      </c>
      <c r="AY330" s="3">
        <v>378</v>
      </c>
      <c r="AZ330" s="77" t="str">
        <f>VLOOKUP(B330,Classification!A:D,2,0)</f>
        <v>A</v>
      </c>
      <c r="BA330" s="94" t="str">
        <f>VLOOKUP(B330,Classification!A:D,4,0)</f>
        <v>Orexin</v>
      </c>
      <c r="BB330" s="27" t="b">
        <f t="shared" si="2542"/>
        <v>1</v>
      </c>
      <c r="BC330" s="23">
        <f t="shared" si="2515"/>
        <v>267</v>
      </c>
      <c r="BD330" s="56" t="s">
        <v>23</v>
      </c>
      <c r="BE330" s="3" t="s">
        <v>23</v>
      </c>
      <c r="BF330" s="118" t="s">
        <v>23</v>
      </c>
      <c r="BG330" s="49" t="s">
        <v>1372</v>
      </c>
      <c r="BH330" s="49" t="s">
        <v>1377</v>
      </c>
      <c r="BI330" s="1"/>
      <c r="BJ330" s="70" t="s">
        <v>1287</v>
      </c>
      <c r="BK330" s="57" t="s">
        <v>1287</v>
      </c>
      <c r="BL330" s="57" t="s">
        <v>1287</v>
      </c>
      <c r="BM330" s="57" t="s">
        <v>1287</v>
      </c>
      <c r="BN330" s="57" t="s">
        <v>1287</v>
      </c>
      <c r="BO330" s="57" t="s">
        <v>1287</v>
      </c>
      <c r="BP330" s="57" t="s">
        <v>1287</v>
      </c>
      <c r="BQ330" s="57" t="s">
        <v>1287</v>
      </c>
      <c r="BR330" s="57" t="s">
        <v>1287</v>
      </c>
      <c r="BS330" s="57" t="s">
        <v>1287</v>
      </c>
      <c r="BT330" s="57" t="s">
        <v>1287</v>
      </c>
      <c r="BU330" s="57" t="s">
        <v>1287</v>
      </c>
      <c r="BV330" s="70">
        <f t="shared" si="2516"/>
        <v>46</v>
      </c>
      <c r="BW330" s="71">
        <f t="shared" si="2517"/>
        <v>75</v>
      </c>
      <c r="BX330" s="72">
        <f t="shared" si="2518"/>
        <v>79</v>
      </c>
      <c r="BY330" s="71">
        <f t="shared" si="2519"/>
        <v>111</v>
      </c>
      <c r="BZ330" s="72">
        <f t="shared" si="2520"/>
        <v>115</v>
      </c>
      <c r="CA330" s="71">
        <f t="shared" si="2521"/>
        <v>151</v>
      </c>
      <c r="CB330" s="72">
        <f t="shared" si="2522"/>
        <v>157</v>
      </c>
      <c r="CC330" s="71">
        <f t="shared" si="2523"/>
        <v>202</v>
      </c>
      <c r="CD330" s="72">
        <f t="shared" si="2524"/>
        <v>210</v>
      </c>
      <c r="CE330" s="71">
        <f t="shared" si="2525"/>
        <v>283</v>
      </c>
      <c r="CF330" s="72">
        <f t="shared" si="2526"/>
        <v>332</v>
      </c>
      <c r="CG330" s="71">
        <f t="shared" si="2527"/>
        <v>362</v>
      </c>
      <c r="CH330" s="70">
        <f t="shared" si="2528"/>
        <v>74</v>
      </c>
      <c r="CI330" s="71">
        <f t="shared" si="2529"/>
        <v>78</v>
      </c>
      <c r="CJ330" s="72">
        <f t="shared" si="2530"/>
        <v>110</v>
      </c>
      <c r="CK330" s="72">
        <f t="shared" si="2531"/>
        <v>114</v>
      </c>
      <c r="CL330" s="72">
        <f t="shared" si="2532"/>
        <v>150</v>
      </c>
      <c r="CM330" s="72">
        <f t="shared" si="2533"/>
        <v>154</v>
      </c>
      <c r="CN330" s="72">
        <f t="shared" si="2534"/>
        <v>183</v>
      </c>
      <c r="CO330" s="72">
        <f t="shared" si="2535"/>
        <v>204</v>
      </c>
      <c r="CP330" s="72">
        <f t="shared" si="2536"/>
        <v>248</v>
      </c>
      <c r="CQ330" s="72">
        <f t="shared" si="2537"/>
        <v>324</v>
      </c>
      <c r="CR330" s="72">
        <f t="shared" si="2538"/>
        <v>361</v>
      </c>
      <c r="CS330" s="72">
        <f t="shared" si="2539"/>
        <v>378</v>
      </c>
      <c r="CT330" s="23">
        <f t="shared" si="2540"/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30" x14ac:dyDescent="0.2">
      <c r="A331" s="3" t="str">
        <f t="shared" si="2541"/>
        <v>ox1r_human_4ZJ8</v>
      </c>
      <c r="B331" s="3" t="s">
        <v>1174</v>
      </c>
      <c r="C331" s="3" t="s">
        <v>90</v>
      </c>
      <c r="D331" s="3" t="str">
        <f>IFERROR(MID(VLOOKUP($B331,Seqs!$A:$B,2,0),E331,1),"")</f>
        <v>E</v>
      </c>
      <c r="E331" s="3">
        <v>46</v>
      </c>
      <c r="F331" s="3" t="str">
        <f>IFERROR(MID(VLOOKUP($B331,Seqs!$A:$B,2,0),G331,1),"")</f>
        <v>N</v>
      </c>
      <c r="G331" s="3">
        <v>74</v>
      </c>
      <c r="H331" s="3" t="str">
        <f>IFERROR(MID(VLOOKUP($B331,Seqs!$A:$B,2,0),I331,1),"")</f>
        <v>H</v>
      </c>
      <c r="I331" s="23">
        <v>75</v>
      </c>
      <c r="J331" s="3" t="str">
        <f>IFERROR(MID(VLOOKUP($B331,Seqs!$A:$B,2,0),K331,1),"")</f>
        <v>R</v>
      </c>
      <c r="K331" s="23">
        <v>78</v>
      </c>
      <c r="L331" s="3" t="str">
        <f>IFERROR(MID(VLOOKUP($B331,Seqs!$A:$B,2,0),M331,1),"")</f>
        <v>T</v>
      </c>
      <c r="M331" s="3">
        <v>79</v>
      </c>
      <c r="N331" s="3" t="str">
        <f>IFERROR(MID(VLOOKUP($B331,Seqs!$A:$B,2,0),O331,1),"")</f>
        <v>E</v>
      </c>
      <c r="O331" s="3">
        <v>110</v>
      </c>
      <c r="P331" s="3" t="str">
        <f>IFERROR(MID(VLOOKUP($B331,Seqs!$A:$B,2,0),Q331,1),"")</f>
        <v>S</v>
      </c>
      <c r="Q331" s="3">
        <v>111</v>
      </c>
      <c r="R331" s="3" t="str">
        <f>IFERROR(MID(VLOOKUP($B331,Seqs!$A:$B,2,0),S331,1),"")</f>
        <v>F</v>
      </c>
      <c r="S331" s="3">
        <v>114</v>
      </c>
      <c r="T331" s="3" t="str">
        <f>IFERROR(MID(VLOOKUP($B331,Seqs!$A:$B,2,0),U331,1),"")</f>
        <v>G</v>
      </c>
      <c r="U331" s="3">
        <v>115</v>
      </c>
      <c r="V331" s="3" t="str">
        <f>IFERROR(MID(VLOOKUP($B331,Seqs!$A:$B,2,0),W331,1),"")</f>
        <v>H</v>
      </c>
      <c r="W331" s="3">
        <v>150</v>
      </c>
      <c r="X331" s="3" t="str">
        <f>IFERROR(MID(VLOOKUP($B331,Seqs!$A:$B,2,0),Y331,1),"")</f>
        <v>P</v>
      </c>
      <c r="Y331" s="3">
        <v>151</v>
      </c>
      <c r="Z331" s="3" t="str">
        <f>IFERROR(MID(VLOOKUP($B331,Seqs!$A:$B,2,0),AA331,1),"")</f>
        <v>F</v>
      </c>
      <c r="AA331" s="3">
        <v>154</v>
      </c>
      <c r="AB331" s="3" t="str">
        <f>IFERROR(MID(VLOOKUP($B331,Seqs!$A:$B,2,0),AC331,1),"")</f>
        <v>T</v>
      </c>
      <c r="AC331" s="9">
        <v>157</v>
      </c>
      <c r="AD331" s="3" t="str">
        <f>IFERROR(MID(VLOOKUP($B331,Seqs!$A:$B,2,0),AE331,1),"")</f>
        <v>M</v>
      </c>
      <c r="AE331" s="3">
        <v>183</v>
      </c>
      <c r="AF331" s="3" t="str">
        <f>IFERROR(MID(VLOOKUP($B331,Seqs!$A:$B,2,0),AG331,1),"")</f>
        <v>C</v>
      </c>
      <c r="AG331" s="3">
        <v>202</v>
      </c>
      <c r="AH331" s="3" t="str">
        <f>IFERROR(MID(VLOOKUP($B331,Seqs!$A:$B,2,0),AI331,1),"")</f>
        <v>E</v>
      </c>
      <c r="AI331" s="3">
        <v>204</v>
      </c>
      <c r="AJ331" s="3" t="str">
        <f>IFERROR(MID(VLOOKUP($B331,Seqs!$A:$B,2,0),AK331,1),"")</f>
        <v>L</v>
      </c>
      <c r="AK331" s="3">
        <v>210</v>
      </c>
      <c r="AL331" s="3" t="str">
        <f>IFERROR(MID(VLOOKUP($B331,Seqs!$A:$B,2,0),AM331,1),"")</f>
        <v>L</v>
      </c>
      <c r="AM331" s="3">
        <v>242</v>
      </c>
      <c r="AN331" s="3" t="str">
        <f>IFERROR(MID(VLOOKUP($B331,Seqs!$A:$B,2,0),AO331,1),"")</f>
        <v>K</v>
      </c>
      <c r="AO331" s="3">
        <v>288</v>
      </c>
      <c r="AP331" s="3" t="str">
        <f>IFERROR(MID(VLOOKUP($B331,Seqs!$A:$B,2,0),AQ331,1),"")</f>
        <v>F</v>
      </c>
      <c r="AQ331" s="3">
        <v>324</v>
      </c>
      <c r="AR331" s="3" t="str">
        <f>IFERROR(MID(VLOOKUP($B331,Seqs!$A:$B,2,0),AS331,1),"")</f>
        <v>R</v>
      </c>
      <c r="AS331" s="3">
        <v>333</v>
      </c>
      <c r="AT331" s="3" t="str">
        <f>IFERROR(MID(VLOOKUP($B331,Seqs!$A:$B,2,0),AU331,1),"")</f>
        <v>L</v>
      </c>
      <c r="AU331" s="3">
        <v>361</v>
      </c>
      <c r="AV331" s="3" t="str">
        <f>IFERROR(MID(VLOOKUP($B331,Seqs!$A:$B,2,0),AW331,1),"")</f>
        <v>S</v>
      </c>
      <c r="AW331" s="3">
        <v>362</v>
      </c>
      <c r="AX331" s="3" t="str">
        <f>IFERROR(MID(VLOOKUP($B331,Seqs!$A:$B,2,0),AY331,1),"")</f>
        <v>F</v>
      </c>
      <c r="AY331" s="3">
        <v>373</v>
      </c>
      <c r="AZ331" s="77" t="str">
        <f>VLOOKUP(B331,Classification!A:D,2,0)</f>
        <v>A</v>
      </c>
      <c r="BA331" s="94" t="str">
        <f>VLOOKUP(B331,Classification!A:D,4,0)</f>
        <v>Orexin</v>
      </c>
      <c r="BB331" s="27" t="b">
        <f t="shared" si="2542"/>
        <v>1</v>
      </c>
      <c r="BC331" s="23">
        <f t="shared" si="2515"/>
        <v>250</v>
      </c>
      <c r="BD331" s="4" t="s">
        <v>23</v>
      </c>
      <c r="BE331" s="3" t="s">
        <v>1374</v>
      </c>
      <c r="BF331" s="118">
        <v>2.75</v>
      </c>
      <c r="BG331" s="49" t="s">
        <v>1377</v>
      </c>
      <c r="BH331" s="49" t="s">
        <v>1377</v>
      </c>
      <c r="BI331" s="1"/>
      <c r="BJ331" s="70" t="s">
        <v>1287</v>
      </c>
      <c r="BK331" s="57" t="s">
        <v>1287</v>
      </c>
      <c r="BL331" s="57" t="s">
        <v>1287</v>
      </c>
      <c r="BM331" s="57" t="s">
        <v>1287</v>
      </c>
      <c r="BN331" s="57" t="s">
        <v>1287</v>
      </c>
      <c r="BO331" s="57" t="s">
        <v>1287</v>
      </c>
      <c r="BP331" s="57" t="s">
        <v>1287</v>
      </c>
      <c r="BQ331" s="57" t="s">
        <v>1287</v>
      </c>
      <c r="BR331" s="57" t="s">
        <v>1287</v>
      </c>
      <c r="BS331" s="57" t="s">
        <v>1287</v>
      </c>
      <c r="BT331" s="57" t="s">
        <v>1287</v>
      </c>
      <c r="BU331" s="57" t="s">
        <v>1287</v>
      </c>
      <c r="BV331" s="70">
        <f t="shared" si="2516"/>
        <v>46</v>
      </c>
      <c r="BW331" s="71">
        <f t="shared" si="2517"/>
        <v>75</v>
      </c>
      <c r="BX331" s="72">
        <f t="shared" si="2518"/>
        <v>79</v>
      </c>
      <c r="BY331" s="71">
        <f t="shared" si="2519"/>
        <v>111</v>
      </c>
      <c r="BZ331" s="72">
        <f t="shared" si="2520"/>
        <v>115</v>
      </c>
      <c r="CA331" s="71">
        <f t="shared" si="2521"/>
        <v>151</v>
      </c>
      <c r="CB331" s="72">
        <f t="shared" si="2522"/>
        <v>157</v>
      </c>
      <c r="CC331" s="71">
        <f t="shared" si="2523"/>
        <v>202</v>
      </c>
      <c r="CD331" s="72">
        <f t="shared" si="2524"/>
        <v>210</v>
      </c>
      <c r="CE331" s="71">
        <f t="shared" si="2525"/>
        <v>288</v>
      </c>
      <c r="CF331" s="72">
        <f t="shared" si="2526"/>
        <v>333</v>
      </c>
      <c r="CG331" s="71">
        <f t="shared" si="2527"/>
        <v>362</v>
      </c>
      <c r="CH331" s="70">
        <f t="shared" si="2528"/>
        <v>74</v>
      </c>
      <c r="CI331" s="71">
        <f t="shared" si="2529"/>
        <v>78</v>
      </c>
      <c r="CJ331" s="72">
        <f t="shared" si="2530"/>
        <v>110</v>
      </c>
      <c r="CK331" s="72">
        <f t="shared" si="2531"/>
        <v>114</v>
      </c>
      <c r="CL331" s="72">
        <f t="shared" si="2532"/>
        <v>150</v>
      </c>
      <c r="CM331" s="72">
        <f t="shared" si="2533"/>
        <v>154</v>
      </c>
      <c r="CN331" s="72">
        <f t="shared" si="2534"/>
        <v>183</v>
      </c>
      <c r="CO331" s="72">
        <f t="shared" si="2535"/>
        <v>204</v>
      </c>
      <c r="CP331" s="72">
        <f t="shared" si="2536"/>
        <v>242</v>
      </c>
      <c r="CQ331" s="72">
        <f t="shared" si="2537"/>
        <v>324</v>
      </c>
      <c r="CR331" s="72">
        <f t="shared" si="2538"/>
        <v>361</v>
      </c>
      <c r="CS331" s="72">
        <f t="shared" si="2539"/>
        <v>373</v>
      </c>
      <c r="CT331" s="23">
        <f t="shared" si="2540"/>
        <v>1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  <c r="AMP331" s="2"/>
    </row>
    <row r="332" spans="1:1030" x14ac:dyDescent="0.2">
      <c r="A332" s="3" t="str">
        <f t="shared" si="2541"/>
        <v>ox1r_human_4ZJC</v>
      </c>
      <c r="B332" s="3" t="s">
        <v>1174</v>
      </c>
      <c r="C332" s="3" t="s">
        <v>91</v>
      </c>
      <c r="D332" s="3" t="str">
        <f>IFERROR(MID(VLOOKUP($B332,Seqs!$A:$B,2,0),E332,1),"")</f>
        <v>E</v>
      </c>
      <c r="E332" s="3">
        <v>46</v>
      </c>
      <c r="F332" s="3" t="str">
        <f>IFERROR(MID(VLOOKUP($B332,Seqs!$A:$B,2,0),G332,1),"")</f>
        <v>N</v>
      </c>
      <c r="G332" s="3">
        <v>74</v>
      </c>
      <c r="H332" s="3" t="str">
        <f>IFERROR(MID(VLOOKUP($B332,Seqs!$A:$B,2,0),I332,1),"")</f>
        <v>H</v>
      </c>
      <c r="I332" s="23">
        <v>75</v>
      </c>
      <c r="J332" s="3" t="str">
        <f>IFERROR(MID(VLOOKUP($B332,Seqs!$A:$B,2,0),K332,1),"")</f>
        <v>R</v>
      </c>
      <c r="K332" s="23">
        <v>78</v>
      </c>
      <c r="L332" s="3" t="str">
        <f>IFERROR(MID(VLOOKUP($B332,Seqs!$A:$B,2,0),M332,1),"")</f>
        <v>T</v>
      </c>
      <c r="M332" s="3">
        <v>79</v>
      </c>
      <c r="N332" s="3" t="str">
        <f>IFERROR(MID(VLOOKUP($B332,Seqs!$A:$B,2,0),O332,1),"")</f>
        <v>E</v>
      </c>
      <c r="O332" s="3">
        <v>110</v>
      </c>
      <c r="P332" s="3" t="str">
        <f>IFERROR(MID(VLOOKUP($B332,Seqs!$A:$B,2,0),Q332,1),"")</f>
        <v>S</v>
      </c>
      <c r="Q332" s="3">
        <v>111</v>
      </c>
      <c r="R332" s="3" t="str">
        <f>IFERROR(MID(VLOOKUP($B332,Seqs!$A:$B,2,0),S332,1),"")</f>
        <v>F</v>
      </c>
      <c r="S332" s="3">
        <v>114</v>
      </c>
      <c r="T332" s="3" t="str">
        <f>IFERROR(MID(VLOOKUP($B332,Seqs!$A:$B,2,0),U332,1),"")</f>
        <v>G</v>
      </c>
      <c r="U332" s="3">
        <v>115</v>
      </c>
      <c r="V332" s="3" t="str">
        <f>IFERROR(MID(VLOOKUP($B332,Seqs!$A:$B,2,0),W332,1),"")</f>
        <v>H</v>
      </c>
      <c r="W332" s="3">
        <v>150</v>
      </c>
      <c r="X332" s="3" t="str">
        <f>IFERROR(MID(VLOOKUP($B332,Seqs!$A:$B,2,0),Y332,1),"")</f>
        <v>P</v>
      </c>
      <c r="Y332" s="3">
        <v>151</v>
      </c>
      <c r="Z332" s="3" t="str">
        <f>IFERROR(MID(VLOOKUP($B332,Seqs!$A:$B,2,0),AA332,1),"")</f>
        <v>F</v>
      </c>
      <c r="AA332" s="3">
        <v>154</v>
      </c>
      <c r="AB332" s="3" t="str">
        <f>IFERROR(MID(VLOOKUP($B332,Seqs!$A:$B,2,0),AC332,1),"")</f>
        <v>T</v>
      </c>
      <c r="AC332" s="9">
        <v>157</v>
      </c>
      <c r="AD332" s="3" t="str">
        <f>IFERROR(MID(VLOOKUP($B332,Seqs!$A:$B,2,0),AE332,1),"")</f>
        <v>M</v>
      </c>
      <c r="AE332" s="3">
        <v>183</v>
      </c>
      <c r="AF332" s="3" t="str">
        <f>IFERROR(MID(VLOOKUP($B332,Seqs!$A:$B,2,0),AG332,1),"")</f>
        <v>C</v>
      </c>
      <c r="AG332" s="3">
        <v>202</v>
      </c>
      <c r="AH332" s="3" t="str">
        <f>IFERROR(MID(VLOOKUP($B332,Seqs!$A:$B,2,0),AI332,1),"")</f>
        <v>E</v>
      </c>
      <c r="AI332" s="3">
        <v>204</v>
      </c>
      <c r="AJ332" s="3" t="str">
        <f>IFERROR(MID(VLOOKUP($B332,Seqs!$A:$B,2,0),AK332,1),"")</f>
        <v>L</v>
      </c>
      <c r="AK332" s="3">
        <v>210</v>
      </c>
      <c r="AL332" s="3" t="str">
        <f>IFERROR(MID(VLOOKUP($B332,Seqs!$A:$B,2,0),AM332,1),"")</f>
        <v>L</v>
      </c>
      <c r="AM332" s="3">
        <v>242</v>
      </c>
      <c r="AN332" s="3" t="str">
        <f>IFERROR(MID(VLOOKUP($B332,Seqs!$A:$B,2,0),AO332,1),"")</f>
        <v>K</v>
      </c>
      <c r="AO332" s="3">
        <v>288</v>
      </c>
      <c r="AP332" s="3" t="str">
        <f>IFERROR(MID(VLOOKUP($B332,Seqs!$A:$B,2,0),AQ332,1),"")</f>
        <v>F</v>
      </c>
      <c r="AQ332" s="3">
        <v>324</v>
      </c>
      <c r="AR332" s="3" t="str">
        <f>IFERROR(MID(VLOOKUP($B332,Seqs!$A:$B,2,0),AS332,1),"")</f>
        <v>R</v>
      </c>
      <c r="AS332" s="3">
        <v>333</v>
      </c>
      <c r="AT332" s="3" t="str">
        <f>IFERROR(MID(VLOOKUP($B332,Seqs!$A:$B,2,0),AU332,1),"")</f>
        <v>L</v>
      </c>
      <c r="AU332" s="3">
        <v>361</v>
      </c>
      <c r="AV332" s="3" t="str">
        <f>IFERROR(MID(VLOOKUP($B332,Seqs!$A:$B,2,0),AW332,1),"")</f>
        <v>S</v>
      </c>
      <c r="AW332" s="3">
        <v>362</v>
      </c>
      <c r="AX332" s="3" t="str">
        <f>IFERROR(MID(VLOOKUP($B332,Seqs!$A:$B,2,0),AY332,1),"")</f>
        <v>F</v>
      </c>
      <c r="AY332" s="3">
        <v>373</v>
      </c>
      <c r="AZ332" s="77" t="str">
        <f>VLOOKUP(B332,Classification!A:D,2,0)</f>
        <v>A</v>
      </c>
      <c r="BA332" s="94" t="str">
        <f>VLOOKUP(B332,Classification!A:D,4,0)</f>
        <v>Orexin</v>
      </c>
      <c r="BB332" s="27" t="b">
        <f t="shared" si="2542"/>
        <v>1</v>
      </c>
      <c r="BC332" s="23">
        <f t="shared" si="2515"/>
        <v>250</v>
      </c>
      <c r="BD332" s="2" t="s">
        <v>23</v>
      </c>
      <c r="BE332" s="3" t="s">
        <v>1374</v>
      </c>
      <c r="BF332" s="118">
        <v>2.83</v>
      </c>
      <c r="BG332" s="49" t="s">
        <v>1377</v>
      </c>
      <c r="BH332" s="49" t="s">
        <v>1377</v>
      </c>
      <c r="BI332" s="1"/>
      <c r="BJ332" s="70" t="s">
        <v>1287</v>
      </c>
      <c r="BK332" s="57" t="s">
        <v>1287</v>
      </c>
      <c r="BL332" s="57" t="s">
        <v>1287</v>
      </c>
      <c r="BM332" s="57" t="s">
        <v>1287</v>
      </c>
      <c r="BN332" s="57" t="s">
        <v>1287</v>
      </c>
      <c r="BO332" s="57" t="s">
        <v>1287</v>
      </c>
      <c r="BP332" s="57" t="s">
        <v>1287</v>
      </c>
      <c r="BQ332" s="57" t="s">
        <v>1287</v>
      </c>
      <c r="BR332" s="57" t="s">
        <v>1287</v>
      </c>
      <c r="BS332" s="57" t="s">
        <v>1287</v>
      </c>
      <c r="BT332" s="57" t="s">
        <v>1287</v>
      </c>
      <c r="BU332" s="57" t="s">
        <v>1287</v>
      </c>
      <c r="BV332" s="70">
        <f t="shared" si="2516"/>
        <v>46</v>
      </c>
      <c r="BW332" s="71">
        <f t="shared" si="2517"/>
        <v>75</v>
      </c>
      <c r="BX332" s="72">
        <f t="shared" si="2518"/>
        <v>79</v>
      </c>
      <c r="BY332" s="71">
        <f t="shared" si="2519"/>
        <v>111</v>
      </c>
      <c r="BZ332" s="72">
        <f t="shared" si="2520"/>
        <v>115</v>
      </c>
      <c r="CA332" s="71">
        <f t="shared" si="2521"/>
        <v>151</v>
      </c>
      <c r="CB332" s="72">
        <f t="shared" si="2522"/>
        <v>157</v>
      </c>
      <c r="CC332" s="71">
        <f t="shared" si="2523"/>
        <v>202</v>
      </c>
      <c r="CD332" s="72">
        <f t="shared" si="2524"/>
        <v>210</v>
      </c>
      <c r="CE332" s="71">
        <f t="shared" si="2525"/>
        <v>288</v>
      </c>
      <c r="CF332" s="72">
        <f t="shared" si="2526"/>
        <v>333</v>
      </c>
      <c r="CG332" s="71">
        <f t="shared" si="2527"/>
        <v>362</v>
      </c>
      <c r="CH332" s="70">
        <f t="shared" si="2528"/>
        <v>74</v>
      </c>
      <c r="CI332" s="71">
        <f t="shared" si="2529"/>
        <v>78</v>
      </c>
      <c r="CJ332" s="72">
        <f t="shared" si="2530"/>
        <v>110</v>
      </c>
      <c r="CK332" s="72">
        <f t="shared" si="2531"/>
        <v>114</v>
      </c>
      <c r="CL332" s="72">
        <f t="shared" si="2532"/>
        <v>150</v>
      </c>
      <c r="CM332" s="72">
        <f t="shared" si="2533"/>
        <v>154</v>
      </c>
      <c r="CN332" s="72">
        <f t="shared" si="2534"/>
        <v>183</v>
      </c>
      <c r="CO332" s="72">
        <f t="shared" si="2535"/>
        <v>204</v>
      </c>
      <c r="CP332" s="72">
        <f t="shared" si="2536"/>
        <v>242</v>
      </c>
      <c r="CQ332" s="72">
        <f t="shared" si="2537"/>
        <v>324</v>
      </c>
      <c r="CR332" s="72">
        <f t="shared" si="2538"/>
        <v>361</v>
      </c>
      <c r="CS332" s="72">
        <f t="shared" si="2539"/>
        <v>373</v>
      </c>
      <c r="CT332" s="23">
        <f t="shared" si="2540"/>
        <v>1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  <c r="AMP332" s="2"/>
    </row>
    <row r="333" spans="1:1030" s="12" customFormat="1" x14ac:dyDescent="0.2">
      <c r="A333" s="9" t="str">
        <f t="shared" ref="A333" si="2739">CONCATENATE(B333,"_",C333)</f>
        <v>ox1r_human_6TO7</v>
      </c>
      <c r="B333" s="9" t="s">
        <v>1174</v>
      </c>
      <c r="C333" s="9" t="s">
        <v>1625</v>
      </c>
      <c r="D333" s="9" t="str">
        <f>IFERROR(MID(VLOOKUP($B333,Seqs!$A:$B,2,0),E333,1),"")</f>
        <v>Y</v>
      </c>
      <c r="E333" s="9">
        <v>45</v>
      </c>
      <c r="F333" s="9" t="str">
        <f>IFERROR(MID(VLOOKUP($B333,Seqs!$A:$B,2,0),G333,1),"")</f>
        <v>N</v>
      </c>
      <c r="G333" s="9">
        <v>74</v>
      </c>
      <c r="H333" s="9" t="str">
        <f>IFERROR(MID(VLOOKUP($B333,Seqs!$A:$B,2,0),I333,1),"")</f>
        <v>H</v>
      </c>
      <c r="I333" s="109">
        <v>75</v>
      </c>
      <c r="J333" s="9" t="str">
        <f>IFERROR(MID(VLOOKUP($B333,Seqs!$A:$B,2,0),K333,1),"")</f>
        <v>R</v>
      </c>
      <c r="K333" s="109">
        <v>78</v>
      </c>
      <c r="L333" s="9" t="str">
        <f>IFERROR(MID(VLOOKUP($B333,Seqs!$A:$B,2,0),M333,1),"")</f>
        <v>T</v>
      </c>
      <c r="M333" s="9">
        <v>79</v>
      </c>
      <c r="N333" s="9" t="str">
        <f>IFERROR(MID(VLOOKUP($B333,Seqs!$A:$B,2,0),O333,1),"")</f>
        <v>E</v>
      </c>
      <c r="O333" s="9">
        <v>110</v>
      </c>
      <c r="P333" s="9" t="str">
        <f>IFERROR(MID(VLOOKUP($B333,Seqs!$A:$B,2,0),Q333,1),"")</f>
        <v>S</v>
      </c>
      <c r="Q333" s="9">
        <v>111</v>
      </c>
      <c r="R333" s="9" t="str">
        <f>IFERROR(MID(VLOOKUP($B333,Seqs!$A:$B,2,0),S333,1),"")</f>
        <v>F</v>
      </c>
      <c r="S333" s="9">
        <v>114</v>
      </c>
      <c r="T333" s="9" t="str">
        <f>IFERROR(MID(VLOOKUP($B333,Seqs!$A:$B,2,0),U333,1),"")</f>
        <v>G</v>
      </c>
      <c r="U333" s="9">
        <v>115</v>
      </c>
      <c r="V333" s="9" t="str">
        <f>IFERROR(MID(VLOOKUP($B333,Seqs!$A:$B,2,0),W333,1),"")</f>
        <v>H</v>
      </c>
      <c r="W333" s="9">
        <v>150</v>
      </c>
      <c r="X333" s="9" t="str">
        <f>IFERROR(MID(VLOOKUP($B333,Seqs!$A:$B,2,0),Y333,1),"")</f>
        <v/>
      </c>
      <c r="Y333" s="9" t="s">
        <v>23</v>
      </c>
      <c r="Z333" s="9" t="str">
        <f>IFERROR(MID(VLOOKUP($B333,Seqs!$A:$B,2,0),AA333,1),"")</f>
        <v/>
      </c>
      <c r="AA333" s="9" t="s">
        <v>23</v>
      </c>
      <c r="AB333" s="9" t="str">
        <f>IFERROR(MID(VLOOKUP($B333,Seqs!$A:$B,2,0),AC333,1),"")</f>
        <v>T</v>
      </c>
      <c r="AC333" s="9">
        <v>157</v>
      </c>
      <c r="AD333" s="9" t="str">
        <f>IFERROR(MID(VLOOKUP($B333,Seqs!$A:$B,2,0),AE333,1),"")</f>
        <v>M</v>
      </c>
      <c r="AE333" s="9">
        <v>183</v>
      </c>
      <c r="AF333" s="9" t="str">
        <f>IFERROR(MID(VLOOKUP($B333,Seqs!$A:$B,2,0),AG333,1),"")</f>
        <v>C</v>
      </c>
      <c r="AG333" s="9">
        <v>202</v>
      </c>
      <c r="AH333" s="9" t="str">
        <f>IFERROR(MID(VLOOKUP($B333,Seqs!$A:$B,2,0),AI333,1),"")</f>
        <v>E</v>
      </c>
      <c r="AI333" s="9">
        <v>204</v>
      </c>
      <c r="AJ333" s="9" t="str">
        <f>IFERROR(MID(VLOOKUP($B333,Seqs!$A:$B,2,0),AK333,1),"")</f>
        <v>L</v>
      </c>
      <c r="AK333" s="9">
        <v>210</v>
      </c>
      <c r="AL333" s="9" t="str">
        <f>IFERROR(MID(VLOOKUP($B333,Seqs!$A:$B,2,0),AM333,1),"")</f>
        <v>G</v>
      </c>
      <c r="AM333" s="9">
        <v>244</v>
      </c>
      <c r="AN333" s="9" t="str">
        <f>IFERROR(MID(VLOOKUP($B333,Seqs!$A:$B,2,0),AO333,1),"")</f>
        <v>E</v>
      </c>
      <c r="AO333" s="9">
        <v>286</v>
      </c>
      <c r="AP333" s="9" t="str">
        <f>IFERROR(MID(VLOOKUP($B333,Seqs!$A:$B,2,0),AQ333,1),"")</f>
        <v>F</v>
      </c>
      <c r="AQ333" s="9">
        <v>324</v>
      </c>
      <c r="AR333" s="9" t="str">
        <f>IFERROR(MID(VLOOKUP($B333,Seqs!$A:$B,2,0),AS333,1),"")</f>
        <v>D</v>
      </c>
      <c r="AS333" s="9">
        <v>332</v>
      </c>
      <c r="AT333" s="9" t="str">
        <f>IFERROR(MID(VLOOKUP($B333,Seqs!$A:$B,2,0),AU333,1),"")</f>
        <v>L</v>
      </c>
      <c r="AU333" s="9">
        <v>361</v>
      </c>
      <c r="AV333" s="9" t="str">
        <f>IFERROR(MID(VLOOKUP($B333,Seqs!$A:$B,2,0),AW333,1),"")</f>
        <v>S</v>
      </c>
      <c r="AW333" s="9">
        <v>362</v>
      </c>
      <c r="AX333" s="9" t="str">
        <f>IFERROR(MID(VLOOKUP($B333,Seqs!$A:$B,2,0),AY333,1),"")</f>
        <v>L</v>
      </c>
      <c r="AY333" s="9">
        <v>377</v>
      </c>
      <c r="AZ333" s="110" t="str">
        <f>VLOOKUP(B333,Classification!A:D,2,0)</f>
        <v>A</v>
      </c>
      <c r="BA333" s="98" t="str">
        <f>VLOOKUP(B333,Classification!A:D,4,0)</f>
        <v>Orexin</v>
      </c>
      <c r="BB333" s="36" t="b">
        <f t="shared" ref="BB333" si="2740">AND(E333&lt;G333,OR(G333&lt;I333,I333="-"),OR(I333&lt;K333,I333="-"),OR(K333&lt;M333,K333="-"),M333&lt;O333,OR(O333&lt;Q333,Q333="-"),OR(Q333&lt;S333,Q333="-"),OR(S333&lt;U333,S333="-"),U333&lt;W333,OR(W333&lt;Y333,Y333="-"),OR(Y333&lt;AA333,Y333="-"),OR(AA333&lt;AC333,AA333="-"),AC333&lt;AE333,OR(AE333&lt;AG333,AG333="-"),OR(AG333&lt;AI333,AG333="-"),OR(AI333&lt;AK333,AI333="-"),AK333&lt;AM333,AM333&lt;AO333,AO333&lt;AQ333,AQ333&lt;AS333,AS333&lt;AU333,OR(AU333&lt;AW333,AW333="-"),OR(AW333&lt;AY333,AW333="-"))</f>
        <v>1</v>
      </c>
      <c r="BC333" s="109">
        <f t="shared" ref="BC333" si="2741">_xlfn.AGGREGATE(9,6,CH333:CS333)-_xlfn.AGGREGATE(9,6,BV333:CG333)+12</f>
        <v>257</v>
      </c>
      <c r="BD333" s="40" t="s">
        <v>1376</v>
      </c>
      <c r="BE333" s="9" t="s">
        <v>1374</v>
      </c>
      <c r="BF333" s="119">
        <v>2.2599999999999998</v>
      </c>
      <c r="BG333" s="51" t="s">
        <v>1</v>
      </c>
      <c r="BH333" s="51" t="s">
        <v>1</v>
      </c>
      <c r="BJ333" s="111" t="s">
        <v>1287</v>
      </c>
      <c r="BK333" s="112" t="s">
        <v>1287</v>
      </c>
      <c r="BL333" s="112" t="s">
        <v>1287</v>
      </c>
      <c r="BM333" s="112" t="s">
        <v>1287</v>
      </c>
      <c r="BN333" s="112" t="s">
        <v>1287</v>
      </c>
      <c r="BO333" s="112" t="s">
        <v>1287</v>
      </c>
      <c r="BP333" s="112" t="s">
        <v>1287</v>
      </c>
      <c r="BQ333" s="112" t="s">
        <v>1287</v>
      </c>
      <c r="BR333" s="112" t="s">
        <v>1287</v>
      </c>
      <c r="BS333" s="112" t="s">
        <v>1287</v>
      </c>
      <c r="BT333" s="112" t="s">
        <v>1287</v>
      </c>
      <c r="BU333" s="112" t="s">
        <v>1287</v>
      </c>
      <c r="BV333" s="111">
        <f t="shared" ref="BV333" si="2742">E333</f>
        <v>45</v>
      </c>
      <c r="BW333" s="113">
        <f t="shared" ref="BW333" si="2743">I333</f>
        <v>75</v>
      </c>
      <c r="BX333" s="114">
        <f t="shared" ref="BX333" si="2744">M333</f>
        <v>79</v>
      </c>
      <c r="BY333" s="113">
        <f t="shared" ref="BY333" si="2745">Q333</f>
        <v>111</v>
      </c>
      <c r="BZ333" s="114">
        <f t="shared" ref="BZ333" si="2746">U333</f>
        <v>115</v>
      </c>
      <c r="CA333" s="113" t="str">
        <f t="shared" ref="CA333" si="2747">Y333</f>
        <v>-</v>
      </c>
      <c r="CB333" s="114">
        <f t="shared" ref="CB333" si="2748">AC333</f>
        <v>157</v>
      </c>
      <c r="CC333" s="113">
        <f t="shared" ref="CC333" si="2749">AG333</f>
        <v>202</v>
      </c>
      <c r="CD333" s="114">
        <f t="shared" ref="CD333" si="2750">AK333</f>
        <v>210</v>
      </c>
      <c r="CE333" s="113">
        <f t="shared" ref="CE333" si="2751">AO333</f>
        <v>286</v>
      </c>
      <c r="CF333" s="114">
        <f t="shared" ref="CF333" si="2752">AS333</f>
        <v>332</v>
      </c>
      <c r="CG333" s="113">
        <f t="shared" ref="CG333" si="2753">AW333</f>
        <v>362</v>
      </c>
      <c r="CH333" s="111">
        <f t="shared" ref="CH333" si="2754">G333</f>
        <v>74</v>
      </c>
      <c r="CI333" s="113">
        <f t="shared" ref="CI333" si="2755">K333</f>
        <v>78</v>
      </c>
      <c r="CJ333" s="114">
        <f t="shared" ref="CJ333" si="2756">O333</f>
        <v>110</v>
      </c>
      <c r="CK333" s="114">
        <f t="shared" ref="CK333" si="2757">S333</f>
        <v>114</v>
      </c>
      <c r="CL333" s="114">
        <f t="shared" ref="CL333" si="2758">W333</f>
        <v>150</v>
      </c>
      <c r="CM333" s="114" t="str">
        <f t="shared" ref="CM333" si="2759">AA333</f>
        <v>-</v>
      </c>
      <c r="CN333" s="114">
        <f t="shared" ref="CN333" si="2760">AE333</f>
        <v>183</v>
      </c>
      <c r="CO333" s="114">
        <f t="shared" ref="CO333" si="2761">AI333</f>
        <v>204</v>
      </c>
      <c r="CP333" s="114">
        <f t="shared" ref="CP333" si="2762">AM333</f>
        <v>244</v>
      </c>
      <c r="CQ333" s="114">
        <f t="shared" ref="CQ333" si="2763">AQ333</f>
        <v>324</v>
      </c>
      <c r="CR333" s="114">
        <f t="shared" ref="CR333" si="2764">AU333</f>
        <v>361</v>
      </c>
      <c r="CS333" s="114">
        <f t="shared" ref="CS333" si="2765">AY333</f>
        <v>377</v>
      </c>
      <c r="CT333" s="109">
        <f t="shared" ref="CT333" si="2766">M333-K333</f>
        <v>1</v>
      </c>
      <c r="AMP333" s="40"/>
    </row>
    <row r="334" spans="1:1030" s="12" customFormat="1" x14ac:dyDescent="0.2">
      <c r="A334" s="9" t="str">
        <f t="shared" ref="A334" si="2767">CONCATENATE(B334,"_",C334)</f>
        <v>ox1r_human_6TOD</v>
      </c>
      <c r="B334" s="9" t="s">
        <v>1174</v>
      </c>
      <c r="C334" s="9" t="s">
        <v>1626</v>
      </c>
      <c r="D334" s="9" t="str">
        <f>IFERROR(MID(VLOOKUP($B334,Seqs!$A:$B,2,0),E334,1),"")</f>
        <v>Y</v>
      </c>
      <c r="E334" s="9">
        <v>45</v>
      </c>
      <c r="F334" s="9" t="str">
        <f>IFERROR(MID(VLOOKUP($B334,Seqs!$A:$B,2,0),G334,1),"")</f>
        <v>N</v>
      </c>
      <c r="G334" s="9">
        <v>74</v>
      </c>
      <c r="H334" s="9" t="str">
        <f>IFERROR(MID(VLOOKUP($B334,Seqs!$A:$B,2,0),I334,1),"")</f>
        <v>H</v>
      </c>
      <c r="I334" s="109">
        <v>75</v>
      </c>
      <c r="J334" s="9" t="str">
        <f>IFERROR(MID(VLOOKUP($B334,Seqs!$A:$B,2,0),K334,1),"")</f>
        <v>R</v>
      </c>
      <c r="K334" s="109">
        <v>78</v>
      </c>
      <c r="L334" s="9" t="str">
        <f>IFERROR(MID(VLOOKUP($B334,Seqs!$A:$B,2,0),M334,1),"")</f>
        <v>T</v>
      </c>
      <c r="M334" s="9">
        <v>79</v>
      </c>
      <c r="N334" s="9" t="str">
        <f>IFERROR(MID(VLOOKUP($B334,Seqs!$A:$B,2,0),O334,1),"")</f>
        <v>E</v>
      </c>
      <c r="O334" s="9">
        <v>110</v>
      </c>
      <c r="P334" s="9" t="str">
        <f>IFERROR(MID(VLOOKUP($B334,Seqs!$A:$B,2,0),Q334,1),"")</f>
        <v>S</v>
      </c>
      <c r="Q334" s="9">
        <v>111</v>
      </c>
      <c r="R334" s="9" t="str">
        <f>IFERROR(MID(VLOOKUP($B334,Seqs!$A:$B,2,0),S334,1),"")</f>
        <v>F</v>
      </c>
      <c r="S334" s="9">
        <v>114</v>
      </c>
      <c r="T334" s="9" t="str">
        <f>IFERROR(MID(VLOOKUP($B334,Seqs!$A:$B,2,0),U334,1),"")</f>
        <v>G</v>
      </c>
      <c r="U334" s="9">
        <v>115</v>
      </c>
      <c r="V334" s="9" t="str">
        <f>IFERROR(MID(VLOOKUP($B334,Seqs!$A:$B,2,0),W334,1),"")</f>
        <v>H</v>
      </c>
      <c r="W334" s="9">
        <v>150</v>
      </c>
      <c r="X334" s="9" t="str">
        <f>IFERROR(MID(VLOOKUP($B334,Seqs!$A:$B,2,0),Y334,1),"")</f>
        <v/>
      </c>
      <c r="Y334" s="9" t="s">
        <v>23</v>
      </c>
      <c r="Z334" s="9" t="str">
        <f>IFERROR(MID(VLOOKUP($B334,Seqs!$A:$B,2,0),AA334,1),"")</f>
        <v/>
      </c>
      <c r="AA334" s="9" t="s">
        <v>23</v>
      </c>
      <c r="AB334" s="9" t="str">
        <f>IFERROR(MID(VLOOKUP($B334,Seqs!$A:$B,2,0),AC334,1),"")</f>
        <v>T</v>
      </c>
      <c r="AC334" s="9">
        <v>157</v>
      </c>
      <c r="AD334" s="9" t="str">
        <f>IFERROR(MID(VLOOKUP($B334,Seqs!$A:$B,2,0),AE334,1),"")</f>
        <v>M</v>
      </c>
      <c r="AE334" s="9">
        <v>183</v>
      </c>
      <c r="AF334" s="9" t="str">
        <f>IFERROR(MID(VLOOKUP($B334,Seqs!$A:$B,2,0),AG334,1),"")</f>
        <v>C</v>
      </c>
      <c r="AG334" s="9">
        <v>202</v>
      </c>
      <c r="AH334" s="9" t="str">
        <f>IFERROR(MID(VLOOKUP($B334,Seqs!$A:$B,2,0),AI334,1),"")</f>
        <v>E</v>
      </c>
      <c r="AI334" s="9">
        <v>204</v>
      </c>
      <c r="AJ334" s="9" t="str">
        <f>IFERROR(MID(VLOOKUP($B334,Seqs!$A:$B,2,0),AK334,1),"")</f>
        <v>L</v>
      </c>
      <c r="AK334" s="9">
        <v>210</v>
      </c>
      <c r="AL334" s="9" t="str">
        <f>IFERROR(MID(VLOOKUP($B334,Seqs!$A:$B,2,0),AM334,1),"")</f>
        <v>G</v>
      </c>
      <c r="AM334" s="9">
        <v>244</v>
      </c>
      <c r="AN334" s="9" t="str">
        <f>IFERROR(MID(VLOOKUP($B334,Seqs!$A:$B,2,0),AO334,1),"")</f>
        <v>E</v>
      </c>
      <c r="AO334" s="9">
        <v>286</v>
      </c>
      <c r="AP334" s="9" t="str">
        <f>IFERROR(MID(VLOOKUP($B334,Seqs!$A:$B,2,0),AQ334,1),"")</f>
        <v>F</v>
      </c>
      <c r="AQ334" s="9">
        <v>324</v>
      </c>
      <c r="AR334" s="9" t="str">
        <f>IFERROR(MID(VLOOKUP($B334,Seqs!$A:$B,2,0),AS334,1),"")</f>
        <v>D</v>
      </c>
      <c r="AS334" s="9">
        <v>332</v>
      </c>
      <c r="AT334" s="9" t="str">
        <f>IFERROR(MID(VLOOKUP($B334,Seqs!$A:$B,2,0),AU334,1),"")</f>
        <v>L</v>
      </c>
      <c r="AU334" s="9">
        <v>361</v>
      </c>
      <c r="AV334" s="9" t="str">
        <f>IFERROR(MID(VLOOKUP($B334,Seqs!$A:$B,2,0),AW334,1),"")</f>
        <v>S</v>
      </c>
      <c r="AW334" s="9">
        <v>362</v>
      </c>
      <c r="AX334" s="9" t="str">
        <f>IFERROR(MID(VLOOKUP($B334,Seqs!$A:$B,2,0),AY334,1),"")</f>
        <v>C</v>
      </c>
      <c r="AY334" s="9">
        <v>375</v>
      </c>
      <c r="AZ334" s="110" t="str">
        <f>VLOOKUP(B334,Classification!A:D,2,0)</f>
        <v>A</v>
      </c>
      <c r="BA334" s="98" t="str">
        <f>VLOOKUP(B334,Classification!A:D,4,0)</f>
        <v>Orexin</v>
      </c>
      <c r="BB334" s="36" t="b">
        <f t="shared" ref="BB334" si="2768">AND(E334&lt;G334,OR(G334&lt;I334,I334="-"),OR(I334&lt;K334,I334="-"),OR(K334&lt;M334,K334="-"),M334&lt;O334,OR(O334&lt;Q334,Q334="-"),OR(Q334&lt;S334,Q334="-"),OR(S334&lt;U334,S334="-"),U334&lt;W334,OR(W334&lt;Y334,Y334="-"),OR(Y334&lt;AA334,Y334="-"),OR(AA334&lt;AC334,AA334="-"),AC334&lt;AE334,OR(AE334&lt;AG334,AG334="-"),OR(AG334&lt;AI334,AG334="-"),OR(AI334&lt;AK334,AI334="-"),AK334&lt;AM334,AM334&lt;AO334,AO334&lt;AQ334,AQ334&lt;AS334,AS334&lt;AU334,OR(AU334&lt;AW334,AW334="-"),OR(AW334&lt;AY334,AW334="-"))</f>
        <v>1</v>
      </c>
      <c r="BC334" s="109">
        <f t="shared" ref="BC334" si="2769">_xlfn.AGGREGATE(9,6,CH334:CS334)-_xlfn.AGGREGATE(9,6,BV334:CG334)+12</f>
        <v>255</v>
      </c>
      <c r="BD334" s="40" t="s">
        <v>23</v>
      </c>
      <c r="BE334" s="9" t="s">
        <v>1374</v>
      </c>
      <c r="BF334" s="119">
        <v>2.11</v>
      </c>
      <c r="BG334" s="51" t="s">
        <v>1</v>
      </c>
      <c r="BH334" s="51" t="s">
        <v>1</v>
      </c>
      <c r="BJ334" s="111" t="s">
        <v>1287</v>
      </c>
      <c r="BK334" s="112" t="s">
        <v>1287</v>
      </c>
      <c r="BL334" s="112" t="s">
        <v>1287</v>
      </c>
      <c r="BM334" s="112" t="s">
        <v>1287</v>
      </c>
      <c r="BN334" s="112" t="s">
        <v>1287</v>
      </c>
      <c r="BO334" s="112" t="s">
        <v>1287</v>
      </c>
      <c r="BP334" s="112" t="s">
        <v>1287</v>
      </c>
      <c r="BQ334" s="112" t="s">
        <v>1287</v>
      </c>
      <c r="BR334" s="112" t="s">
        <v>1287</v>
      </c>
      <c r="BS334" s="112" t="s">
        <v>1287</v>
      </c>
      <c r="BT334" s="112" t="s">
        <v>1287</v>
      </c>
      <c r="BU334" s="112" t="s">
        <v>1287</v>
      </c>
      <c r="BV334" s="111">
        <f t="shared" ref="BV334" si="2770">E334</f>
        <v>45</v>
      </c>
      <c r="BW334" s="113">
        <f t="shared" ref="BW334" si="2771">I334</f>
        <v>75</v>
      </c>
      <c r="BX334" s="114">
        <f t="shared" ref="BX334" si="2772">M334</f>
        <v>79</v>
      </c>
      <c r="BY334" s="113">
        <f t="shared" ref="BY334" si="2773">Q334</f>
        <v>111</v>
      </c>
      <c r="BZ334" s="114">
        <f t="shared" ref="BZ334" si="2774">U334</f>
        <v>115</v>
      </c>
      <c r="CA334" s="113" t="str">
        <f t="shared" ref="CA334" si="2775">Y334</f>
        <v>-</v>
      </c>
      <c r="CB334" s="114">
        <f t="shared" ref="CB334" si="2776">AC334</f>
        <v>157</v>
      </c>
      <c r="CC334" s="113">
        <f t="shared" ref="CC334" si="2777">AG334</f>
        <v>202</v>
      </c>
      <c r="CD334" s="114">
        <f t="shared" ref="CD334" si="2778">AK334</f>
        <v>210</v>
      </c>
      <c r="CE334" s="113">
        <f t="shared" ref="CE334" si="2779">AO334</f>
        <v>286</v>
      </c>
      <c r="CF334" s="114">
        <f t="shared" ref="CF334" si="2780">AS334</f>
        <v>332</v>
      </c>
      <c r="CG334" s="113">
        <f t="shared" ref="CG334" si="2781">AW334</f>
        <v>362</v>
      </c>
      <c r="CH334" s="111">
        <f t="shared" ref="CH334" si="2782">G334</f>
        <v>74</v>
      </c>
      <c r="CI334" s="113">
        <f t="shared" ref="CI334" si="2783">K334</f>
        <v>78</v>
      </c>
      <c r="CJ334" s="114">
        <f t="shared" ref="CJ334" si="2784">O334</f>
        <v>110</v>
      </c>
      <c r="CK334" s="114">
        <f t="shared" ref="CK334" si="2785">S334</f>
        <v>114</v>
      </c>
      <c r="CL334" s="114">
        <f t="shared" ref="CL334" si="2786">W334</f>
        <v>150</v>
      </c>
      <c r="CM334" s="114" t="str">
        <f t="shared" ref="CM334" si="2787">AA334</f>
        <v>-</v>
      </c>
      <c r="CN334" s="114">
        <f t="shared" ref="CN334" si="2788">AE334</f>
        <v>183</v>
      </c>
      <c r="CO334" s="114">
        <f t="shared" ref="CO334" si="2789">AI334</f>
        <v>204</v>
      </c>
      <c r="CP334" s="114">
        <f t="shared" ref="CP334" si="2790">AM334</f>
        <v>244</v>
      </c>
      <c r="CQ334" s="114">
        <f t="shared" ref="CQ334" si="2791">AQ334</f>
        <v>324</v>
      </c>
      <c r="CR334" s="114">
        <f t="shared" ref="CR334" si="2792">AU334</f>
        <v>361</v>
      </c>
      <c r="CS334" s="114">
        <f t="shared" ref="CS334" si="2793">AY334</f>
        <v>375</v>
      </c>
      <c r="CT334" s="109">
        <f t="shared" ref="CT334" si="2794">M334-K334</f>
        <v>1</v>
      </c>
      <c r="AMP334" s="40"/>
    </row>
    <row r="335" spans="1:1030" s="12" customFormat="1" x14ac:dyDescent="0.2">
      <c r="A335" s="9" t="str">
        <f t="shared" ref="A335" si="2795">CONCATENATE(B335,"_",C335)</f>
        <v>ox1r_human_6TP3</v>
      </c>
      <c r="B335" s="9" t="s">
        <v>1174</v>
      </c>
      <c r="C335" s="9" t="s">
        <v>1627</v>
      </c>
      <c r="D335" s="9" t="str">
        <f>IFERROR(MID(VLOOKUP($B335,Seqs!$A:$B,2,0),E335,1),"")</f>
        <v>Y</v>
      </c>
      <c r="E335" s="9">
        <v>45</v>
      </c>
      <c r="F335" s="9" t="str">
        <f>IFERROR(MID(VLOOKUP($B335,Seqs!$A:$B,2,0),G335,1),"")</f>
        <v>N</v>
      </c>
      <c r="G335" s="9">
        <v>74</v>
      </c>
      <c r="H335" s="9" t="str">
        <f>IFERROR(MID(VLOOKUP($B335,Seqs!$A:$B,2,0),I335,1),"")</f>
        <v>H</v>
      </c>
      <c r="I335" s="109">
        <v>75</v>
      </c>
      <c r="J335" s="9" t="str">
        <f>IFERROR(MID(VLOOKUP($B335,Seqs!$A:$B,2,0),K335,1),"")</f>
        <v>R</v>
      </c>
      <c r="K335" s="109">
        <v>78</v>
      </c>
      <c r="L335" s="9" t="str">
        <f>IFERROR(MID(VLOOKUP($B335,Seqs!$A:$B,2,0),M335,1),"")</f>
        <v>T</v>
      </c>
      <c r="M335" s="9">
        <v>79</v>
      </c>
      <c r="N335" s="9" t="str">
        <f>IFERROR(MID(VLOOKUP($B335,Seqs!$A:$B,2,0),O335,1),"")</f>
        <v>E</v>
      </c>
      <c r="O335" s="9">
        <v>110</v>
      </c>
      <c r="P335" s="9" t="str">
        <f>IFERROR(MID(VLOOKUP($B335,Seqs!$A:$B,2,0),Q335,1),"")</f>
        <v>S</v>
      </c>
      <c r="Q335" s="9">
        <v>111</v>
      </c>
      <c r="R335" s="9" t="str">
        <f>IFERROR(MID(VLOOKUP($B335,Seqs!$A:$B,2,0),S335,1),"")</f>
        <v>F</v>
      </c>
      <c r="S335" s="9">
        <v>114</v>
      </c>
      <c r="T335" s="9" t="str">
        <f>IFERROR(MID(VLOOKUP($B335,Seqs!$A:$B,2,0),U335,1),"")</f>
        <v>G</v>
      </c>
      <c r="U335" s="9">
        <v>115</v>
      </c>
      <c r="V335" s="9" t="str">
        <f>IFERROR(MID(VLOOKUP($B335,Seqs!$A:$B,2,0),W335,1),"")</f>
        <v>H</v>
      </c>
      <c r="W335" s="9">
        <v>150</v>
      </c>
      <c r="X335" s="9" t="str">
        <f>IFERROR(MID(VLOOKUP($B335,Seqs!$A:$B,2,0),Y335,1),"")</f>
        <v/>
      </c>
      <c r="Y335" s="9" t="s">
        <v>23</v>
      </c>
      <c r="Z335" s="9" t="str">
        <f>IFERROR(MID(VLOOKUP($B335,Seqs!$A:$B,2,0),AA335,1),"")</f>
        <v/>
      </c>
      <c r="AA335" s="9" t="s">
        <v>23</v>
      </c>
      <c r="AB335" s="9" t="str">
        <f>IFERROR(MID(VLOOKUP($B335,Seqs!$A:$B,2,0),AC335,1),"")</f>
        <v>T</v>
      </c>
      <c r="AC335" s="9">
        <v>157</v>
      </c>
      <c r="AD335" s="9" t="str">
        <f>IFERROR(MID(VLOOKUP($B335,Seqs!$A:$B,2,0),AE335,1),"")</f>
        <v>M</v>
      </c>
      <c r="AE335" s="9">
        <v>183</v>
      </c>
      <c r="AF335" s="9" t="str">
        <f>IFERROR(MID(VLOOKUP($B335,Seqs!$A:$B,2,0),AG335,1),"")</f>
        <v>C</v>
      </c>
      <c r="AG335" s="9">
        <v>202</v>
      </c>
      <c r="AH335" s="9" t="str">
        <f>IFERROR(MID(VLOOKUP($B335,Seqs!$A:$B,2,0),AI335,1),"")</f>
        <v>E</v>
      </c>
      <c r="AI335" s="9">
        <v>204</v>
      </c>
      <c r="AJ335" s="9" t="str">
        <f>IFERROR(MID(VLOOKUP($B335,Seqs!$A:$B,2,0),AK335,1),"")</f>
        <v>L</v>
      </c>
      <c r="AK335" s="9">
        <v>210</v>
      </c>
      <c r="AL335" s="9" t="str">
        <f>IFERROR(MID(VLOOKUP($B335,Seqs!$A:$B,2,0),AM335,1),"")</f>
        <v>W</v>
      </c>
      <c r="AM335" s="9">
        <v>243</v>
      </c>
      <c r="AN335" s="9" t="str">
        <f>IFERROR(MID(VLOOKUP($B335,Seqs!$A:$B,2,0),AO335,1),"")</f>
        <v>E</v>
      </c>
      <c r="AO335" s="9">
        <v>286</v>
      </c>
      <c r="AP335" s="9" t="str">
        <f>IFERROR(MID(VLOOKUP($B335,Seqs!$A:$B,2,0),AQ335,1),"")</f>
        <v>F</v>
      </c>
      <c r="AQ335" s="9">
        <v>324</v>
      </c>
      <c r="AR335" s="9" t="str">
        <f>IFERROR(MID(VLOOKUP($B335,Seqs!$A:$B,2,0),AS335,1),"")</f>
        <v>D</v>
      </c>
      <c r="AS335" s="9">
        <v>332</v>
      </c>
      <c r="AT335" s="9" t="str">
        <f>IFERROR(MID(VLOOKUP($B335,Seqs!$A:$B,2,0),AU335,1),"")</f>
        <v>L</v>
      </c>
      <c r="AU335" s="9">
        <v>361</v>
      </c>
      <c r="AV335" s="9" t="str">
        <f>IFERROR(MID(VLOOKUP($B335,Seqs!$A:$B,2,0),AW335,1),"")</f>
        <v>S</v>
      </c>
      <c r="AW335" s="9">
        <v>362</v>
      </c>
      <c r="AX335" s="9" t="str">
        <f>IFERROR(MID(VLOOKUP($B335,Seqs!$A:$B,2,0),AY335,1),"")</f>
        <v>L</v>
      </c>
      <c r="AY335" s="9">
        <v>377</v>
      </c>
      <c r="AZ335" s="110" t="str">
        <f>VLOOKUP(B335,Classification!A:D,2,0)</f>
        <v>A</v>
      </c>
      <c r="BA335" s="98" t="str">
        <f>VLOOKUP(B335,Classification!A:D,4,0)</f>
        <v>Orexin</v>
      </c>
      <c r="BB335" s="36" t="b">
        <f t="shared" ref="BB335" si="2796">AND(E335&lt;G335,OR(G335&lt;I335,I335="-"),OR(I335&lt;K335,I335="-"),OR(K335&lt;M335,K335="-"),M335&lt;O335,OR(O335&lt;Q335,Q335="-"),OR(Q335&lt;S335,Q335="-"),OR(S335&lt;U335,S335="-"),U335&lt;W335,OR(W335&lt;Y335,Y335="-"),OR(Y335&lt;AA335,Y335="-"),OR(AA335&lt;AC335,AA335="-"),AC335&lt;AE335,OR(AE335&lt;AG335,AG335="-"),OR(AG335&lt;AI335,AG335="-"),OR(AI335&lt;AK335,AI335="-"),AK335&lt;AM335,AM335&lt;AO335,AO335&lt;AQ335,AQ335&lt;AS335,AS335&lt;AU335,OR(AU335&lt;AW335,AW335="-"),OR(AW335&lt;AY335,AW335="-"))</f>
        <v>1</v>
      </c>
      <c r="BC335" s="109">
        <f t="shared" ref="BC335" si="2797">_xlfn.AGGREGATE(9,6,CH335:CS335)-_xlfn.AGGREGATE(9,6,BV335:CG335)+12</f>
        <v>256</v>
      </c>
      <c r="BD335" s="40" t="s">
        <v>23</v>
      </c>
      <c r="BE335" s="9" t="s">
        <v>1374</v>
      </c>
      <c r="BF335" s="119">
        <v>3.04</v>
      </c>
      <c r="BG335" s="51" t="s">
        <v>1</v>
      </c>
      <c r="BH335" s="51" t="s">
        <v>1</v>
      </c>
      <c r="BJ335" s="111" t="s">
        <v>1287</v>
      </c>
      <c r="BK335" s="112" t="s">
        <v>1287</v>
      </c>
      <c r="BL335" s="112" t="s">
        <v>1287</v>
      </c>
      <c r="BM335" s="112" t="s">
        <v>1287</v>
      </c>
      <c r="BN335" s="112" t="s">
        <v>1287</v>
      </c>
      <c r="BO335" s="112" t="s">
        <v>1287</v>
      </c>
      <c r="BP335" s="112" t="s">
        <v>1287</v>
      </c>
      <c r="BQ335" s="112" t="s">
        <v>1287</v>
      </c>
      <c r="BR335" s="112" t="s">
        <v>1287</v>
      </c>
      <c r="BS335" s="112" t="s">
        <v>1287</v>
      </c>
      <c r="BT335" s="112" t="s">
        <v>1287</v>
      </c>
      <c r="BU335" s="112" t="s">
        <v>1287</v>
      </c>
      <c r="BV335" s="111">
        <f t="shared" ref="BV335" si="2798">E335</f>
        <v>45</v>
      </c>
      <c r="BW335" s="113">
        <f t="shared" ref="BW335" si="2799">I335</f>
        <v>75</v>
      </c>
      <c r="BX335" s="114">
        <f t="shared" ref="BX335" si="2800">M335</f>
        <v>79</v>
      </c>
      <c r="BY335" s="113">
        <f t="shared" ref="BY335" si="2801">Q335</f>
        <v>111</v>
      </c>
      <c r="BZ335" s="114">
        <f t="shared" ref="BZ335" si="2802">U335</f>
        <v>115</v>
      </c>
      <c r="CA335" s="113" t="str">
        <f t="shared" ref="CA335" si="2803">Y335</f>
        <v>-</v>
      </c>
      <c r="CB335" s="114">
        <f t="shared" ref="CB335" si="2804">AC335</f>
        <v>157</v>
      </c>
      <c r="CC335" s="113">
        <f t="shared" ref="CC335" si="2805">AG335</f>
        <v>202</v>
      </c>
      <c r="CD335" s="114">
        <f t="shared" ref="CD335" si="2806">AK335</f>
        <v>210</v>
      </c>
      <c r="CE335" s="113">
        <f t="shared" ref="CE335" si="2807">AO335</f>
        <v>286</v>
      </c>
      <c r="CF335" s="114">
        <f t="shared" ref="CF335" si="2808">AS335</f>
        <v>332</v>
      </c>
      <c r="CG335" s="113">
        <f t="shared" ref="CG335" si="2809">AW335</f>
        <v>362</v>
      </c>
      <c r="CH335" s="111">
        <f t="shared" ref="CH335" si="2810">G335</f>
        <v>74</v>
      </c>
      <c r="CI335" s="113">
        <f t="shared" ref="CI335" si="2811">K335</f>
        <v>78</v>
      </c>
      <c r="CJ335" s="114">
        <f t="shared" ref="CJ335" si="2812">O335</f>
        <v>110</v>
      </c>
      <c r="CK335" s="114">
        <f t="shared" ref="CK335" si="2813">S335</f>
        <v>114</v>
      </c>
      <c r="CL335" s="114">
        <f t="shared" ref="CL335" si="2814">W335</f>
        <v>150</v>
      </c>
      <c r="CM335" s="114" t="str">
        <f t="shared" ref="CM335" si="2815">AA335</f>
        <v>-</v>
      </c>
      <c r="CN335" s="114">
        <f t="shared" ref="CN335" si="2816">AE335</f>
        <v>183</v>
      </c>
      <c r="CO335" s="114">
        <f t="shared" ref="CO335" si="2817">AI335</f>
        <v>204</v>
      </c>
      <c r="CP335" s="114">
        <f t="shared" ref="CP335" si="2818">AM335</f>
        <v>243</v>
      </c>
      <c r="CQ335" s="114">
        <f t="shared" ref="CQ335" si="2819">AQ335</f>
        <v>324</v>
      </c>
      <c r="CR335" s="114">
        <f t="shared" ref="CR335" si="2820">AU335</f>
        <v>361</v>
      </c>
      <c r="CS335" s="114">
        <f t="shared" ref="CS335" si="2821">AY335</f>
        <v>377</v>
      </c>
      <c r="CT335" s="109">
        <f t="shared" ref="CT335" si="2822">M335-K335</f>
        <v>1</v>
      </c>
      <c r="AMP335" s="40"/>
    </row>
    <row r="336" spans="1:1030" s="12" customFormat="1" x14ac:dyDescent="0.2">
      <c r="A336" s="9" t="str">
        <f t="shared" ref="A336" si="2823">CONCATENATE(B336,"_",C336)</f>
        <v>ox1r_human_6TP4</v>
      </c>
      <c r="B336" s="9" t="s">
        <v>1174</v>
      </c>
      <c r="C336" s="9" t="s">
        <v>1628</v>
      </c>
      <c r="D336" s="9" t="str">
        <f>IFERROR(MID(VLOOKUP($B336,Seqs!$A:$B,2,0),E336,1),"")</f>
        <v>E</v>
      </c>
      <c r="E336" s="9">
        <v>46</v>
      </c>
      <c r="F336" s="9" t="str">
        <f>IFERROR(MID(VLOOKUP($B336,Seqs!$A:$B,2,0),G336,1),"")</f>
        <v>N</v>
      </c>
      <c r="G336" s="9">
        <v>74</v>
      </c>
      <c r="H336" s="9" t="str">
        <f>IFERROR(MID(VLOOKUP($B336,Seqs!$A:$B,2,0),I336,1),"")</f>
        <v>H</v>
      </c>
      <c r="I336" s="109">
        <v>75</v>
      </c>
      <c r="J336" s="9" t="str">
        <f>IFERROR(MID(VLOOKUP($B336,Seqs!$A:$B,2,0),K336,1),"")</f>
        <v>R</v>
      </c>
      <c r="K336" s="109">
        <v>78</v>
      </c>
      <c r="L336" s="9" t="str">
        <f>IFERROR(MID(VLOOKUP($B336,Seqs!$A:$B,2,0),M336,1),"")</f>
        <v>T</v>
      </c>
      <c r="M336" s="9">
        <v>79</v>
      </c>
      <c r="N336" s="9" t="str">
        <f>IFERROR(MID(VLOOKUP($B336,Seqs!$A:$B,2,0),O336,1),"")</f>
        <v>E</v>
      </c>
      <c r="O336" s="9">
        <v>110</v>
      </c>
      <c r="P336" s="9" t="str">
        <f>IFERROR(MID(VLOOKUP($B336,Seqs!$A:$B,2,0),Q336,1),"")</f>
        <v>S</v>
      </c>
      <c r="Q336" s="9">
        <v>111</v>
      </c>
      <c r="R336" s="9" t="str">
        <f>IFERROR(MID(VLOOKUP($B336,Seqs!$A:$B,2,0),S336,1),"")</f>
        <v>F</v>
      </c>
      <c r="S336" s="9">
        <v>114</v>
      </c>
      <c r="T336" s="9" t="str">
        <f>IFERROR(MID(VLOOKUP($B336,Seqs!$A:$B,2,0),U336,1),"")</f>
        <v>G</v>
      </c>
      <c r="U336" s="9">
        <v>115</v>
      </c>
      <c r="V336" s="9" t="str">
        <f>IFERROR(MID(VLOOKUP($B336,Seqs!$A:$B,2,0),W336,1),"")</f>
        <v>H</v>
      </c>
      <c r="W336" s="9">
        <v>150</v>
      </c>
      <c r="X336" s="9" t="str">
        <f>IFERROR(MID(VLOOKUP($B336,Seqs!$A:$B,2,0),Y336,1),"")</f>
        <v/>
      </c>
      <c r="Y336" s="9" t="s">
        <v>23</v>
      </c>
      <c r="Z336" s="9" t="str">
        <f>IFERROR(MID(VLOOKUP($B336,Seqs!$A:$B,2,0),AA336,1),"")</f>
        <v/>
      </c>
      <c r="AA336" s="9" t="s">
        <v>23</v>
      </c>
      <c r="AB336" s="9" t="str">
        <f>IFERROR(MID(VLOOKUP($B336,Seqs!$A:$B,2,0),AC336,1),"")</f>
        <v>T</v>
      </c>
      <c r="AC336" s="9">
        <v>157</v>
      </c>
      <c r="AD336" s="9" t="str">
        <f>IFERROR(MID(VLOOKUP($B336,Seqs!$A:$B,2,0),AE336,1),"")</f>
        <v>M</v>
      </c>
      <c r="AE336" s="9">
        <v>183</v>
      </c>
      <c r="AF336" s="9" t="str">
        <f>IFERROR(MID(VLOOKUP($B336,Seqs!$A:$B,2,0),AG336,1),"")</f>
        <v>C</v>
      </c>
      <c r="AG336" s="9">
        <v>202</v>
      </c>
      <c r="AH336" s="9" t="str">
        <f>IFERROR(MID(VLOOKUP($B336,Seqs!$A:$B,2,0),AI336,1),"")</f>
        <v>E</v>
      </c>
      <c r="AI336" s="9">
        <v>204</v>
      </c>
      <c r="AJ336" s="9" t="str">
        <f>IFERROR(MID(VLOOKUP($B336,Seqs!$A:$B,2,0),AK336,1),"")</f>
        <v>L</v>
      </c>
      <c r="AK336" s="9">
        <v>210</v>
      </c>
      <c r="AL336" s="9" t="str">
        <f>IFERROR(MID(VLOOKUP($B336,Seqs!$A:$B,2,0),AM336,1),"")</f>
        <v>W</v>
      </c>
      <c r="AM336" s="9">
        <v>243</v>
      </c>
      <c r="AN336" s="9" t="str">
        <f>IFERROR(MID(VLOOKUP($B336,Seqs!$A:$B,2,0),AO336,1),"")</f>
        <v>E</v>
      </c>
      <c r="AO336" s="9">
        <v>286</v>
      </c>
      <c r="AP336" s="9" t="str">
        <f>IFERROR(MID(VLOOKUP($B336,Seqs!$A:$B,2,0),AQ336,1),"")</f>
        <v>F</v>
      </c>
      <c r="AQ336" s="9">
        <v>324</v>
      </c>
      <c r="AR336" s="9" t="str">
        <f>IFERROR(MID(VLOOKUP($B336,Seqs!$A:$B,2,0),AS336,1),"")</f>
        <v>D</v>
      </c>
      <c r="AS336" s="9">
        <v>332</v>
      </c>
      <c r="AT336" s="9" t="str">
        <f>IFERROR(MID(VLOOKUP($B336,Seqs!$A:$B,2,0),AU336,1),"")</f>
        <v>L</v>
      </c>
      <c r="AU336" s="9">
        <v>361</v>
      </c>
      <c r="AV336" s="9" t="str">
        <f>IFERROR(MID(VLOOKUP($B336,Seqs!$A:$B,2,0),AW336,1),"")</f>
        <v>S</v>
      </c>
      <c r="AW336" s="9">
        <v>362</v>
      </c>
      <c r="AX336" s="9" t="str">
        <f>IFERROR(MID(VLOOKUP($B336,Seqs!$A:$B,2,0),AY336,1),"")</f>
        <v>L</v>
      </c>
      <c r="AY336" s="9">
        <v>377</v>
      </c>
      <c r="AZ336" s="110" t="str">
        <f>VLOOKUP(B336,Classification!A:D,2,0)</f>
        <v>A</v>
      </c>
      <c r="BA336" s="98" t="str">
        <f>VLOOKUP(B336,Classification!A:D,4,0)</f>
        <v>Orexin</v>
      </c>
      <c r="BB336" s="36" t="b">
        <f t="shared" ref="BB336" si="2824">AND(E336&lt;G336,OR(G336&lt;I336,I336="-"),OR(I336&lt;K336,I336="-"),OR(K336&lt;M336,K336="-"),M336&lt;O336,OR(O336&lt;Q336,Q336="-"),OR(Q336&lt;S336,Q336="-"),OR(S336&lt;U336,S336="-"),U336&lt;W336,OR(W336&lt;Y336,Y336="-"),OR(Y336&lt;AA336,Y336="-"),OR(AA336&lt;AC336,AA336="-"),AC336&lt;AE336,OR(AE336&lt;AG336,AG336="-"),OR(AG336&lt;AI336,AG336="-"),OR(AI336&lt;AK336,AI336="-"),AK336&lt;AM336,AM336&lt;AO336,AO336&lt;AQ336,AQ336&lt;AS336,AS336&lt;AU336,OR(AU336&lt;AW336,AW336="-"),OR(AW336&lt;AY336,AW336="-"))</f>
        <v>1</v>
      </c>
      <c r="BC336" s="109">
        <f t="shared" ref="BC336" si="2825">_xlfn.AGGREGATE(9,6,CH336:CS336)-_xlfn.AGGREGATE(9,6,BV336:CG336)+12</f>
        <v>255</v>
      </c>
      <c r="BD336" s="40" t="s">
        <v>23</v>
      </c>
      <c r="BE336" s="9" t="s">
        <v>1374</v>
      </c>
      <c r="BF336" s="119">
        <v>3.01</v>
      </c>
      <c r="BG336" s="51" t="s">
        <v>1281</v>
      </c>
      <c r="BH336" s="51" t="s">
        <v>1281</v>
      </c>
      <c r="BJ336" s="111" t="s">
        <v>1287</v>
      </c>
      <c r="BK336" s="112" t="s">
        <v>1287</v>
      </c>
      <c r="BL336" s="112" t="s">
        <v>1287</v>
      </c>
      <c r="BM336" s="112" t="s">
        <v>1287</v>
      </c>
      <c r="BN336" s="112" t="s">
        <v>1287</v>
      </c>
      <c r="BO336" s="112" t="s">
        <v>1287</v>
      </c>
      <c r="BP336" s="112" t="s">
        <v>1287</v>
      </c>
      <c r="BQ336" s="112" t="s">
        <v>1287</v>
      </c>
      <c r="BR336" s="112" t="s">
        <v>1287</v>
      </c>
      <c r="BS336" s="112" t="s">
        <v>1287</v>
      </c>
      <c r="BT336" s="112" t="s">
        <v>1287</v>
      </c>
      <c r="BU336" s="112" t="s">
        <v>1287</v>
      </c>
      <c r="BV336" s="111">
        <f t="shared" ref="BV336" si="2826">E336</f>
        <v>46</v>
      </c>
      <c r="BW336" s="113">
        <f t="shared" ref="BW336" si="2827">I336</f>
        <v>75</v>
      </c>
      <c r="BX336" s="114">
        <f t="shared" ref="BX336" si="2828">M336</f>
        <v>79</v>
      </c>
      <c r="BY336" s="113">
        <f t="shared" ref="BY336" si="2829">Q336</f>
        <v>111</v>
      </c>
      <c r="BZ336" s="114">
        <f t="shared" ref="BZ336" si="2830">U336</f>
        <v>115</v>
      </c>
      <c r="CA336" s="113" t="str">
        <f t="shared" ref="CA336" si="2831">Y336</f>
        <v>-</v>
      </c>
      <c r="CB336" s="114">
        <f t="shared" ref="CB336" si="2832">AC336</f>
        <v>157</v>
      </c>
      <c r="CC336" s="113">
        <f t="shared" ref="CC336" si="2833">AG336</f>
        <v>202</v>
      </c>
      <c r="CD336" s="114">
        <f t="shared" ref="CD336" si="2834">AK336</f>
        <v>210</v>
      </c>
      <c r="CE336" s="113">
        <f t="shared" ref="CE336" si="2835">AO336</f>
        <v>286</v>
      </c>
      <c r="CF336" s="114">
        <f t="shared" ref="CF336" si="2836">AS336</f>
        <v>332</v>
      </c>
      <c r="CG336" s="113">
        <f t="shared" ref="CG336" si="2837">AW336</f>
        <v>362</v>
      </c>
      <c r="CH336" s="111">
        <f t="shared" ref="CH336" si="2838">G336</f>
        <v>74</v>
      </c>
      <c r="CI336" s="113">
        <f t="shared" ref="CI336" si="2839">K336</f>
        <v>78</v>
      </c>
      <c r="CJ336" s="114">
        <f t="shared" ref="CJ336" si="2840">O336</f>
        <v>110</v>
      </c>
      <c r="CK336" s="114">
        <f t="shared" ref="CK336" si="2841">S336</f>
        <v>114</v>
      </c>
      <c r="CL336" s="114">
        <f t="shared" ref="CL336" si="2842">W336</f>
        <v>150</v>
      </c>
      <c r="CM336" s="114" t="str">
        <f t="shared" ref="CM336" si="2843">AA336</f>
        <v>-</v>
      </c>
      <c r="CN336" s="114">
        <f t="shared" ref="CN336" si="2844">AE336</f>
        <v>183</v>
      </c>
      <c r="CO336" s="114">
        <f t="shared" ref="CO336" si="2845">AI336</f>
        <v>204</v>
      </c>
      <c r="CP336" s="114">
        <f t="shared" ref="CP336" si="2846">AM336</f>
        <v>243</v>
      </c>
      <c r="CQ336" s="114">
        <f t="shared" ref="CQ336" si="2847">AQ336</f>
        <v>324</v>
      </c>
      <c r="CR336" s="114">
        <f t="shared" ref="CR336" si="2848">AU336</f>
        <v>361</v>
      </c>
      <c r="CS336" s="114">
        <f t="shared" ref="CS336" si="2849">AY336</f>
        <v>377</v>
      </c>
      <c r="CT336" s="109">
        <f t="shared" ref="CT336" si="2850">M336-K336</f>
        <v>1</v>
      </c>
      <c r="AMP336" s="40"/>
    </row>
    <row r="337" spans="1:1030" s="12" customFormat="1" x14ac:dyDescent="0.2">
      <c r="A337" s="9" t="str">
        <f t="shared" ref="A337" si="2851">CONCATENATE(B337,"_",C337)</f>
        <v>ox1r_human_6TP6</v>
      </c>
      <c r="B337" s="9" t="s">
        <v>1174</v>
      </c>
      <c r="C337" s="9" t="s">
        <v>1629</v>
      </c>
      <c r="D337" s="9" t="str">
        <f>IFERROR(MID(VLOOKUP($B337,Seqs!$A:$B,2,0),E337,1),"")</f>
        <v>Y</v>
      </c>
      <c r="E337" s="9">
        <v>45</v>
      </c>
      <c r="F337" s="9" t="str">
        <f>IFERROR(MID(VLOOKUP($B337,Seqs!$A:$B,2,0),G337,1),"")</f>
        <v>N</v>
      </c>
      <c r="G337" s="9">
        <v>74</v>
      </c>
      <c r="H337" s="9" t="str">
        <f>IFERROR(MID(VLOOKUP($B337,Seqs!$A:$B,2,0),I337,1),"")</f>
        <v>H</v>
      </c>
      <c r="I337" s="109">
        <v>75</v>
      </c>
      <c r="J337" s="9" t="str">
        <f>IFERROR(MID(VLOOKUP($B337,Seqs!$A:$B,2,0),K337,1),"")</f>
        <v>R</v>
      </c>
      <c r="K337" s="109">
        <v>78</v>
      </c>
      <c r="L337" s="9" t="str">
        <f>IFERROR(MID(VLOOKUP($B337,Seqs!$A:$B,2,0),M337,1),"")</f>
        <v>T</v>
      </c>
      <c r="M337" s="9">
        <v>79</v>
      </c>
      <c r="N337" s="9" t="str">
        <f>IFERROR(MID(VLOOKUP($B337,Seqs!$A:$B,2,0),O337,1),"")</f>
        <v>E</v>
      </c>
      <c r="O337" s="9">
        <v>110</v>
      </c>
      <c r="P337" s="9" t="str">
        <f>IFERROR(MID(VLOOKUP($B337,Seqs!$A:$B,2,0),Q337,1),"")</f>
        <v>S</v>
      </c>
      <c r="Q337" s="9">
        <v>111</v>
      </c>
      <c r="R337" s="9" t="str">
        <f>IFERROR(MID(VLOOKUP($B337,Seqs!$A:$B,2,0),S337,1),"")</f>
        <v>F</v>
      </c>
      <c r="S337" s="9">
        <v>114</v>
      </c>
      <c r="T337" s="9" t="str">
        <f>IFERROR(MID(VLOOKUP($B337,Seqs!$A:$B,2,0),U337,1),"")</f>
        <v>G</v>
      </c>
      <c r="U337" s="9">
        <v>115</v>
      </c>
      <c r="V337" s="9" t="str">
        <f>IFERROR(MID(VLOOKUP($B337,Seqs!$A:$B,2,0),W337,1),"")</f>
        <v>H</v>
      </c>
      <c r="W337" s="9">
        <v>150</v>
      </c>
      <c r="X337" s="9" t="str">
        <f>IFERROR(MID(VLOOKUP($B337,Seqs!$A:$B,2,0),Y337,1),"")</f>
        <v/>
      </c>
      <c r="Y337" s="9" t="s">
        <v>23</v>
      </c>
      <c r="Z337" s="9" t="str">
        <f>IFERROR(MID(VLOOKUP($B337,Seqs!$A:$B,2,0),AA337,1),"")</f>
        <v/>
      </c>
      <c r="AA337" s="9" t="s">
        <v>23</v>
      </c>
      <c r="AB337" s="9" t="str">
        <f>IFERROR(MID(VLOOKUP($B337,Seqs!$A:$B,2,0),AC337,1),"")</f>
        <v>T</v>
      </c>
      <c r="AC337" s="9">
        <v>157</v>
      </c>
      <c r="AD337" s="9" t="str">
        <f>IFERROR(MID(VLOOKUP($B337,Seqs!$A:$B,2,0),AE337,1),"")</f>
        <v>M</v>
      </c>
      <c r="AE337" s="9">
        <v>183</v>
      </c>
      <c r="AF337" s="9" t="str">
        <f>IFERROR(MID(VLOOKUP($B337,Seqs!$A:$B,2,0),AG337,1),"")</f>
        <v>C</v>
      </c>
      <c r="AG337" s="9">
        <v>202</v>
      </c>
      <c r="AH337" s="9" t="str">
        <f>IFERROR(MID(VLOOKUP($B337,Seqs!$A:$B,2,0),AI337,1),"")</f>
        <v>E</v>
      </c>
      <c r="AI337" s="9">
        <v>204</v>
      </c>
      <c r="AJ337" s="9" t="str">
        <f>IFERROR(MID(VLOOKUP($B337,Seqs!$A:$B,2,0),AK337,1),"")</f>
        <v>L</v>
      </c>
      <c r="AK337" s="9">
        <v>210</v>
      </c>
      <c r="AL337" s="9" t="str">
        <f>IFERROR(MID(VLOOKUP($B337,Seqs!$A:$B,2,0),AM337,1),"")</f>
        <v>W</v>
      </c>
      <c r="AM337" s="9">
        <v>243</v>
      </c>
      <c r="AN337" s="9" t="str">
        <f>IFERROR(MID(VLOOKUP($B337,Seqs!$A:$B,2,0),AO337,1),"")</f>
        <v>E</v>
      </c>
      <c r="AO337" s="9">
        <v>286</v>
      </c>
      <c r="AP337" s="9" t="str">
        <f>IFERROR(MID(VLOOKUP($B337,Seqs!$A:$B,2,0),AQ337,1),"")</f>
        <v>F</v>
      </c>
      <c r="AQ337" s="9">
        <v>324</v>
      </c>
      <c r="AR337" s="9" t="str">
        <f>IFERROR(MID(VLOOKUP($B337,Seqs!$A:$B,2,0),AS337,1),"")</f>
        <v>D</v>
      </c>
      <c r="AS337" s="9">
        <v>332</v>
      </c>
      <c r="AT337" s="9" t="str">
        <f>IFERROR(MID(VLOOKUP($B337,Seqs!$A:$B,2,0),AU337,1),"")</f>
        <v>L</v>
      </c>
      <c r="AU337" s="9">
        <v>361</v>
      </c>
      <c r="AV337" s="9" t="str">
        <f>IFERROR(MID(VLOOKUP($B337,Seqs!$A:$B,2,0),AW337,1),"")</f>
        <v>S</v>
      </c>
      <c r="AW337" s="9">
        <v>362</v>
      </c>
      <c r="AX337" s="9" t="str">
        <f>IFERROR(MID(VLOOKUP($B337,Seqs!$A:$B,2,0),AY337,1),"")</f>
        <v>L</v>
      </c>
      <c r="AY337" s="9">
        <v>377</v>
      </c>
      <c r="AZ337" s="110" t="str">
        <f>VLOOKUP(B337,Classification!A:D,2,0)</f>
        <v>A</v>
      </c>
      <c r="BA337" s="98" t="str">
        <f>VLOOKUP(B337,Classification!A:D,4,0)</f>
        <v>Orexin</v>
      </c>
      <c r="BB337" s="36" t="b">
        <f t="shared" ref="BB337" si="2852">AND(E337&lt;G337,OR(G337&lt;I337,I337="-"),OR(I337&lt;K337,I337="-"),OR(K337&lt;M337,K337="-"),M337&lt;O337,OR(O337&lt;Q337,Q337="-"),OR(Q337&lt;S337,Q337="-"),OR(S337&lt;U337,S337="-"),U337&lt;W337,OR(W337&lt;Y337,Y337="-"),OR(Y337&lt;AA337,Y337="-"),OR(AA337&lt;AC337,AA337="-"),AC337&lt;AE337,OR(AE337&lt;AG337,AG337="-"),OR(AG337&lt;AI337,AG337="-"),OR(AI337&lt;AK337,AI337="-"),AK337&lt;AM337,AM337&lt;AO337,AO337&lt;AQ337,AQ337&lt;AS337,AS337&lt;AU337,OR(AU337&lt;AW337,AW337="-"),OR(AW337&lt;AY337,AW337="-"))</f>
        <v>1</v>
      </c>
      <c r="BC337" s="109">
        <f t="shared" ref="BC337" si="2853">_xlfn.AGGREGATE(9,6,CH337:CS337)-_xlfn.AGGREGATE(9,6,BV337:CG337)+12</f>
        <v>256</v>
      </c>
      <c r="BD337" s="40" t="s">
        <v>23</v>
      </c>
      <c r="BE337" s="9" t="s">
        <v>1374</v>
      </c>
      <c r="BF337" s="119">
        <v>2.34</v>
      </c>
      <c r="BG337" s="51" t="s">
        <v>1281</v>
      </c>
      <c r="BH337" s="51" t="s">
        <v>1281</v>
      </c>
      <c r="BJ337" s="111" t="s">
        <v>1287</v>
      </c>
      <c r="BK337" s="112" t="s">
        <v>1287</v>
      </c>
      <c r="BL337" s="112" t="s">
        <v>1287</v>
      </c>
      <c r="BM337" s="112" t="s">
        <v>1287</v>
      </c>
      <c r="BN337" s="112" t="s">
        <v>1287</v>
      </c>
      <c r="BO337" s="112" t="s">
        <v>1287</v>
      </c>
      <c r="BP337" s="112" t="s">
        <v>1287</v>
      </c>
      <c r="BQ337" s="112" t="s">
        <v>1287</v>
      </c>
      <c r="BR337" s="112" t="s">
        <v>1287</v>
      </c>
      <c r="BS337" s="112" t="s">
        <v>1287</v>
      </c>
      <c r="BT337" s="112" t="s">
        <v>1287</v>
      </c>
      <c r="BU337" s="112" t="s">
        <v>1287</v>
      </c>
      <c r="BV337" s="111">
        <f t="shared" ref="BV337" si="2854">E337</f>
        <v>45</v>
      </c>
      <c r="BW337" s="113">
        <f t="shared" ref="BW337" si="2855">I337</f>
        <v>75</v>
      </c>
      <c r="BX337" s="114">
        <f t="shared" ref="BX337" si="2856">M337</f>
        <v>79</v>
      </c>
      <c r="BY337" s="113">
        <f t="shared" ref="BY337" si="2857">Q337</f>
        <v>111</v>
      </c>
      <c r="BZ337" s="114">
        <f t="shared" ref="BZ337" si="2858">U337</f>
        <v>115</v>
      </c>
      <c r="CA337" s="113" t="str">
        <f t="shared" ref="CA337" si="2859">Y337</f>
        <v>-</v>
      </c>
      <c r="CB337" s="114">
        <f t="shared" ref="CB337" si="2860">AC337</f>
        <v>157</v>
      </c>
      <c r="CC337" s="113">
        <f t="shared" ref="CC337" si="2861">AG337</f>
        <v>202</v>
      </c>
      <c r="CD337" s="114">
        <f t="shared" ref="CD337" si="2862">AK337</f>
        <v>210</v>
      </c>
      <c r="CE337" s="113">
        <f t="shared" ref="CE337" si="2863">AO337</f>
        <v>286</v>
      </c>
      <c r="CF337" s="114">
        <f t="shared" ref="CF337" si="2864">AS337</f>
        <v>332</v>
      </c>
      <c r="CG337" s="113">
        <f t="shared" ref="CG337" si="2865">AW337</f>
        <v>362</v>
      </c>
      <c r="CH337" s="111">
        <f t="shared" ref="CH337" si="2866">G337</f>
        <v>74</v>
      </c>
      <c r="CI337" s="113">
        <f t="shared" ref="CI337" si="2867">K337</f>
        <v>78</v>
      </c>
      <c r="CJ337" s="114">
        <f t="shared" ref="CJ337" si="2868">O337</f>
        <v>110</v>
      </c>
      <c r="CK337" s="114">
        <f t="shared" ref="CK337" si="2869">S337</f>
        <v>114</v>
      </c>
      <c r="CL337" s="114">
        <f t="shared" ref="CL337" si="2870">W337</f>
        <v>150</v>
      </c>
      <c r="CM337" s="114" t="str">
        <f t="shared" ref="CM337" si="2871">AA337</f>
        <v>-</v>
      </c>
      <c r="CN337" s="114">
        <f t="shared" ref="CN337" si="2872">AE337</f>
        <v>183</v>
      </c>
      <c r="CO337" s="114">
        <f t="shared" ref="CO337" si="2873">AI337</f>
        <v>204</v>
      </c>
      <c r="CP337" s="114">
        <f t="shared" ref="CP337" si="2874">AM337</f>
        <v>243</v>
      </c>
      <c r="CQ337" s="114">
        <f t="shared" ref="CQ337" si="2875">AQ337</f>
        <v>324</v>
      </c>
      <c r="CR337" s="114">
        <f t="shared" ref="CR337" si="2876">AU337</f>
        <v>361</v>
      </c>
      <c r="CS337" s="114">
        <f t="shared" ref="CS337" si="2877">AY337</f>
        <v>377</v>
      </c>
      <c r="CT337" s="109">
        <f t="shared" ref="CT337" si="2878">M337-K337</f>
        <v>1</v>
      </c>
      <c r="AMP337" s="40"/>
    </row>
    <row r="338" spans="1:1030" s="12" customFormat="1" x14ac:dyDescent="0.2">
      <c r="A338" s="9" t="str">
        <f t="shared" ref="A338" si="2879">CONCATENATE(B338,"_",C338)</f>
        <v>ox1r_human_6TQ4</v>
      </c>
      <c r="B338" s="9" t="s">
        <v>1174</v>
      </c>
      <c r="C338" s="9" t="s">
        <v>1630</v>
      </c>
      <c r="D338" s="9" t="str">
        <f>IFERROR(MID(VLOOKUP($B338,Seqs!$A:$B,2,0),E338,1),"")</f>
        <v>Y</v>
      </c>
      <c r="E338" s="9">
        <v>45</v>
      </c>
      <c r="F338" s="9" t="str">
        <f>IFERROR(MID(VLOOKUP($B338,Seqs!$A:$B,2,0),G338,1),"")</f>
        <v>N</v>
      </c>
      <c r="G338" s="9">
        <v>74</v>
      </c>
      <c r="H338" s="9" t="str">
        <f>IFERROR(MID(VLOOKUP($B338,Seqs!$A:$B,2,0),I338,1),"")</f>
        <v>H</v>
      </c>
      <c r="I338" s="109">
        <v>75</v>
      </c>
      <c r="J338" s="9" t="str">
        <f>IFERROR(MID(VLOOKUP($B338,Seqs!$A:$B,2,0),K338,1),"")</f>
        <v>R</v>
      </c>
      <c r="K338" s="109">
        <v>78</v>
      </c>
      <c r="L338" s="9" t="str">
        <f>IFERROR(MID(VLOOKUP($B338,Seqs!$A:$B,2,0),M338,1),"")</f>
        <v>T</v>
      </c>
      <c r="M338" s="9">
        <v>79</v>
      </c>
      <c r="N338" s="9" t="str">
        <f>IFERROR(MID(VLOOKUP($B338,Seqs!$A:$B,2,0),O338,1),"")</f>
        <v>E</v>
      </c>
      <c r="O338" s="9">
        <v>110</v>
      </c>
      <c r="P338" s="9" t="str">
        <f>IFERROR(MID(VLOOKUP($B338,Seqs!$A:$B,2,0),Q338,1),"")</f>
        <v>S</v>
      </c>
      <c r="Q338" s="9">
        <v>111</v>
      </c>
      <c r="R338" s="9" t="str">
        <f>IFERROR(MID(VLOOKUP($B338,Seqs!$A:$B,2,0),S338,1),"")</f>
        <v>F</v>
      </c>
      <c r="S338" s="9">
        <v>114</v>
      </c>
      <c r="T338" s="9" t="str">
        <f>IFERROR(MID(VLOOKUP($B338,Seqs!$A:$B,2,0),U338,1),"")</f>
        <v>G</v>
      </c>
      <c r="U338" s="9">
        <v>115</v>
      </c>
      <c r="V338" s="9" t="str">
        <f>IFERROR(MID(VLOOKUP($B338,Seqs!$A:$B,2,0),W338,1),"")</f>
        <v>H</v>
      </c>
      <c r="W338" s="9">
        <v>150</v>
      </c>
      <c r="X338" s="9" t="str">
        <f>IFERROR(MID(VLOOKUP($B338,Seqs!$A:$B,2,0),Y338,1),"")</f>
        <v/>
      </c>
      <c r="Y338" s="9" t="s">
        <v>23</v>
      </c>
      <c r="Z338" s="9" t="str">
        <f>IFERROR(MID(VLOOKUP($B338,Seqs!$A:$B,2,0),AA338,1),"")</f>
        <v/>
      </c>
      <c r="AA338" s="9" t="s">
        <v>23</v>
      </c>
      <c r="AB338" s="9" t="str">
        <f>IFERROR(MID(VLOOKUP($B338,Seqs!$A:$B,2,0),AC338,1),"")</f>
        <v>T</v>
      </c>
      <c r="AC338" s="9">
        <v>157</v>
      </c>
      <c r="AD338" s="9" t="str">
        <f>IFERROR(MID(VLOOKUP($B338,Seqs!$A:$B,2,0),AE338,1),"")</f>
        <v>M</v>
      </c>
      <c r="AE338" s="9">
        <v>183</v>
      </c>
      <c r="AF338" s="9" t="str">
        <f>IFERROR(MID(VLOOKUP($B338,Seqs!$A:$B,2,0),AG338,1),"")</f>
        <v>C</v>
      </c>
      <c r="AG338" s="9">
        <v>202</v>
      </c>
      <c r="AH338" s="9" t="str">
        <f>IFERROR(MID(VLOOKUP($B338,Seqs!$A:$B,2,0),AI338,1),"")</f>
        <v>E</v>
      </c>
      <c r="AI338" s="9">
        <v>204</v>
      </c>
      <c r="AJ338" s="9" t="str">
        <f>IFERROR(MID(VLOOKUP($B338,Seqs!$A:$B,2,0),AK338,1),"")</f>
        <v>L</v>
      </c>
      <c r="AK338" s="9">
        <v>210</v>
      </c>
      <c r="AL338" s="9" t="str">
        <f>IFERROR(MID(VLOOKUP($B338,Seqs!$A:$B,2,0),AM338,1),"")</f>
        <v>W</v>
      </c>
      <c r="AM338" s="9">
        <v>243</v>
      </c>
      <c r="AN338" s="9" t="str">
        <f>IFERROR(MID(VLOOKUP($B338,Seqs!$A:$B,2,0),AO338,1),"")</f>
        <v>E</v>
      </c>
      <c r="AO338" s="9">
        <v>286</v>
      </c>
      <c r="AP338" s="9" t="str">
        <f>IFERROR(MID(VLOOKUP($B338,Seqs!$A:$B,2,0),AQ338,1),"")</f>
        <v>F</v>
      </c>
      <c r="AQ338" s="9">
        <v>324</v>
      </c>
      <c r="AR338" s="9" t="str">
        <f>IFERROR(MID(VLOOKUP($B338,Seqs!$A:$B,2,0),AS338,1),"")</f>
        <v>D</v>
      </c>
      <c r="AS338" s="9">
        <v>332</v>
      </c>
      <c r="AT338" s="9" t="str">
        <f>IFERROR(MID(VLOOKUP($B338,Seqs!$A:$B,2,0),AU338,1),"")</f>
        <v>L</v>
      </c>
      <c r="AU338" s="9">
        <v>361</v>
      </c>
      <c r="AV338" s="9" t="str">
        <f>IFERROR(MID(VLOOKUP($B338,Seqs!$A:$B,2,0),AW338,1),"")</f>
        <v>S</v>
      </c>
      <c r="AW338" s="9">
        <v>362</v>
      </c>
      <c r="AX338" s="9" t="str">
        <f>IFERROR(MID(VLOOKUP($B338,Seqs!$A:$B,2,0),AY338,1),"")</f>
        <v>C</v>
      </c>
      <c r="AY338" s="9">
        <v>376</v>
      </c>
      <c r="AZ338" s="110" t="str">
        <f>VLOOKUP(B338,Classification!A:D,2,0)</f>
        <v>A</v>
      </c>
      <c r="BA338" s="98" t="str">
        <f>VLOOKUP(B338,Classification!A:D,4,0)</f>
        <v>Orexin</v>
      </c>
      <c r="BB338" s="36" t="b">
        <f t="shared" ref="BB338" si="2880">AND(E338&lt;G338,OR(G338&lt;I338,I338="-"),OR(I338&lt;K338,I338="-"),OR(K338&lt;M338,K338="-"),M338&lt;O338,OR(O338&lt;Q338,Q338="-"),OR(Q338&lt;S338,Q338="-"),OR(S338&lt;U338,S338="-"),U338&lt;W338,OR(W338&lt;Y338,Y338="-"),OR(Y338&lt;AA338,Y338="-"),OR(AA338&lt;AC338,AA338="-"),AC338&lt;AE338,OR(AE338&lt;AG338,AG338="-"),OR(AG338&lt;AI338,AG338="-"),OR(AI338&lt;AK338,AI338="-"),AK338&lt;AM338,AM338&lt;AO338,AO338&lt;AQ338,AQ338&lt;AS338,AS338&lt;AU338,OR(AU338&lt;AW338,AW338="-"),OR(AW338&lt;AY338,AW338="-"))</f>
        <v>1</v>
      </c>
      <c r="BC338" s="109">
        <f t="shared" ref="BC338" si="2881">_xlfn.AGGREGATE(9,6,CH338:CS338)-_xlfn.AGGREGATE(9,6,BV338:CG338)+12</f>
        <v>255</v>
      </c>
      <c r="BD338" s="40" t="s">
        <v>23</v>
      </c>
      <c r="BE338" s="9" t="s">
        <v>1374</v>
      </c>
      <c r="BF338" s="119">
        <v>2.2999999999999998</v>
      </c>
      <c r="BG338" s="51" t="s">
        <v>1281</v>
      </c>
      <c r="BH338" s="51" t="s">
        <v>1281</v>
      </c>
      <c r="BJ338" s="111" t="s">
        <v>1287</v>
      </c>
      <c r="BK338" s="112" t="s">
        <v>1287</v>
      </c>
      <c r="BL338" s="112" t="s">
        <v>1287</v>
      </c>
      <c r="BM338" s="112" t="s">
        <v>1287</v>
      </c>
      <c r="BN338" s="112" t="s">
        <v>1287</v>
      </c>
      <c r="BO338" s="112" t="s">
        <v>1287</v>
      </c>
      <c r="BP338" s="112" t="s">
        <v>1287</v>
      </c>
      <c r="BQ338" s="112" t="s">
        <v>1287</v>
      </c>
      <c r="BR338" s="112" t="s">
        <v>1287</v>
      </c>
      <c r="BS338" s="112" t="s">
        <v>1287</v>
      </c>
      <c r="BT338" s="112" t="s">
        <v>1287</v>
      </c>
      <c r="BU338" s="112" t="s">
        <v>1287</v>
      </c>
      <c r="BV338" s="111">
        <f t="shared" ref="BV338" si="2882">E338</f>
        <v>45</v>
      </c>
      <c r="BW338" s="113">
        <f t="shared" ref="BW338" si="2883">I338</f>
        <v>75</v>
      </c>
      <c r="BX338" s="114">
        <f t="shared" ref="BX338" si="2884">M338</f>
        <v>79</v>
      </c>
      <c r="BY338" s="113">
        <f t="shared" ref="BY338" si="2885">Q338</f>
        <v>111</v>
      </c>
      <c r="BZ338" s="114">
        <f t="shared" ref="BZ338" si="2886">U338</f>
        <v>115</v>
      </c>
      <c r="CA338" s="113" t="str">
        <f t="shared" ref="CA338" si="2887">Y338</f>
        <v>-</v>
      </c>
      <c r="CB338" s="114">
        <f t="shared" ref="CB338" si="2888">AC338</f>
        <v>157</v>
      </c>
      <c r="CC338" s="113">
        <f t="shared" ref="CC338" si="2889">AG338</f>
        <v>202</v>
      </c>
      <c r="CD338" s="114">
        <f t="shared" ref="CD338" si="2890">AK338</f>
        <v>210</v>
      </c>
      <c r="CE338" s="113">
        <f t="shared" ref="CE338" si="2891">AO338</f>
        <v>286</v>
      </c>
      <c r="CF338" s="114">
        <f t="shared" ref="CF338" si="2892">AS338</f>
        <v>332</v>
      </c>
      <c r="CG338" s="113">
        <f t="shared" ref="CG338" si="2893">AW338</f>
        <v>362</v>
      </c>
      <c r="CH338" s="111">
        <f t="shared" ref="CH338" si="2894">G338</f>
        <v>74</v>
      </c>
      <c r="CI338" s="113">
        <f t="shared" ref="CI338" si="2895">K338</f>
        <v>78</v>
      </c>
      <c r="CJ338" s="114">
        <f t="shared" ref="CJ338" si="2896">O338</f>
        <v>110</v>
      </c>
      <c r="CK338" s="114">
        <f t="shared" ref="CK338" si="2897">S338</f>
        <v>114</v>
      </c>
      <c r="CL338" s="114">
        <f t="shared" ref="CL338" si="2898">W338</f>
        <v>150</v>
      </c>
      <c r="CM338" s="114" t="str">
        <f t="shared" ref="CM338" si="2899">AA338</f>
        <v>-</v>
      </c>
      <c r="CN338" s="114">
        <f t="shared" ref="CN338" si="2900">AE338</f>
        <v>183</v>
      </c>
      <c r="CO338" s="114">
        <f t="shared" ref="CO338" si="2901">AI338</f>
        <v>204</v>
      </c>
      <c r="CP338" s="114">
        <f t="shared" ref="CP338" si="2902">AM338</f>
        <v>243</v>
      </c>
      <c r="CQ338" s="114">
        <f t="shared" ref="CQ338" si="2903">AQ338</f>
        <v>324</v>
      </c>
      <c r="CR338" s="114">
        <f t="shared" ref="CR338" si="2904">AU338</f>
        <v>361</v>
      </c>
      <c r="CS338" s="114">
        <f t="shared" ref="CS338" si="2905">AY338</f>
        <v>376</v>
      </c>
      <c r="CT338" s="109">
        <f t="shared" ref="CT338" si="2906">M338-K338</f>
        <v>1</v>
      </c>
      <c r="AMP338" s="40"/>
    </row>
    <row r="339" spans="1:1030" s="12" customFormat="1" x14ac:dyDescent="0.2">
      <c r="A339" s="9" t="str">
        <f t="shared" ref="A339" si="2907">CONCATENATE(B339,"_",C339)</f>
        <v>ox1r_human_6TQ6</v>
      </c>
      <c r="B339" s="9" t="s">
        <v>1174</v>
      </c>
      <c r="C339" s="9" t="s">
        <v>1631</v>
      </c>
      <c r="D339" s="9" t="str">
        <f>IFERROR(MID(VLOOKUP($B339,Seqs!$A:$B,2,0),E339,1),"")</f>
        <v>Y</v>
      </c>
      <c r="E339" s="9">
        <v>45</v>
      </c>
      <c r="F339" s="9" t="str">
        <f>IFERROR(MID(VLOOKUP($B339,Seqs!$A:$B,2,0),G339,1),"")</f>
        <v>N</v>
      </c>
      <c r="G339" s="9">
        <v>74</v>
      </c>
      <c r="H339" s="9" t="str">
        <f>IFERROR(MID(VLOOKUP($B339,Seqs!$A:$B,2,0),I339,1),"")</f>
        <v>H</v>
      </c>
      <c r="I339" s="109">
        <v>75</v>
      </c>
      <c r="J339" s="9" t="str">
        <f>IFERROR(MID(VLOOKUP($B339,Seqs!$A:$B,2,0),K339,1),"")</f>
        <v>R</v>
      </c>
      <c r="K339" s="109">
        <v>78</v>
      </c>
      <c r="L339" s="9" t="str">
        <f>IFERROR(MID(VLOOKUP($B339,Seqs!$A:$B,2,0),M339,1),"")</f>
        <v>T</v>
      </c>
      <c r="M339" s="9">
        <v>79</v>
      </c>
      <c r="N339" s="9" t="str">
        <f>IFERROR(MID(VLOOKUP($B339,Seqs!$A:$B,2,0),O339,1),"")</f>
        <v>E</v>
      </c>
      <c r="O339" s="9">
        <v>110</v>
      </c>
      <c r="P339" s="9" t="str">
        <f>IFERROR(MID(VLOOKUP($B339,Seqs!$A:$B,2,0),Q339,1),"")</f>
        <v>S</v>
      </c>
      <c r="Q339" s="9">
        <v>111</v>
      </c>
      <c r="R339" s="9" t="str">
        <f>IFERROR(MID(VLOOKUP($B339,Seqs!$A:$B,2,0),S339,1),"")</f>
        <v>F</v>
      </c>
      <c r="S339" s="9">
        <v>114</v>
      </c>
      <c r="T339" s="9" t="str">
        <f>IFERROR(MID(VLOOKUP($B339,Seqs!$A:$B,2,0),U339,1),"")</f>
        <v>G</v>
      </c>
      <c r="U339" s="9">
        <v>115</v>
      </c>
      <c r="V339" s="9" t="str">
        <f>IFERROR(MID(VLOOKUP($B339,Seqs!$A:$B,2,0),W339,1),"")</f>
        <v>H</v>
      </c>
      <c r="W339" s="9">
        <v>150</v>
      </c>
      <c r="X339" s="9" t="str">
        <f>IFERROR(MID(VLOOKUP($B339,Seqs!$A:$B,2,0),Y339,1),"")</f>
        <v/>
      </c>
      <c r="Y339" s="9" t="s">
        <v>23</v>
      </c>
      <c r="Z339" s="9" t="str">
        <f>IFERROR(MID(VLOOKUP($B339,Seqs!$A:$B,2,0),AA339,1),"")</f>
        <v/>
      </c>
      <c r="AA339" s="9" t="s">
        <v>23</v>
      </c>
      <c r="AB339" s="9" t="str">
        <f>IFERROR(MID(VLOOKUP($B339,Seqs!$A:$B,2,0),AC339,1),"")</f>
        <v>T</v>
      </c>
      <c r="AC339" s="9">
        <v>157</v>
      </c>
      <c r="AD339" s="9" t="str">
        <f>IFERROR(MID(VLOOKUP($B339,Seqs!$A:$B,2,0),AE339,1),"")</f>
        <v>M</v>
      </c>
      <c r="AE339" s="9">
        <v>183</v>
      </c>
      <c r="AF339" s="9" t="str">
        <f>IFERROR(MID(VLOOKUP($B339,Seqs!$A:$B,2,0),AG339,1),"")</f>
        <v>C</v>
      </c>
      <c r="AG339" s="9">
        <v>202</v>
      </c>
      <c r="AH339" s="9" t="str">
        <f>IFERROR(MID(VLOOKUP($B339,Seqs!$A:$B,2,0),AI339,1),"")</f>
        <v>E</v>
      </c>
      <c r="AI339" s="9">
        <v>204</v>
      </c>
      <c r="AJ339" s="9" t="str">
        <f>IFERROR(MID(VLOOKUP($B339,Seqs!$A:$B,2,0),AK339,1),"")</f>
        <v>L</v>
      </c>
      <c r="AK339" s="9">
        <v>210</v>
      </c>
      <c r="AL339" s="9" t="str">
        <f>IFERROR(MID(VLOOKUP($B339,Seqs!$A:$B,2,0),AM339,1),"")</f>
        <v>W</v>
      </c>
      <c r="AM339" s="9">
        <v>243</v>
      </c>
      <c r="AN339" s="9" t="str">
        <f>IFERROR(MID(VLOOKUP($B339,Seqs!$A:$B,2,0),AO339,1),"")</f>
        <v>E</v>
      </c>
      <c r="AO339" s="9">
        <v>286</v>
      </c>
      <c r="AP339" s="9" t="str">
        <f>IFERROR(MID(VLOOKUP($B339,Seqs!$A:$B,2,0),AQ339,1),"")</f>
        <v>F</v>
      </c>
      <c r="AQ339" s="9">
        <v>324</v>
      </c>
      <c r="AR339" s="9" t="str">
        <f>IFERROR(MID(VLOOKUP($B339,Seqs!$A:$B,2,0),AS339,1),"")</f>
        <v>D</v>
      </c>
      <c r="AS339" s="9">
        <v>332</v>
      </c>
      <c r="AT339" s="9" t="str">
        <f>IFERROR(MID(VLOOKUP($B339,Seqs!$A:$B,2,0),AU339,1),"")</f>
        <v>L</v>
      </c>
      <c r="AU339" s="9">
        <v>361</v>
      </c>
      <c r="AV339" s="9" t="str">
        <f>IFERROR(MID(VLOOKUP($B339,Seqs!$A:$B,2,0),AW339,1),"")</f>
        <v>S</v>
      </c>
      <c r="AW339" s="9">
        <v>362</v>
      </c>
      <c r="AX339" s="9" t="str">
        <f>IFERROR(MID(VLOOKUP($B339,Seqs!$A:$B,2,0),AY339,1),"")</f>
        <v>L</v>
      </c>
      <c r="AY339" s="9">
        <v>377</v>
      </c>
      <c r="AZ339" s="110" t="str">
        <f>VLOOKUP(B339,Classification!A:D,2,0)</f>
        <v>A</v>
      </c>
      <c r="BA339" s="98" t="str">
        <f>VLOOKUP(B339,Classification!A:D,4,0)</f>
        <v>Orexin</v>
      </c>
      <c r="BB339" s="36" t="b">
        <f t="shared" ref="BB339" si="2908">AND(E339&lt;G339,OR(G339&lt;I339,I339="-"),OR(I339&lt;K339,I339="-"),OR(K339&lt;M339,K339="-"),M339&lt;O339,OR(O339&lt;Q339,Q339="-"),OR(Q339&lt;S339,Q339="-"),OR(S339&lt;U339,S339="-"),U339&lt;W339,OR(W339&lt;Y339,Y339="-"),OR(Y339&lt;AA339,Y339="-"),OR(AA339&lt;AC339,AA339="-"),AC339&lt;AE339,OR(AE339&lt;AG339,AG339="-"),OR(AG339&lt;AI339,AG339="-"),OR(AI339&lt;AK339,AI339="-"),AK339&lt;AM339,AM339&lt;AO339,AO339&lt;AQ339,AQ339&lt;AS339,AS339&lt;AU339,OR(AU339&lt;AW339,AW339="-"),OR(AW339&lt;AY339,AW339="-"))</f>
        <v>1</v>
      </c>
      <c r="BC339" s="109">
        <f t="shared" ref="BC339" si="2909">_xlfn.AGGREGATE(9,6,CH339:CS339)-_xlfn.AGGREGATE(9,6,BV339:CG339)+12</f>
        <v>256</v>
      </c>
      <c r="BD339" s="40" t="s">
        <v>23</v>
      </c>
      <c r="BE339" s="9" t="s">
        <v>1374</v>
      </c>
      <c r="BF339" s="119">
        <v>2.5499999999999998</v>
      </c>
      <c r="BG339" s="51" t="s">
        <v>1281</v>
      </c>
      <c r="BH339" s="51" t="s">
        <v>1281</v>
      </c>
      <c r="BJ339" s="111" t="s">
        <v>1287</v>
      </c>
      <c r="BK339" s="112" t="s">
        <v>1287</v>
      </c>
      <c r="BL339" s="112" t="s">
        <v>1287</v>
      </c>
      <c r="BM339" s="112" t="s">
        <v>1287</v>
      </c>
      <c r="BN339" s="112" t="s">
        <v>1287</v>
      </c>
      <c r="BO339" s="112" t="s">
        <v>1287</v>
      </c>
      <c r="BP339" s="112" t="s">
        <v>1287</v>
      </c>
      <c r="BQ339" s="112" t="s">
        <v>1287</v>
      </c>
      <c r="BR339" s="112" t="s">
        <v>1287</v>
      </c>
      <c r="BS339" s="112" t="s">
        <v>1287</v>
      </c>
      <c r="BT339" s="112" t="s">
        <v>1287</v>
      </c>
      <c r="BU339" s="112" t="s">
        <v>1287</v>
      </c>
      <c r="BV339" s="111">
        <f t="shared" ref="BV339" si="2910">E339</f>
        <v>45</v>
      </c>
      <c r="BW339" s="113">
        <f t="shared" ref="BW339" si="2911">I339</f>
        <v>75</v>
      </c>
      <c r="BX339" s="114">
        <f t="shared" ref="BX339" si="2912">M339</f>
        <v>79</v>
      </c>
      <c r="BY339" s="113">
        <f t="shared" ref="BY339" si="2913">Q339</f>
        <v>111</v>
      </c>
      <c r="BZ339" s="114">
        <f t="shared" ref="BZ339" si="2914">U339</f>
        <v>115</v>
      </c>
      <c r="CA339" s="113" t="str">
        <f t="shared" ref="CA339" si="2915">Y339</f>
        <v>-</v>
      </c>
      <c r="CB339" s="114">
        <f t="shared" ref="CB339" si="2916">AC339</f>
        <v>157</v>
      </c>
      <c r="CC339" s="113">
        <f t="shared" ref="CC339" si="2917">AG339</f>
        <v>202</v>
      </c>
      <c r="CD339" s="114">
        <f t="shared" ref="CD339" si="2918">AK339</f>
        <v>210</v>
      </c>
      <c r="CE339" s="113">
        <f t="shared" ref="CE339" si="2919">AO339</f>
        <v>286</v>
      </c>
      <c r="CF339" s="114">
        <f t="shared" ref="CF339" si="2920">AS339</f>
        <v>332</v>
      </c>
      <c r="CG339" s="113">
        <f t="shared" ref="CG339" si="2921">AW339</f>
        <v>362</v>
      </c>
      <c r="CH339" s="111">
        <f t="shared" ref="CH339" si="2922">G339</f>
        <v>74</v>
      </c>
      <c r="CI339" s="113">
        <f t="shared" ref="CI339" si="2923">K339</f>
        <v>78</v>
      </c>
      <c r="CJ339" s="114">
        <f t="shared" ref="CJ339" si="2924">O339</f>
        <v>110</v>
      </c>
      <c r="CK339" s="114">
        <f t="shared" ref="CK339" si="2925">S339</f>
        <v>114</v>
      </c>
      <c r="CL339" s="114">
        <f t="shared" ref="CL339" si="2926">W339</f>
        <v>150</v>
      </c>
      <c r="CM339" s="114" t="str">
        <f t="shared" ref="CM339" si="2927">AA339</f>
        <v>-</v>
      </c>
      <c r="CN339" s="114">
        <f t="shared" ref="CN339" si="2928">AE339</f>
        <v>183</v>
      </c>
      <c r="CO339" s="114">
        <f t="shared" ref="CO339" si="2929">AI339</f>
        <v>204</v>
      </c>
      <c r="CP339" s="114">
        <f t="shared" ref="CP339" si="2930">AM339</f>
        <v>243</v>
      </c>
      <c r="CQ339" s="114">
        <f t="shared" ref="CQ339" si="2931">AQ339</f>
        <v>324</v>
      </c>
      <c r="CR339" s="114">
        <f t="shared" ref="CR339" si="2932">AU339</f>
        <v>361</v>
      </c>
      <c r="CS339" s="114">
        <f t="shared" ref="CS339" si="2933">AY339</f>
        <v>377</v>
      </c>
      <c r="CT339" s="109">
        <f t="shared" ref="CT339" si="2934">M339-K339</f>
        <v>1</v>
      </c>
      <c r="AMP339" s="40"/>
    </row>
    <row r="340" spans="1:1030" s="12" customFormat="1" x14ac:dyDescent="0.2">
      <c r="A340" s="9" t="str">
        <f t="shared" ref="A340" si="2935">CONCATENATE(B340,"_",C340)</f>
        <v>ox1r_human_6TQ7</v>
      </c>
      <c r="B340" s="9" t="s">
        <v>1174</v>
      </c>
      <c r="C340" s="9" t="s">
        <v>1632</v>
      </c>
      <c r="D340" s="9" t="str">
        <f>IFERROR(MID(VLOOKUP($B340,Seqs!$A:$B,2,0),E340,1),"")</f>
        <v>Y</v>
      </c>
      <c r="E340" s="9">
        <v>45</v>
      </c>
      <c r="F340" s="9" t="str">
        <f>IFERROR(MID(VLOOKUP($B340,Seqs!$A:$B,2,0),G340,1),"")</f>
        <v>N</v>
      </c>
      <c r="G340" s="9">
        <v>74</v>
      </c>
      <c r="H340" s="9" t="str">
        <f>IFERROR(MID(VLOOKUP($B340,Seqs!$A:$B,2,0),I340,1),"")</f>
        <v>H</v>
      </c>
      <c r="I340" s="109">
        <v>75</v>
      </c>
      <c r="J340" s="9" t="str">
        <f>IFERROR(MID(VLOOKUP($B340,Seqs!$A:$B,2,0),K340,1),"")</f>
        <v>R</v>
      </c>
      <c r="K340" s="109">
        <v>78</v>
      </c>
      <c r="L340" s="9" t="str">
        <f>IFERROR(MID(VLOOKUP($B340,Seqs!$A:$B,2,0),M340,1),"")</f>
        <v>T</v>
      </c>
      <c r="M340" s="9">
        <v>79</v>
      </c>
      <c r="N340" s="9" t="str">
        <f>IFERROR(MID(VLOOKUP($B340,Seqs!$A:$B,2,0),O340,1),"")</f>
        <v>E</v>
      </c>
      <c r="O340" s="9">
        <v>110</v>
      </c>
      <c r="P340" s="9" t="str">
        <f>IFERROR(MID(VLOOKUP($B340,Seqs!$A:$B,2,0),Q340,1),"")</f>
        <v>S</v>
      </c>
      <c r="Q340" s="9">
        <v>111</v>
      </c>
      <c r="R340" s="9" t="str">
        <f>IFERROR(MID(VLOOKUP($B340,Seqs!$A:$B,2,0),S340,1),"")</f>
        <v>F</v>
      </c>
      <c r="S340" s="9">
        <v>114</v>
      </c>
      <c r="T340" s="9" t="str">
        <f>IFERROR(MID(VLOOKUP($B340,Seqs!$A:$B,2,0),U340,1),"")</f>
        <v>G</v>
      </c>
      <c r="U340" s="9">
        <v>115</v>
      </c>
      <c r="V340" s="9" t="str">
        <f>IFERROR(MID(VLOOKUP($B340,Seqs!$A:$B,2,0),W340,1),"")</f>
        <v>H</v>
      </c>
      <c r="W340" s="9">
        <v>150</v>
      </c>
      <c r="X340" s="9" t="str">
        <f>IFERROR(MID(VLOOKUP($B340,Seqs!$A:$B,2,0),Y340,1),"")</f>
        <v/>
      </c>
      <c r="Y340" s="9" t="s">
        <v>23</v>
      </c>
      <c r="Z340" s="9" t="str">
        <f>IFERROR(MID(VLOOKUP($B340,Seqs!$A:$B,2,0),AA340,1),"")</f>
        <v/>
      </c>
      <c r="AA340" s="9" t="s">
        <v>23</v>
      </c>
      <c r="AB340" s="9" t="str">
        <f>IFERROR(MID(VLOOKUP($B340,Seqs!$A:$B,2,0),AC340,1),"")</f>
        <v>T</v>
      </c>
      <c r="AC340" s="9">
        <v>157</v>
      </c>
      <c r="AD340" s="9" t="str">
        <f>IFERROR(MID(VLOOKUP($B340,Seqs!$A:$B,2,0),AE340,1),"")</f>
        <v>M</v>
      </c>
      <c r="AE340" s="9">
        <v>183</v>
      </c>
      <c r="AF340" s="9" t="str">
        <f>IFERROR(MID(VLOOKUP($B340,Seqs!$A:$B,2,0),AG340,1),"")</f>
        <v>C</v>
      </c>
      <c r="AG340" s="9">
        <v>202</v>
      </c>
      <c r="AH340" s="9" t="str">
        <f>IFERROR(MID(VLOOKUP($B340,Seqs!$A:$B,2,0),AI340,1),"")</f>
        <v>E</v>
      </c>
      <c r="AI340" s="9">
        <v>204</v>
      </c>
      <c r="AJ340" s="9" t="str">
        <f>IFERROR(MID(VLOOKUP($B340,Seqs!$A:$B,2,0),AK340,1),"")</f>
        <v>L</v>
      </c>
      <c r="AK340" s="9">
        <v>210</v>
      </c>
      <c r="AL340" s="9" t="str">
        <f>IFERROR(MID(VLOOKUP($B340,Seqs!$A:$B,2,0),AM340,1),"")</f>
        <v>W</v>
      </c>
      <c r="AM340" s="9">
        <v>243</v>
      </c>
      <c r="AN340" s="9" t="str">
        <f>IFERROR(MID(VLOOKUP($B340,Seqs!$A:$B,2,0),AO340,1),"")</f>
        <v>E</v>
      </c>
      <c r="AO340" s="9">
        <v>286</v>
      </c>
      <c r="AP340" s="9" t="str">
        <f>IFERROR(MID(VLOOKUP($B340,Seqs!$A:$B,2,0),AQ340,1),"")</f>
        <v>F</v>
      </c>
      <c r="AQ340" s="9">
        <v>324</v>
      </c>
      <c r="AR340" s="9" t="str">
        <f>IFERROR(MID(VLOOKUP($B340,Seqs!$A:$B,2,0),AS340,1),"")</f>
        <v>D</v>
      </c>
      <c r="AS340" s="9">
        <v>332</v>
      </c>
      <c r="AT340" s="9" t="str">
        <f>IFERROR(MID(VLOOKUP($B340,Seqs!$A:$B,2,0),AU340,1),"")</f>
        <v>L</v>
      </c>
      <c r="AU340" s="9">
        <v>361</v>
      </c>
      <c r="AV340" s="9" t="str">
        <f>IFERROR(MID(VLOOKUP($B340,Seqs!$A:$B,2,0),AW340,1),"")</f>
        <v>S</v>
      </c>
      <c r="AW340" s="9">
        <v>362</v>
      </c>
      <c r="AX340" s="9" t="str">
        <f>IFERROR(MID(VLOOKUP($B340,Seqs!$A:$B,2,0),AY340,1),"")</f>
        <v>L</v>
      </c>
      <c r="AY340" s="9">
        <v>377</v>
      </c>
      <c r="AZ340" s="110" t="str">
        <f>VLOOKUP(B340,Classification!A:D,2,0)</f>
        <v>A</v>
      </c>
      <c r="BA340" s="98" t="str">
        <f>VLOOKUP(B340,Classification!A:D,4,0)</f>
        <v>Orexin</v>
      </c>
      <c r="BB340" s="36" t="b">
        <f t="shared" ref="BB340" si="2936">AND(E340&lt;G340,OR(G340&lt;I340,I340="-"),OR(I340&lt;K340,I340="-"),OR(K340&lt;M340,K340="-"),M340&lt;O340,OR(O340&lt;Q340,Q340="-"),OR(Q340&lt;S340,Q340="-"),OR(S340&lt;U340,S340="-"),U340&lt;W340,OR(W340&lt;Y340,Y340="-"),OR(Y340&lt;AA340,Y340="-"),OR(AA340&lt;AC340,AA340="-"),AC340&lt;AE340,OR(AE340&lt;AG340,AG340="-"),OR(AG340&lt;AI340,AG340="-"),OR(AI340&lt;AK340,AI340="-"),AK340&lt;AM340,AM340&lt;AO340,AO340&lt;AQ340,AQ340&lt;AS340,AS340&lt;AU340,OR(AU340&lt;AW340,AW340="-"),OR(AW340&lt;AY340,AW340="-"))</f>
        <v>1</v>
      </c>
      <c r="BC340" s="109">
        <f t="shared" ref="BC340" si="2937">_xlfn.AGGREGATE(9,6,CH340:CS340)-_xlfn.AGGREGATE(9,6,BV340:CG340)+12</f>
        <v>256</v>
      </c>
      <c r="BD340" s="40" t="s">
        <v>23</v>
      </c>
      <c r="BE340" s="9" t="s">
        <v>1374</v>
      </c>
      <c r="BF340" s="119">
        <v>2.66</v>
      </c>
      <c r="BG340" s="51" t="s">
        <v>1</v>
      </c>
      <c r="BH340" s="51" t="s">
        <v>1</v>
      </c>
      <c r="BJ340" s="111" t="s">
        <v>1287</v>
      </c>
      <c r="BK340" s="112" t="s">
        <v>1287</v>
      </c>
      <c r="BL340" s="112" t="s">
        <v>1287</v>
      </c>
      <c r="BM340" s="112" t="s">
        <v>1287</v>
      </c>
      <c r="BN340" s="112" t="s">
        <v>1287</v>
      </c>
      <c r="BO340" s="112" t="s">
        <v>1287</v>
      </c>
      <c r="BP340" s="112" t="s">
        <v>1287</v>
      </c>
      <c r="BQ340" s="112" t="s">
        <v>1287</v>
      </c>
      <c r="BR340" s="112" t="s">
        <v>1287</v>
      </c>
      <c r="BS340" s="112" t="s">
        <v>1287</v>
      </c>
      <c r="BT340" s="112" t="s">
        <v>1287</v>
      </c>
      <c r="BU340" s="112" t="s">
        <v>1287</v>
      </c>
      <c r="BV340" s="111">
        <f t="shared" ref="BV340" si="2938">E340</f>
        <v>45</v>
      </c>
      <c r="BW340" s="113">
        <f t="shared" ref="BW340" si="2939">I340</f>
        <v>75</v>
      </c>
      <c r="BX340" s="114">
        <f t="shared" ref="BX340" si="2940">M340</f>
        <v>79</v>
      </c>
      <c r="BY340" s="113">
        <f t="shared" ref="BY340" si="2941">Q340</f>
        <v>111</v>
      </c>
      <c r="BZ340" s="114">
        <f t="shared" ref="BZ340" si="2942">U340</f>
        <v>115</v>
      </c>
      <c r="CA340" s="113" t="str">
        <f t="shared" ref="CA340" si="2943">Y340</f>
        <v>-</v>
      </c>
      <c r="CB340" s="114">
        <f t="shared" ref="CB340" si="2944">AC340</f>
        <v>157</v>
      </c>
      <c r="CC340" s="113">
        <f t="shared" ref="CC340" si="2945">AG340</f>
        <v>202</v>
      </c>
      <c r="CD340" s="114">
        <f t="shared" ref="CD340" si="2946">AK340</f>
        <v>210</v>
      </c>
      <c r="CE340" s="113">
        <f t="shared" ref="CE340" si="2947">AO340</f>
        <v>286</v>
      </c>
      <c r="CF340" s="114">
        <f t="shared" ref="CF340" si="2948">AS340</f>
        <v>332</v>
      </c>
      <c r="CG340" s="113">
        <f t="shared" ref="CG340" si="2949">AW340</f>
        <v>362</v>
      </c>
      <c r="CH340" s="111">
        <f t="shared" ref="CH340" si="2950">G340</f>
        <v>74</v>
      </c>
      <c r="CI340" s="113">
        <f t="shared" ref="CI340" si="2951">K340</f>
        <v>78</v>
      </c>
      <c r="CJ340" s="114">
        <f t="shared" ref="CJ340" si="2952">O340</f>
        <v>110</v>
      </c>
      <c r="CK340" s="114">
        <f t="shared" ref="CK340" si="2953">S340</f>
        <v>114</v>
      </c>
      <c r="CL340" s="114">
        <f t="shared" ref="CL340" si="2954">W340</f>
        <v>150</v>
      </c>
      <c r="CM340" s="114" t="str">
        <f t="shared" ref="CM340" si="2955">AA340</f>
        <v>-</v>
      </c>
      <c r="CN340" s="114">
        <f t="shared" ref="CN340" si="2956">AE340</f>
        <v>183</v>
      </c>
      <c r="CO340" s="114">
        <f t="shared" ref="CO340" si="2957">AI340</f>
        <v>204</v>
      </c>
      <c r="CP340" s="114">
        <f t="shared" ref="CP340" si="2958">AM340</f>
        <v>243</v>
      </c>
      <c r="CQ340" s="114">
        <f t="shared" ref="CQ340" si="2959">AQ340</f>
        <v>324</v>
      </c>
      <c r="CR340" s="114">
        <f t="shared" ref="CR340" si="2960">AU340</f>
        <v>361</v>
      </c>
      <c r="CS340" s="114">
        <f t="shared" ref="CS340" si="2961">AY340</f>
        <v>377</v>
      </c>
      <c r="CT340" s="109">
        <f t="shared" ref="CT340" si="2962">M340-K340</f>
        <v>1</v>
      </c>
      <c r="AMP340" s="40"/>
    </row>
    <row r="341" spans="1:1030" s="12" customFormat="1" x14ac:dyDescent="0.2">
      <c r="A341" s="9" t="str">
        <f t="shared" ref="A341" si="2963">CONCATENATE(B341,"_",C341)</f>
        <v>ox1r_human_6TQ9</v>
      </c>
      <c r="B341" s="9" t="s">
        <v>1174</v>
      </c>
      <c r="C341" s="9" t="s">
        <v>1633</v>
      </c>
      <c r="D341" s="9" t="str">
        <f>IFERROR(MID(VLOOKUP($B341,Seqs!$A:$B,2,0),E341,1),"")</f>
        <v>Y</v>
      </c>
      <c r="E341" s="9">
        <v>45</v>
      </c>
      <c r="F341" s="9" t="str">
        <f>IFERROR(MID(VLOOKUP($B341,Seqs!$A:$B,2,0),G341,1),"")</f>
        <v>N</v>
      </c>
      <c r="G341" s="9">
        <v>74</v>
      </c>
      <c r="H341" s="9" t="str">
        <f>IFERROR(MID(VLOOKUP($B341,Seqs!$A:$B,2,0),I341,1),"")</f>
        <v>H</v>
      </c>
      <c r="I341" s="109">
        <v>75</v>
      </c>
      <c r="J341" s="9" t="str">
        <f>IFERROR(MID(VLOOKUP($B341,Seqs!$A:$B,2,0),K341,1),"")</f>
        <v>R</v>
      </c>
      <c r="K341" s="109">
        <v>78</v>
      </c>
      <c r="L341" s="9" t="str">
        <f>IFERROR(MID(VLOOKUP($B341,Seqs!$A:$B,2,0),M341,1),"")</f>
        <v>T</v>
      </c>
      <c r="M341" s="9">
        <v>79</v>
      </c>
      <c r="N341" s="9" t="str">
        <f>IFERROR(MID(VLOOKUP($B341,Seqs!$A:$B,2,0),O341,1),"")</f>
        <v>E</v>
      </c>
      <c r="O341" s="9">
        <v>110</v>
      </c>
      <c r="P341" s="9" t="str">
        <f>IFERROR(MID(VLOOKUP($B341,Seqs!$A:$B,2,0),Q341,1),"")</f>
        <v>S</v>
      </c>
      <c r="Q341" s="9">
        <v>111</v>
      </c>
      <c r="R341" s="9" t="str">
        <f>IFERROR(MID(VLOOKUP($B341,Seqs!$A:$B,2,0),S341,1),"")</f>
        <v>F</v>
      </c>
      <c r="S341" s="9">
        <v>114</v>
      </c>
      <c r="T341" s="9" t="str">
        <f>IFERROR(MID(VLOOKUP($B341,Seqs!$A:$B,2,0),U341,1),"")</f>
        <v>G</v>
      </c>
      <c r="U341" s="9">
        <v>115</v>
      </c>
      <c r="V341" s="9" t="str">
        <f>IFERROR(MID(VLOOKUP($B341,Seqs!$A:$B,2,0),W341,1),"")</f>
        <v>H</v>
      </c>
      <c r="W341" s="9">
        <v>150</v>
      </c>
      <c r="X341" s="9" t="str">
        <f>IFERROR(MID(VLOOKUP($B341,Seqs!$A:$B,2,0),Y341,1),"")</f>
        <v/>
      </c>
      <c r="Y341" s="9" t="s">
        <v>23</v>
      </c>
      <c r="Z341" s="9" t="str">
        <f>IFERROR(MID(VLOOKUP($B341,Seqs!$A:$B,2,0),AA341,1),"")</f>
        <v/>
      </c>
      <c r="AA341" s="9" t="s">
        <v>23</v>
      </c>
      <c r="AB341" s="9" t="str">
        <f>IFERROR(MID(VLOOKUP($B341,Seqs!$A:$B,2,0),AC341,1),"")</f>
        <v>T</v>
      </c>
      <c r="AC341" s="9">
        <v>157</v>
      </c>
      <c r="AD341" s="9" t="str">
        <f>IFERROR(MID(VLOOKUP($B341,Seqs!$A:$B,2,0),AE341,1),"")</f>
        <v>M</v>
      </c>
      <c r="AE341" s="9">
        <v>183</v>
      </c>
      <c r="AF341" s="9" t="str">
        <f>IFERROR(MID(VLOOKUP($B341,Seqs!$A:$B,2,0),AG341,1),"")</f>
        <v>C</v>
      </c>
      <c r="AG341" s="9">
        <v>202</v>
      </c>
      <c r="AH341" s="9" t="str">
        <f>IFERROR(MID(VLOOKUP($B341,Seqs!$A:$B,2,0),AI341,1),"")</f>
        <v>E</v>
      </c>
      <c r="AI341" s="9">
        <v>204</v>
      </c>
      <c r="AJ341" s="9" t="str">
        <f>IFERROR(MID(VLOOKUP($B341,Seqs!$A:$B,2,0),AK341,1),"")</f>
        <v>L</v>
      </c>
      <c r="AK341" s="9">
        <v>210</v>
      </c>
      <c r="AL341" s="9" t="str">
        <f>IFERROR(MID(VLOOKUP($B341,Seqs!$A:$B,2,0),AM341,1),"")</f>
        <v>W</v>
      </c>
      <c r="AM341" s="9">
        <v>243</v>
      </c>
      <c r="AN341" s="9" t="str">
        <f>IFERROR(MID(VLOOKUP($B341,Seqs!$A:$B,2,0),AO341,1),"")</f>
        <v>E</v>
      </c>
      <c r="AO341" s="9">
        <v>286</v>
      </c>
      <c r="AP341" s="9" t="str">
        <f>IFERROR(MID(VLOOKUP($B341,Seqs!$A:$B,2,0),AQ341,1),"")</f>
        <v>F</v>
      </c>
      <c r="AQ341" s="9">
        <v>324</v>
      </c>
      <c r="AR341" s="9" t="str">
        <f>IFERROR(MID(VLOOKUP($B341,Seqs!$A:$B,2,0),AS341,1),"")</f>
        <v>D</v>
      </c>
      <c r="AS341" s="9">
        <v>332</v>
      </c>
      <c r="AT341" s="9" t="str">
        <f>IFERROR(MID(VLOOKUP($B341,Seqs!$A:$B,2,0),AU341,1),"")</f>
        <v>L</v>
      </c>
      <c r="AU341" s="9">
        <v>361</v>
      </c>
      <c r="AV341" s="9" t="str">
        <f>IFERROR(MID(VLOOKUP($B341,Seqs!$A:$B,2,0),AW341,1),"")</f>
        <v>S</v>
      </c>
      <c r="AW341" s="9">
        <v>362</v>
      </c>
      <c r="AX341" s="9" t="str">
        <f>IFERROR(MID(VLOOKUP($B341,Seqs!$A:$B,2,0),AY341,1),"")</f>
        <v>L</v>
      </c>
      <c r="AY341" s="9">
        <v>377</v>
      </c>
      <c r="AZ341" s="110" t="str">
        <f>VLOOKUP(B341,Classification!A:D,2,0)</f>
        <v>A</v>
      </c>
      <c r="BA341" s="98" t="str">
        <f>VLOOKUP(B341,Classification!A:D,4,0)</f>
        <v>Orexin</v>
      </c>
      <c r="BB341" s="36" t="b">
        <f t="shared" ref="BB341" si="2964">AND(E341&lt;G341,OR(G341&lt;I341,I341="-"),OR(I341&lt;K341,I341="-"),OR(K341&lt;M341,K341="-"),M341&lt;O341,OR(O341&lt;Q341,Q341="-"),OR(Q341&lt;S341,Q341="-"),OR(S341&lt;U341,S341="-"),U341&lt;W341,OR(W341&lt;Y341,Y341="-"),OR(Y341&lt;AA341,Y341="-"),OR(AA341&lt;AC341,AA341="-"),AC341&lt;AE341,OR(AE341&lt;AG341,AG341="-"),OR(AG341&lt;AI341,AG341="-"),OR(AI341&lt;AK341,AI341="-"),AK341&lt;AM341,AM341&lt;AO341,AO341&lt;AQ341,AQ341&lt;AS341,AS341&lt;AU341,OR(AU341&lt;AW341,AW341="-"),OR(AW341&lt;AY341,AW341="-"))</f>
        <v>1</v>
      </c>
      <c r="BC341" s="109">
        <f t="shared" ref="BC341" si="2965">_xlfn.AGGREGATE(9,6,CH341:CS341)-_xlfn.AGGREGATE(9,6,BV341:CG341)+12</f>
        <v>256</v>
      </c>
      <c r="BD341" s="40" t="s">
        <v>23</v>
      </c>
      <c r="BE341" s="9" t="s">
        <v>1374</v>
      </c>
      <c r="BF341" s="119">
        <v>2.66</v>
      </c>
      <c r="BG341" s="51" t="s">
        <v>1281</v>
      </c>
      <c r="BH341" s="51" t="s">
        <v>1281</v>
      </c>
      <c r="BJ341" s="111" t="s">
        <v>1287</v>
      </c>
      <c r="BK341" s="112" t="s">
        <v>1287</v>
      </c>
      <c r="BL341" s="112" t="s">
        <v>1287</v>
      </c>
      <c r="BM341" s="112" t="s">
        <v>1287</v>
      </c>
      <c r="BN341" s="112" t="s">
        <v>1287</v>
      </c>
      <c r="BO341" s="112" t="s">
        <v>1287</v>
      </c>
      <c r="BP341" s="112" t="s">
        <v>1287</v>
      </c>
      <c r="BQ341" s="112" t="s">
        <v>1287</v>
      </c>
      <c r="BR341" s="112" t="s">
        <v>1287</v>
      </c>
      <c r="BS341" s="112" t="s">
        <v>1287</v>
      </c>
      <c r="BT341" s="112" t="s">
        <v>1287</v>
      </c>
      <c r="BU341" s="112" t="s">
        <v>1287</v>
      </c>
      <c r="BV341" s="111">
        <f t="shared" ref="BV341" si="2966">E341</f>
        <v>45</v>
      </c>
      <c r="BW341" s="113">
        <f t="shared" ref="BW341" si="2967">I341</f>
        <v>75</v>
      </c>
      <c r="BX341" s="114">
        <f t="shared" ref="BX341" si="2968">M341</f>
        <v>79</v>
      </c>
      <c r="BY341" s="113">
        <f t="shared" ref="BY341" si="2969">Q341</f>
        <v>111</v>
      </c>
      <c r="BZ341" s="114">
        <f t="shared" ref="BZ341" si="2970">U341</f>
        <v>115</v>
      </c>
      <c r="CA341" s="113" t="str">
        <f t="shared" ref="CA341" si="2971">Y341</f>
        <v>-</v>
      </c>
      <c r="CB341" s="114">
        <f t="shared" ref="CB341" si="2972">AC341</f>
        <v>157</v>
      </c>
      <c r="CC341" s="113">
        <f t="shared" ref="CC341" si="2973">AG341</f>
        <v>202</v>
      </c>
      <c r="CD341" s="114">
        <f t="shared" ref="CD341" si="2974">AK341</f>
        <v>210</v>
      </c>
      <c r="CE341" s="113">
        <f t="shared" ref="CE341" si="2975">AO341</f>
        <v>286</v>
      </c>
      <c r="CF341" s="114">
        <f t="shared" ref="CF341" si="2976">AS341</f>
        <v>332</v>
      </c>
      <c r="CG341" s="113">
        <f t="shared" ref="CG341" si="2977">AW341</f>
        <v>362</v>
      </c>
      <c r="CH341" s="111">
        <f t="shared" ref="CH341" si="2978">G341</f>
        <v>74</v>
      </c>
      <c r="CI341" s="113">
        <f t="shared" ref="CI341" si="2979">K341</f>
        <v>78</v>
      </c>
      <c r="CJ341" s="114">
        <f t="shared" ref="CJ341" si="2980">O341</f>
        <v>110</v>
      </c>
      <c r="CK341" s="114">
        <f t="shared" ref="CK341" si="2981">S341</f>
        <v>114</v>
      </c>
      <c r="CL341" s="114">
        <f t="shared" ref="CL341" si="2982">W341</f>
        <v>150</v>
      </c>
      <c r="CM341" s="114" t="str">
        <f t="shared" ref="CM341" si="2983">AA341</f>
        <v>-</v>
      </c>
      <c r="CN341" s="114">
        <f t="shared" ref="CN341" si="2984">AE341</f>
        <v>183</v>
      </c>
      <c r="CO341" s="114">
        <f t="shared" ref="CO341" si="2985">AI341</f>
        <v>204</v>
      </c>
      <c r="CP341" s="114">
        <f t="shared" ref="CP341" si="2986">AM341</f>
        <v>243</v>
      </c>
      <c r="CQ341" s="114">
        <f t="shared" ref="CQ341" si="2987">AQ341</f>
        <v>324</v>
      </c>
      <c r="CR341" s="114">
        <f t="shared" ref="CR341" si="2988">AU341</f>
        <v>361</v>
      </c>
      <c r="CS341" s="114">
        <f t="shared" ref="CS341" si="2989">AY341</f>
        <v>377</v>
      </c>
      <c r="CT341" s="109">
        <f t="shared" ref="CT341" si="2990">M341-K341</f>
        <v>1</v>
      </c>
      <c r="AMP341" s="40"/>
    </row>
    <row r="342" spans="1:1030" s="12" customFormat="1" x14ac:dyDescent="0.2">
      <c r="A342" s="9" t="str">
        <f t="shared" ref="A342" si="2991">CONCATENATE(B342,"_",C342)</f>
        <v>ox1r_human_6TOS</v>
      </c>
      <c r="B342" s="9" t="s">
        <v>1174</v>
      </c>
      <c r="C342" s="9" t="s">
        <v>1635</v>
      </c>
      <c r="D342" s="9" t="str">
        <f>IFERROR(MID(VLOOKUP($B342,Seqs!$A:$B,2,0),E342,1),"")</f>
        <v>Y</v>
      </c>
      <c r="E342" s="9">
        <v>45</v>
      </c>
      <c r="F342" s="9" t="str">
        <f>IFERROR(MID(VLOOKUP($B342,Seqs!$A:$B,2,0),G342,1),"")</f>
        <v>N</v>
      </c>
      <c r="G342" s="9">
        <v>74</v>
      </c>
      <c r="H342" s="9" t="str">
        <f>IFERROR(MID(VLOOKUP($B342,Seqs!$A:$B,2,0),I342,1),"")</f>
        <v>H</v>
      </c>
      <c r="I342" s="109">
        <v>75</v>
      </c>
      <c r="J342" s="9" t="str">
        <f>IFERROR(MID(VLOOKUP($B342,Seqs!$A:$B,2,0),K342,1),"")</f>
        <v>R</v>
      </c>
      <c r="K342" s="109">
        <v>78</v>
      </c>
      <c r="L342" s="9" t="str">
        <f>IFERROR(MID(VLOOKUP($B342,Seqs!$A:$B,2,0),M342,1),"")</f>
        <v>T</v>
      </c>
      <c r="M342" s="9">
        <v>79</v>
      </c>
      <c r="N342" s="9" t="str">
        <f>IFERROR(MID(VLOOKUP($B342,Seqs!$A:$B,2,0),O342,1),"")</f>
        <v>E</v>
      </c>
      <c r="O342" s="9">
        <v>110</v>
      </c>
      <c r="P342" s="9" t="str">
        <f>IFERROR(MID(VLOOKUP($B342,Seqs!$A:$B,2,0),Q342,1),"")</f>
        <v>S</v>
      </c>
      <c r="Q342" s="9">
        <v>111</v>
      </c>
      <c r="R342" s="9" t="str">
        <f>IFERROR(MID(VLOOKUP($B342,Seqs!$A:$B,2,0),S342,1),"")</f>
        <v>F</v>
      </c>
      <c r="S342" s="9">
        <v>114</v>
      </c>
      <c r="T342" s="9" t="str">
        <f>IFERROR(MID(VLOOKUP($B342,Seqs!$A:$B,2,0),U342,1),"")</f>
        <v>G</v>
      </c>
      <c r="U342" s="9">
        <v>115</v>
      </c>
      <c r="V342" s="9" t="str">
        <f>IFERROR(MID(VLOOKUP($B342,Seqs!$A:$B,2,0),W342,1),"")</f>
        <v>H</v>
      </c>
      <c r="W342" s="9">
        <v>150</v>
      </c>
      <c r="X342" s="9" t="str">
        <f>IFERROR(MID(VLOOKUP($B342,Seqs!$A:$B,2,0),Y342,1),"")</f>
        <v/>
      </c>
      <c r="Y342" s="9" t="s">
        <v>23</v>
      </c>
      <c r="Z342" s="9" t="str">
        <f>IFERROR(MID(VLOOKUP($B342,Seqs!$A:$B,2,0),AA342,1),"")</f>
        <v/>
      </c>
      <c r="AA342" s="9" t="s">
        <v>23</v>
      </c>
      <c r="AB342" s="9" t="str">
        <f>IFERROR(MID(VLOOKUP($B342,Seqs!$A:$B,2,0),AC342,1),"")</f>
        <v>T</v>
      </c>
      <c r="AC342" s="9">
        <v>157</v>
      </c>
      <c r="AD342" s="9" t="str">
        <f>IFERROR(MID(VLOOKUP($B342,Seqs!$A:$B,2,0),AE342,1),"")</f>
        <v>M</v>
      </c>
      <c r="AE342" s="9">
        <v>183</v>
      </c>
      <c r="AF342" s="9" t="str">
        <f>IFERROR(MID(VLOOKUP($B342,Seqs!$A:$B,2,0),AG342,1),"")</f>
        <v>C</v>
      </c>
      <c r="AG342" s="9">
        <v>202</v>
      </c>
      <c r="AH342" s="9" t="str">
        <f>IFERROR(MID(VLOOKUP($B342,Seqs!$A:$B,2,0),AI342,1),"")</f>
        <v>E</v>
      </c>
      <c r="AI342" s="9">
        <v>204</v>
      </c>
      <c r="AJ342" s="9" t="str">
        <f>IFERROR(MID(VLOOKUP($B342,Seqs!$A:$B,2,0),AK342,1),"")</f>
        <v>L</v>
      </c>
      <c r="AK342" s="9">
        <v>210</v>
      </c>
      <c r="AL342" s="9" t="str">
        <f>IFERROR(MID(VLOOKUP($B342,Seqs!$A:$B,2,0),AM342,1),"")</f>
        <v>W</v>
      </c>
      <c r="AM342" s="9">
        <v>243</v>
      </c>
      <c r="AN342" s="9" t="str">
        <f>IFERROR(MID(VLOOKUP($B342,Seqs!$A:$B,2,0),AO342,1),"")</f>
        <v>E</v>
      </c>
      <c r="AO342" s="9">
        <v>286</v>
      </c>
      <c r="AP342" s="9" t="str">
        <f>IFERROR(MID(VLOOKUP($B342,Seqs!$A:$B,2,0),AQ342,1),"")</f>
        <v>G</v>
      </c>
      <c r="AQ342" s="9">
        <v>325</v>
      </c>
      <c r="AR342" s="9" t="str">
        <f>IFERROR(MID(VLOOKUP($B342,Seqs!$A:$B,2,0),AS342,1),"")</f>
        <v>D</v>
      </c>
      <c r="AS342" s="9">
        <v>332</v>
      </c>
      <c r="AT342" s="9" t="str">
        <f>IFERROR(MID(VLOOKUP($B342,Seqs!$A:$B,2,0),AU342,1),"")</f>
        <v>L</v>
      </c>
      <c r="AU342" s="9">
        <v>361</v>
      </c>
      <c r="AV342" s="9" t="str">
        <f>IFERROR(MID(VLOOKUP($B342,Seqs!$A:$B,2,0),AW342,1),"")</f>
        <v>S</v>
      </c>
      <c r="AW342" s="9">
        <v>362</v>
      </c>
      <c r="AX342" s="9" t="str">
        <f>IFERROR(MID(VLOOKUP($B342,Seqs!$A:$B,2,0),AY342,1),"")</f>
        <v>L</v>
      </c>
      <c r="AY342" s="9">
        <v>377</v>
      </c>
      <c r="AZ342" s="110" t="str">
        <f>VLOOKUP(B342,Classification!A:D,2,0)</f>
        <v>A</v>
      </c>
      <c r="BA342" s="98" t="str">
        <f>VLOOKUP(B342,Classification!A:D,4,0)</f>
        <v>Orexin</v>
      </c>
      <c r="BB342" s="36" t="b">
        <f t="shared" ref="BB342" si="2992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109">
        <f t="shared" ref="BC342" si="2993">_xlfn.AGGREGATE(9,6,CH342:CS342)-_xlfn.AGGREGATE(9,6,BV342:CG342)+12</f>
        <v>257</v>
      </c>
      <c r="BD342" s="40" t="s">
        <v>23</v>
      </c>
      <c r="BE342" s="9" t="s">
        <v>1374</v>
      </c>
      <c r="BF342" s="119">
        <v>2.13</v>
      </c>
      <c r="BG342" s="51" t="s">
        <v>1281</v>
      </c>
      <c r="BH342" s="51" t="s">
        <v>1281</v>
      </c>
      <c r="BJ342" s="111" t="s">
        <v>1287</v>
      </c>
      <c r="BK342" s="112" t="s">
        <v>1287</v>
      </c>
      <c r="BL342" s="112" t="s">
        <v>1287</v>
      </c>
      <c r="BM342" s="112" t="s">
        <v>1287</v>
      </c>
      <c r="BN342" s="112" t="s">
        <v>1287</v>
      </c>
      <c r="BO342" s="112" t="s">
        <v>1287</v>
      </c>
      <c r="BP342" s="112" t="s">
        <v>1287</v>
      </c>
      <c r="BQ342" s="112" t="s">
        <v>1287</v>
      </c>
      <c r="BR342" s="112" t="s">
        <v>1287</v>
      </c>
      <c r="BS342" s="112" t="s">
        <v>1287</v>
      </c>
      <c r="BT342" s="112" t="s">
        <v>1287</v>
      </c>
      <c r="BU342" s="112" t="s">
        <v>1287</v>
      </c>
      <c r="BV342" s="111">
        <f t="shared" ref="BV342" si="2994">E342</f>
        <v>45</v>
      </c>
      <c r="BW342" s="113">
        <f t="shared" ref="BW342" si="2995">I342</f>
        <v>75</v>
      </c>
      <c r="BX342" s="114">
        <f t="shared" ref="BX342" si="2996">M342</f>
        <v>79</v>
      </c>
      <c r="BY342" s="113">
        <f t="shared" ref="BY342" si="2997">Q342</f>
        <v>111</v>
      </c>
      <c r="BZ342" s="114">
        <f t="shared" ref="BZ342" si="2998">U342</f>
        <v>115</v>
      </c>
      <c r="CA342" s="113" t="str">
        <f t="shared" ref="CA342" si="2999">Y342</f>
        <v>-</v>
      </c>
      <c r="CB342" s="114">
        <f t="shared" ref="CB342" si="3000">AC342</f>
        <v>157</v>
      </c>
      <c r="CC342" s="113">
        <f t="shared" ref="CC342" si="3001">AG342</f>
        <v>202</v>
      </c>
      <c r="CD342" s="114">
        <f t="shared" ref="CD342" si="3002">AK342</f>
        <v>210</v>
      </c>
      <c r="CE342" s="113">
        <f t="shared" ref="CE342" si="3003">AO342</f>
        <v>286</v>
      </c>
      <c r="CF342" s="114">
        <f t="shared" ref="CF342" si="3004">AS342</f>
        <v>332</v>
      </c>
      <c r="CG342" s="113">
        <f t="shared" ref="CG342" si="3005">AW342</f>
        <v>362</v>
      </c>
      <c r="CH342" s="111">
        <f t="shared" ref="CH342" si="3006">G342</f>
        <v>74</v>
      </c>
      <c r="CI342" s="113">
        <f t="shared" ref="CI342" si="3007">K342</f>
        <v>78</v>
      </c>
      <c r="CJ342" s="114">
        <f t="shared" ref="CJ342" si="3008">O342</f>
        <v>110</v>
      </c>
      <c r="CK342" s="114">
        <f t="shared" ref="CK342" si="3009">S342</f>
        <v>114</v>
      </c>
      <c r="CL342" s="114">
        <f t="shared" ref="CL342" si="3010">W342</f>
        <v>150</v>
      </c>
      <c r="CM342" s="114" t="str">
        <f t="shared" ref="CM342" si="3011">AA342</f>
        <v>-</v>
      </c>
      <c r="CN342" s="114">
        <f t="shared" ref="CN342" si="3012">AE342</f>
        <v>183</v>
      </c>
      <c r="CO342" s="114">
        <f t="shared" ref="CO342" si="3013">AI342</f>
        <v>204</v>
      </c>
      <c r="CP342" s="114">
        <f t="shared" ref="CP342" si="3014">AM342</f>
        <v>243</v>
      </c>
      <c r="CQ342" s="114">
        <f t="shared" ref="CQ342" si="3015">AQ342</f>
        <v>325</v>
      </c>
      <c r="CR342" s="114">
        <f t="shared" ref="CR342" si="3016">AU342</f>
        <v>361</v>
      </c>
      <c r="CS342" s="114">
        <f t="shared" ref="CS342" si="3017">AY342</f>
        <v>377</v>
      </c>
      <c r="CT342" s="109">
        <f t="shared" ref="CT342" si="3018">M342-K342</f>
        <v>1</v>
      </c>
      <c r="AMP342" s="40"/>
    </row>
    <row r="343" spans="1:1030" s="12" customFormat="1" x14ac:dyDescent="0.2">
      <c r="A343" s="9" t="str">
        <f t="shared" ref="A343" si="3019">CONCATENATE(B343,"_",C343)</f>
        <v>ox1r_human_6TOT</v>
      </c>
      <c r="B343" s="9" t="s">
        <v>1174</v>
      </c>
      <c r="C343" s="9" t="s">
        <v>1636</v>
      </c>
      <c r="D343" s="9" t="str">
        <f>IFERROR(MID(VLOOKUP($B343,Seqs!$A:$B,2,0),E343,1),"")</f>
        <v>Y</v>
      </c>
      <c r="E343" s="9">
        <v>45</v>
      </c>
      <c r="F343" s="9" t="str">
        <f>IFERROR(MID(VLOOKUP($B343,Seqs!$A:$B,2,0),G343,1),"")</f>
        <v>N</v>
      </c>
      <c r="G343" s="9">
        <v>74</v>
      </c>
      <c r="H343" s="9" t="str">
        <f>IFERROR(MID(VLOOKUP($B343,Seqs!$A:$B,2,0),I343,1),"")</f>
        <v>H</v>
      </c>
      <c r="I343" s="109">
        <v>75</v>
      </c>
      <c r="J343" s="9" t="str">
        <f>IFERROR(MID(VLOOKUP($B343,Seqs!$A:$B,2,0),K343,1),"")</f>
        <v>R</v>
      </c>
      <c r="K343" s="109">
        <v>78</v>
      </c>
      <c r="L343" s="9" t="str">
        <f>IFERROR(MID(VLOOKUP($B343,Seqs!$A:$B,2,0),M343,1),"")</f>
        <v>T</v>
      </c>
      <c r="M343" s="9">
        <v>79</v>
      </c>
      <c r="N343" s="9" t="str">
        <f>IFERROR(MID(VLOOKUP($B343,Seqs!$A:$B,2,0),O343,1),"")</f>
        <v>E</v>
      </c>
      <c r="O343" s="9">
        <v>110</v>
      </c>
      <c r="P343" s="9" t="str">
        <f>IFERROR(MID(VLOOKUP($B343,Seqs!$A:$B,2,0),Q343,1),"")</f>
        <v>S</v>
      </c>
      <c r="Q343" s="9">
        <v>111</v>
      </c>
      <c r="R343" s="9" t="str">
        <f>IFERROR(MID(VLOOKUP($B343,Seqs!$A:$B,2,0),S343,1),"")</f>
        <v>F</v>
      </c>
      <c r="S343" s="9">
        <v>114</v>
      </c>
      <c r="T343" s="9" t="str">
        <f>IFERROR(MID(VLOOKUP($B343,Seqs!$A:$B,2,0),U343,1),"")</f>
        <v>G</v>
      </c>
      <c r="U343" s="9">
        <v>115</v>
      </c>
      <c r="V343" s="9" t="str">
        <f>IFERROR(MID(VLOOKUP($B343,Seqs!$A:$B,2,0),W343,1),"")</f>
        <v>C</v>
      </c>
      <c r="W343" s="9">
        <v>149</v>
      </c>
      <c r="X343" s="9" t="str">
        <f>IFERROR(MID(VLOOKUP($B343,Seqs!$A:$B,2,0),Y343,1),"")</f>
        <v/>
      </c>
      <c r="Y343" s="9" t="s">
        <v>23</v>
      </c>
      <c r="Z343" s="9" t="str">
        <f>IFERROR(MID(VLOOKUP($B343,Seqs!$A:$B,2,0),AA343,1),"")</f>
        <v/>
      </c>
      <c r="AA343" s="9" t="s">
        <v>23</v>
      </c>
      <c r="AB343" s="9" t="str">
        <f>IFERROR(MID(VLOOKUP($B343,Seqs!$A:$B,2,0),AC343,1),"")</f>
        <v>T</v>
      </c>
      <c r="AC343" s="9">
        <v>157</v>
      </c>
      <c r="AD343" s="9" t="str">
        <f>IFERROR(MID(VLOOKUP($B343,Seqs!$A:$B,2,0),AE343,1),"")</f>
        <v>M</v>
      </c>
      <c r="AE343" s="9">
        <v>183</v>
      </c>
      <c r="AF343" s="9" t="str">
        <f>IFERROR(MID(VLOOKUP($B343,Seqs!$A:$B,2,0),AG343,1),"")</f>
        <v>C</v>
      </c>
      <c r="AG343" s="9">
        <v>202</v>
      </c>
      <c r="AH343" s="9" t="str">
        <f>IFERROR(MID(VLOOKUP($B343,Seqs!$A:$B,2,0),AI343,1),"")</f>
        <v>E</v>
      </c>
      <c r="AI343" s="9">
        <v>204</v>
      </c>
      <c r="AJ343" s="9" t="str">
        <f>IFERROR(MID(VLOOKUP($B343,Seqs!$A:$B,2,0),AK343,1),"")</f>
        <v>L</v>
      </c>
      <c r="AK343" s="9">
        <v>210</v>
      </c>
      <c r="AL343" s="9" t="str">
        <f>IFERROR(MID(VLOOKUP($B343,Seqs!$A:$B,2,0),AM343,1),"")</f>
        <v>W</v>
      </c>
      <c r="AM343" s="9">
        <v>243</v>
      </c>
      <c r="AN343" s="9" t="str">
        <f>IFERROR(MID(VLOOKUP($B343,Seqs!$A:$B,2,0),AO343,1),"")</f>
        <v>E</v>
      </c>
      <c r="AO343" s="9">
        <v>286</v>
      </c>
      <c r="AP343" s="9" t="str">
        <f>IFERROR(MID(VLOOKUP($B343,Seqs!$A:$B,2,0),AQ343,1),"")</f>
        <v>V</v>
      </c>
      <c r="AQ343" s="9">
        <v>323</v>
      </c>
      <c r="AR343" s="9" t="str">
        <f>IFERROR(MID(VLOOKUP($B343,Seqs!$A:$B,2,0),AS343,1),"")</f>
        <v>D</v>
      </c>
      <c r="AS343" s="9">
        <v>332</v>
      </c>
      <c r="AT343" s="9" t="str">
        <f>IFERROR(MID(VLOOKUP($B343,Seqs!$A:$B,2,0),AU343,1),"")</f>
        <v>L</v>
      </c>
      <c r="AU343" s="9">
        <v>361</v>
      </c>
      <c r="AV343" s="9" t="str">
        <f>IFERROR(MID(VLOOKUP($B343,Seqs!$A:$B,2,0),AW343,1),"")</f>
        <v>S</v>
      </c>
      <c r="AW343" s="9">
        <v>362</v>
      </c>
      <c r="AX343" s="9" t="str">
        <f>IFERROR(MID(VLOOKUP($B343,Seqs!$A:$B,2,0),AY343,1),"")</f>
        <v>L</v>
      </c>
      <c r="AY343" s="9">
        <v>377</v>
      </c>
      <c r="AZ343" s="110" t="str">
        <f>VLOOKUP(B343,Classification!A:D,2,0)</f>
        <v>A</v>
      </c>
      <c r="BA343" s="98" t="str">
        <f>VLOOKUP(B343,Classification!A:D,4,0)</f>
        <v>Orexin</v>
      </c>
      <c r="BB343" s="36" t="b">
        <f t="shared" ref="BB343" si="3020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109">
        <f t="shared" ref="BC343" si="3021">_xlfn.AGGREGATE(9,6,CH343:CS343)-_xlfn.AGGREGATE(9,6,BV343:CG343)+12</f>
        <v>254</v>
      </c>
      <c r="BD343" s="40" t="s">
        <v>23</v>
      </c>
      <c r="BE343" s="9" t="s">
        <v>1374</v>
      </c>
      <c r="BF343" s="119">
        <v>2.2200000000000002</v>
      </c>
      <c r="BG343" s="51" t="s">
        <v>1281</v>
      </c>
      <c r="BH343" s="51" t="s">
        <v>1281</v>
      </c>
      <c r="BJ343" s="111" t="s">
        <v>1287</v>
      </c>
      <c r="BK343" s="112" t="s">
        <v>1287</v>
      </c>
      <c r="BL343" s="112" t="s">
        <v>1287</v>
      </c>
      <c r="BM343" s="112" t="s">
        <v>1287</v>
      </c>
      <c r="BN343" s="112" t="s">
        <v>1287</v>
      </c>
      <c r="BO343" s="112" t="s">
        <v>1287</v>
      </c>
      <c r="BP343" s="112" t="s">
        <v>1287</v>
      </c>
      <c r="BQ343" s="112" t="s">
        <v>1287</v>
      </c>
      <c r="BR343" s="112" t="s">
        <v>1287</v>
      </c>
      <c r="BS343" s="112" t="s">
        <v>1287</v>
      </c>
      <c r="BT343" s="112" t="s">
        <v>1287</v>
      </c>
      <c r="BU343" s="112" t="s">
        <v>1287</v>
      </c>
      <c r="BV343" s="111">
        <f t="shared" ref="BV343" si="3022">E343</f>
        <v>45</v>
      </c>
      <c r="BW343" s="113">
        <f t="shared" ref="BW343" si="3023">I343</f>
        <v>75</v>
      </c>
      <c r="BX343" s="114">
        <f t="shared" ref="BX343" si="3024">M343</f>
        <v>79</v>
      </c>
      <c r="BY343" s="113">
        <f t="shared" ref="BY343" si="3025">Q343</f>
        <v>111</v>
      </c>
      <c r="BZ343" s="114">
        <f t="shared" ref="BZ343" si="3026">U343</f>
        <v>115</v>
      </c>
      <c r="CA343" s="113" t="str">
        <f t="shared" ref="CA343" si="3027">Y343</f>
        <v>-</v>
      </c>
      <c r="CB343" s="114">
        <f t="shared" ref="CB343" si="3028">AC343</f>
        <v>157</v>
      </c>
      <c r="CC343" s="113">
        <f t="shared" ref="CC343" si="3029">AG343</f>
        <v>202</v>
      </c>
      <c r="CD343" s="114">
        <f t="shared" ref="CD343" si="3030">AK343</f>
        <v>210</v>
      </c>
      <c r="CE343" s="113">
        <f t="shared" ref="CE343" si="3031">AO343</f>
        <v>286</v>
      </c>
      <c r="CF343" s="114">
        <f t="shared" ref="CF343" si="3032">AS343</f>
        <v>332</v>
      </c>
      <c r="CG343" s="113">
        <f t="shared" ref="CG343" si="3033">AW343</f>
        <v>362</v>
      </c>
      <c r="CH343" s="111">
        <f t="shared" ref="CH343" si="3034">G343</f>
        <v>74</v>
      </c>
      <c r="CI343" s="113">
        <f t="shared" ref="CI343" si="3035">K343</f>
        <v>78</v>
      </c>
      <c r="CJ343" s="114">
        <f t="shared" ref="CJ343" si="3036">O343</f>
        <v>110</v>
      </c>
      <c r="CK343" s="114">
        <f t="shared" ref="CK343" si="3037">S343</f>
        <v>114</v>
      </c>
      <c r="CL343" s="114">
        <f t="shared" ref="CL343" si="3038">W343</f>
        <v>149</v>
      </c>
      <c r="CM343" s="114" t="str">
        <f t="shared" ref="CM343" si="3039">AA343</f>
        <v>-</v>
      </c>
      <c r="CN343" s="114">
        <f t="shared" ref="CN343" si="3040">AE343</f>
        <v>183</v>
      </c>
      <c r="CO343" s="114">
        <f t="shared" ref="CO343" si="3041">AI343</f>
        <v>204</v>
      </c>
      <c r="CP343" s="114">
        <f t="shared" ref="CP343" si="3042">AM343</f>
        <v>243</v>
      </c>
      <c r="CQ343" s="114">
        <f t="shared" ref="CQ343" si="3043">AQ343</f>
        <v>323</v>
      </c>
      <c r="CR343" s="114">
        <f t="shared" ref="CR343" si="3044">AU343</f>
        <v>361</v>
      </c>
      <c r="CS343" s="114">
        <f t="shared" ref="CS343" si="3045">AY343</f>
        <v>377</v>
      </c>
      <c r="CT343" s="109">
        <f t="shared" ref="CT343" si="3046">M343-K343</f>
        <v>1</v>
      </c>
      <c r="AMP343" s="40"/>
    </row>
    <row r="344" spans="1:1030" x14ac:dyDescent="0.2">
      <c r="A344" s="3" t="str">
        <f t="shared" si="2541"/>
        <v>ox2r_human__wt</v>
      </c>
      <c r="B344" s="3" t="s">
        <v>1175</v>
      </c>
      <c r="C344" s="3" t="s">
        <v>100</v>
      </c>
      <c r="D344" s="3" t="str">
        <f>IFERROR(MID(VLOOKUP($B344,Seqs!$A:$B,2,0),E344,1),"")</f>
        <v>Y</v>
      </c>
      <c r="E344" s="3">
        <v>53</v>
      </c>
      <c r="F344" s="3" t="str">
        <f>IFERROR(MID(VLOOKUP($B344,Seqs!$A:$B,2,0),G344,1),"")</f>
        <v>N</v>
      </c>
      <c r="G344" s="3">
        <v>82</v>
      </c>
      <c r="H344" s="3" t="str">
        <f>IFERROR(MID(VLOOKUP($B344,Seqs!$A:$B,2,0),I344,1),"")</f>
        <v>H</v>
      </c>
      <c r="I344" s="23">
        <v>83</v>
      </c>
      <c r="J344" s="3" t="str">
        <f>IFERROR(MID(VLOOKUP($B344,Seqs!$A:$B,2,0),K344,1),"")</f>
        <v>R</v>
      </c>
      <c r="K344" s="23">
        <v>86</v>
      </c>
      <c r="L344" s="3" t="str">
        <f>IFERROR(MID(VLOOKUP($B344,Seqs!$A:$B,2,0),M344,1),"")</f>
        <v>T</v>
      </c>
      <c r="M344" s="3">
        <v>87</v>
      </c>
      <c r="N344" s="3" t="str">
        <f>IFERROR(MID(VLOOKUP($B344,Seqs!$A:$B,2,0),O344,1),"")</f>
        <v>E</v>
      </c>
      <c r="O344" s="105">
        <v>118</v>
      </c>
      <c r="P344" s="3" t="str">
        <f>IFERROR(MID(VLOOKUP($B344,Seqs!$A:$B,2,0),Q344,1),"")</f>
        <v>T</v>
      </c>
      <c r="Q344" s="3">
        <v>119</v>
      </c>
      <c r="R344" s="3" t="str">
        <f>IFERROR(MID(VLOOKUP($B344,Seqs!$A:$B,2,0),S344,1),"")</f>
        <v>F</v>
      </c>
      <c r="S344" s="3">
        <v>122</v>
      </c>
      <c r="T344" s="3" t="str">
        <f>IFERROR(MID(VLOOKUP($B344,Seqs!$A:$B,2,0),U344,1),"")</f>
        <v>G</v>
      </c>
      <c r="U344" s="3">
        <v>123</v>
      </c>
      <c r="V344" s="3" t="str">
        <f>IFERROR(MID(VLOOKUP($B344,Seqs!$A:$B,2,0),W344,1),"")</f>
        <v>H</v>
      </c>
      <c r="W344" s="3">
        <v>158</v>
      </c>
      <c r="X344" s="3" t="str">
        <f>IFERROR(MID(VLOOKUP($B344,Seqs!$A:$B,2,0),Y344,1),"")</f>
        <v>P</v>
      </c>
      <c r="Y344" s="3">
        <v>159</v>
      </c>
      <c r="Z344" s="3" t="str">
        <f>IFERROR(MID(VLOOKUP($B344,Seqs!$A:$B,2,0),AA344,1),"")</f>
        <v>F</v>
      </c>
      <c r="AA344" s="73">
        <v>162</v>
      </c>
      <c r="AB344" s="3" t="str">
        <f>IFERROR(MID(VLOOKUP($B344,Seqs!$A:$B,2,0),AC344,1),"")</f>
        <v>T</v>
      </c>
      <c r="AC344" s="9">
        <v>165</v>
      </c>
      <c r="AD344" s="3" t="str">
        <f>IFERROR(MID(VLOOKUP($B344,Seqs!$A:$B,2,0),AE344,1),"")</f>
        <v>M</v>
      </c>
      <c r="AE344" s="3">
        <v>191</v>
      </c>
      <c r="AF344" s="3" t="str">
        <f>IFERROR(MID(VLOOKUP($B344,Seqs!$A:$B,2,0),AG344,1),"")</f>
        <v>C</v>
      </c>
      <c r="AG344" s="3">
        <v>210</v>
      </c>
      <c r="AH344" s="3" t="str">
        <f>IFERROR(MID(VLOOKUP($B344,Seqs!$A:$B,2,0),AI344,1),"")</f>
        <v>E</v>
      </c>
      <c r="AI344" s="3">
        <v>212</v>
      </c>
      <c r="AJ344" s="3" t="str">
        <f>IFERROR(MID(VLOOKUP($B344,Seqs!$A:$B,2,0),AK344,1),"")</f>
        <v>I</v>
      </c>
      <c r="AK344" s="105">
        <v>218</v>
      </c>
      <c r="AL344" s="3" t="str">
        <f>IFERROR(MID(VLOOKUP($B344,Seqs!$A:$B,2,0),AM344,1),"")</f>
        <v>P</v>
      </c>
      <c r="AM344" s="3">
        <v>256</v>
      </c>
      <c r="AN344" s="3" t="str">
        <f>IFERROR(MID(VLOOKUP($B344,Seqs!$A:$B,2,0),AO344,1),"")</f>
        <v>V</v>
      </c>
      <c r="AO344" s="3">
        <v>289</v>
      </c>
      <c r="AP344" s="3" t="str">
        <f>IFERROR(MID(VLOOKUP($B344,Seqs!$A:$B,2,0),AQ344,1),"")</f>
        <v>F</v>
      </c>
      <c r="AQ344" s="3">
        <v>330</v>
      </c>
      <c r="AR344" s="3" t="str">
        <f>IFERROR(MID(VLOOKUP($B344,Seqs!$A:$B,2,0),AS344,1),"")</f>
        <v>D</v>
      </c>
      <c r="AS344" s="105">
        <v>338</v>
      </c>
      <c r="AT344" s="3" t="str">
        <f>IFERROR(MID(VLOOKUP($B344,Seqs!$A:$B,2,0),AU344,1),"")</f>
        <v>L</v>
      </c>
      <c r="AU344" s="3">
        <v>367</v>
      </c>
      <c r="AV344" s="3" t="str">
        <f>IFERROR(MID(VLOOKUP($B344,Seqs!$A:$B,2,0),AW344,1),"")</f>
        <v>S</v>
      </c>
      <c r="AW344" s="3">
        <v>368</v>
      </c>
      <c r="AX344" s="3" t="str">
        <f>IFERROR(MID(VLOOKUP($B344,Seqs!$A:$B,2,0),AY344,1),"")</f>
        <v>L</v>
      </c>
      <c r="AY344" s="105">
        <v>384</v>
      </c>
      <c r="AZ344" s="77" t="str">
        <f>VLOOKUP(B344,Classification!A:D,2,0)</f>
        <v>A</v>
      </c>
      <c r="BA344" s="94" t="str">
        <f>VLOOKUP(B344,Classification!A:D,4,0)</f>
        <v>Orexin</v>
      </c>
      <c r="BB344" s="27" t="b">
        <f t="shared" si="2542"/>
        <v>1</v>
      </c>
      <c r="BC344" s="23">
        <f t="shared" si="2515"/>
        <v>268</v>
      </c>
      <c r="BD344" s="56" t="s">
        <v>23</v>
      </c>
      <c r="BE344" s="3" t="s">
        <v>23</v>
      </c>
      <c r="BF344" s="118" t="s">
        <v>23</v>
      </c>
      <c r="BG344" s="49" t="s">
        <v>1372</v>
      </c>
      <c r="BH344" s="49" t="s">
        <v>1377</v>
      </c>
      <c r="BI344" s="1"/>
      <c r="BJ344" s="70" t="s">
        <v>1287</v>
      </c>
      <c r="BK344" s="57" t="s">
        <v>1287</v>
      </c>
      <c r="BL344" s="57" t="s">
        <v>1287</v>
      </c>
      <c r="BM344" s="57" t="s">
        <v>1287</v>
      </c>
      <c r="BN344" s="57" t="s">
        <v>1287</v>
      </c>
      <c r="BO344" s="57" t="s">
        <v>1287</v>
      </c>
      <c r="BP344" s="57" t="s">
        <v>1287</v>
      </c>
      <c r="BQ344" s="57" t="s">
        <v>1287</v>
      </c>
      <c r="BR344" s="57" t="s">
        <v>1287</v>
      </c>
      <c r="BS344" s="57" t="s">
        <v>1287</v>
      </c>
      <c r="BT344" s="57" t="s">
        <v>1287</v>
      </c>
      <c r="BU344" s="57" t="s">
        <v>1287</v>
      </c>
      <c r="BV344" s="70">
        <f t="shared" si="2516"/>
        <v>53</v>
      </c>
      <c r="BW344" s="71">
        <f t="shared" si="2517"/>
        <v>83</v>
      </c>
      <c r="BX344" s="72">
        <f t="shared" si="2518"/>
        <v>87</v>
      </c>
      <c r="BY344" s="71">
        <f t="shared" si="2519"/>
        <v>119</v>
      </c>
      <c r="BZ344" s="72">
        <f t="shared" si="2520"/>
        <v>123</v>
      </c>
      <c r="CA344" s="71">
        <f t="shared" si="2521"/>
        <v>159</v>
      </c>
      <c r="CB344" s="72">
        <f t="shared" si="2522"/>
        <v>165</v>
      </c>
      <c r="CC344" s="71">
        <f t="shared" si="2523"/>
        <v>210</v>
      </c>
      <c r="CD344" s="72">
        <f t="shared" si="2524"/>
        <v>218</v>
      </c>
      <c r="CE344" s="71">
        <f t="shared" si="2525"/>
        <v>289</v>
      </c>
      <c r="CF344" s="72">
        <f t="shared" si="2526"/>
        <v>338</v>
      </c>
      <c r="CG344" s="71">
        <f t="shared" si="2527"/>
        <v>368</v>
      </c>
      <c r="CH344" s="70">
        <f t="shared" si="2528"/>
        <v>82</v>
      </c>
      <c r="CI344" s="71">
        <f t="shared" si="2529"/>
        <v>86</v>
      </c>
      <c r="CJ344" s="72">
        <f t="shared" si="2530"/>
        <v>118</v>
      </c>
      <c r="CK344" s="72">
        <f t="shared" si="2531"/>
        <v>122</v>
      </c>
      <c r="CL344" s="72">
        <f t="shared" si="2532"/>
        <v>158</v>
      </c>
      <c r="CM344" s="72">
        <f t="shared" si="2533"/>
        <v>162</v>
      </c>
      <c r="CN344" s="72">
        <f t="shared" si="2534"/>
        <v>191</v>
      </c>
      <c r="CO344" s="72">
        <f t="shared" si="2535"/>
        <v>212</v>
      </c>
      <c r="CP344" s="72">
        <f t="shared" si="2536"/>
        <v>256</v>
      </c>
      <c r="CQ344" s="72">
        <f t="shared" si="2537"/>
        <v>330</v>
      </c>
      <c r="CR344" s="72">
        <f t="shared" si="2538"/>
        <v>367</v>
      </c>
      <c r="CS344" s="72">
        <f t="shared" si="2539"/>
        <v>384</v>
      </c>
      <c r="CT344" s="23">
        <f t="shared" si="2540"/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30" x14ac:dyDescent="0.2">
      <c r="A345" s="3" t="str">
        <f t="shared" si="2541"/>
        <v>ox2r_human_4S0V</v>
      </c>
      <c r="B345" s="3" t="s">
        <v>1175</v>
      </c>
      <c r="C345" s="3" t="s">
        <v>92</v>
      </c>
      <c r="D345" s="3" t="str">
        <f>IFERROR(MID(VLOOKUP($B345,Seqs!$A:$B,2,0),E345,1),"")</f>
        <v>Y</v>
      </c>
      <c r="E345" s="3">
        <v>53</v>
      </c>
      <c r="F345" s="3" t="str">
        <f>IFERROR(MID(VLOOKUP($B345,Seqs!$A:$B,2,0),G345,1),"")</f>
        <v>N</v>
      </c>
      <c r="G345" s="3">
        <v>82</v>
      </c>
      <c r="H345" s="3" t="str">
        <f>IFERROR(MID(VLOOKUP($B345,Seqs!$A:$B,2,0),I345,1),"")</f>
        <v>H</v>
      </c>
      <c r="I345" s="23">
        <v>83</v>
      </c>
      <c r="J345" s="3" t="str">
        <f>IFERROR(MID(VLOOKUP($B345,Seqs!$A:$B,2,0),K345,1),"")</f>
        <v>R</v>
      </c>
      <c r="K345" s="23">
        <v>86</v>
      </c>
      <c r="L345" s="3" t="str">
        <f>IFERROR(MID(VLOOKUP($B345,Seqs!$A:$B,2,0),M345,1),"")</f>
        <v>T</v>
      </c>
      <c r="M345" s="3">
        <v>87</v>
      </c>
      <c r="N345" s="3" t="str">
        <f>IFERROR(MID(VLOOKUP($B345,Seqs!$A:$B,2,0),O345,1),"")</f>
        <v>E</v>
      </c>
      <c r="O345" s="105">
        <v>118</v>
      </c>
      <c r="P345" s="3" t="str">
        <f>IFERROR(MID(VLOOKUP($B345,Seqs!$A:$B,2,0),Q345,1),"")</f>
        <v>T</v>
      </c>
      <c r="Q345" s="3">
        <v>119</v>
      </c>
      <c r="R345" s="3" t="str">
        <f>IFERROR(MID(VLOOKUP($B345,Seqs!$A:$B,2,0),S345,1),"")</f>
        <v>F</v>
      </c>
      <c r="S345" s="3">
        <v>122</v>
      </c>
      <c r="T345" s="3" t="str">
        <f>IFERROR(MID(VLOOKUP($B345,Seqs!$A:$B,2,0),U345,1),"")</f>
        <v>G</v>
      </c>
      <c r="U345" s="3">
        <v>123</v>
      </c>
      <c r="V345" s="3" t="str">
        <f>IFERROR(MID(VLOOKUP($B345,Seqs!$A:$B,2,0),W345,1),"")</f>
        <v>H</v>
      </c>
      <c r="W345" s="3">
        <v>158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T</v>
      </c>
      <c r="AC345" s="9">
        <v>165</v>
      </c>
      <c r="AD345" s="3" t="str">
        <f>IFERROR(MID(VLOOKUP($B345,Seqs!$A:$B,2,0),AE345,1),"")</f>
        <v>M</v>
      </c>
      <c r="AE345" s="3">
        <v>191</v>
      </c>
      <c r="AF345" s="3" t="str">
        <f>IFERROR(MID(VLOOKUP($B345,Seqs!$A:$B,2,0),AG345,1),"")</f>
        <v>C</v>
      </c>
      <c r="AG345" s="3">
        <v>210</v>
      </c>
      <c r="AH345" s="3" t="str">
        <f>IFERROR(MID(VLOOKUP($B345,Seqs!$A:$B,2,0),AI345,1),"")</f>
        <v>E</v>
      </c>
      <c r="AI345" s="3">
        <v>212</v>
      </c>
      <c r="AJ345" s="3" t="str">
        <f>IFERROR(MID(VLOOKUP($B345,Seqs!$A:$B,2,0),AK345,1),"")</f>
        <v>I</v>
      </c>
      <c r="AK345" s="105">
        <v>218</v>
      </c>
      <c r="AL345" s="3" t="str">
        <f>IFERROR(MID(VLOOKUP($B345,Seqs!$A:$B,2,0),AM345,1),"")</f>
        <v>C</v>
      </c>
      <c r="AM345" s="105">
        <v>252</v>
      </c>
      <c r="AN345" s="3" t="str">
        <f>IFERROR(MID(VLOOKUP($B345,Seqs!$A:$B,2,0),AO345,1),"")</f>
        <v>K</v>
      </c>
      <c r="AO345" s="3">
        <v>294</v>
      </c>
      <c r="AP345" s="3" t="str">
        <f>IFERROR(MID(VLOOKUP($B345,Seqs!$A:$B,2,0),AQ345,1),"")</f>
        <v>F</v>
      </c>
      <c r="AQ345" s="3">
        <v>330</v>
      </c>
      <c r="AR345" s="3" t="str">
        <f>IFERROR(MID(VLOOKUP($B345,Seqs!$A:$B,2,0),AS345,1),"")</f>
        <v>R</v>
      </c>
      <c r="AS345" s="3">
        <v>339</v>
      </c>
      <c r="AT345" s="3" t="str">
        <f>IFERROR(MID(VLOOKUP($B345,Seqs!$A:$B,2,0),AU345,1),"")</f>
        <v>L</v>
      </c>
      <c r="AU345" s="3">
        <v>367</v>
      </c>
      <c r="AV345" s="3" t="str">
        <f>IFERROR(MID(VLOOKUP($B345,Seqs!$A:$B,2,0),AW345,1),"")</f>
        <v>S</v>
      </c>
      <c r="AW345" s="3">
        <v>368</v>
      </c>
      <c r="AX345" s="3" t="str">
        <f>IFERROR(MID(VLOOKUP($B345,Seqs!$A:$B,2,0),AY345,1),"")</f>
        <v>F</v>
      </c>
      <c r="AY345" s="3">
        <v>379</v>
      </c>
      <c r="AZ345" s="77" t="str">
        <f>VLOOKUP(B345,Classification!A:D,2,0)</f>
        <v>A</v>
      </c>
      <c r="BA345" s="94" t="str">
        <f>VLOOKUP(B345,Classification!A:D,4,0)</f>
        <v>Orexin</v>
      </c>
      <c r="BB345" s="27" t="b">
        <f t="shared" si="2542"/>
        <v>1</v>
      </c>
      <c r="BC345" s="23">
        <f t="shared" si="2515"/>
        <v>250</v>
      </c>
      <c r="BD345" s="2" t="s">
        <v>23</v>
      </c>
      <c r="BE345" s="3" t="s">
        <v>1374</v>
      </c>
      <c r="BF345" s="118">
        <v>2.5</v>
      </c>
      <c r="BG345" s="49" t="s">
        <v>1377</v>
      </c>
      <c r="BH345" s="49" t="s">
        <v>1377</v>
      </c>
      <c r="BI345" s="1"/>
      <c r="BJ345" s="70" t="s">
        <v>1287</v>
      </c>
      <c r="BK345" s="57" t="s">
        <v>1287</v>
      </c>
      <c r="BL345" s="57" t="s">
        <v>1287</v>
      </c>
      <c r="BM345" s="57" t="s">
        <v>1287</v>
      </c>
      <c r="BN345" s="57" t="s">
        <v>1287</v>
      </c>
      <c r="BO345" s="57" t="s">
        <v>1287</v>
      </c>
      <c r="BP345" s="57" t="s">
        <v>1287</v>
      </c>
      <c r="BQ345" s="57" t="s">
        <v>1287</v>
      </c>
      <c r="BR345" s="57" t="s">
        <v>1287</v>
      </c>
      <c r="BS345" s="57" t="s">
        <v>1287</v>
      </c>
      <c r="BT345" s="57" t="s">
        <v>1287</v>
      </c>
      <c r="BU345" s="57" t="s">
        <v>1287</v>
      </c>
      <c r="BV345" s="70">
        <f t="shared" si="2516"/>
        <v>53</v>
      </c>
      <c r="BW345" s="71">
        <f t="shared" si="2517"/>
        <v>83</v>
      </c>
      <c r="BX345" s="72">
        <f t="shared" si="2518"/>
        <v>87</v>
      </c>
      <c r="BY345" s="71">
        <f t="shared" si="2519"/>
        <v>119</v>
      </c>
      <c r="BZ345" s="72">
        <f t="shared" si="2520"/>
        <v>123</v>
      </c>
      <c r="CA345" s="71" t="str">
        <f t="shared" si="2521"/>
        <v>-</v>
      </c>
      <c r="CB345" s="72">
        <f t="shared" si="2522"/>
        <v>165</v>
      </c>
      <c r="CC345" s="71">
        <f t="shared" si="2523"/>
        <v>210</v>
      </c>
      <c r="CD345" s="72">
        <f t="shared" si="2524"/>
        <v>218</v>
      </c>
      <c r="CE345" s="71">
        <f t="shared" si="2525"/>
        <v>294</v>
      </c>
      <c r="CF345" s="72">
        <f t="shared" si="2526"/>
        <v>339</v>
      </c>
      <c r="CG345" s="71">
        <f t="shared" si="2527"/>
        <v>368</v>
      </c>
      <c r="CH345" s="70">
        <f t="shared" si="2528"/>
        <v>82</v>
      </c>
      <c r="CI345" s="71">
        <f t="shared" si="2529"/>
        <v>86</v>
      </c>
      <c r="CJ345" s="72">
        <f t="shared" si="2530"/>
        <v>118</v>
      </c>
      <c r="CK345" s="72">
        <f t="shared" si="2531"/>
        <v>122</v>
      </c>
      <c r="CL345" s="72">
        <f t="shared" si="2532"/>
        <v>158</v>
      </c>
      <c r="CM345" s="72" t="str">
        <f t="shared" si="2533"/>
        <v>-</v>
      </c>
      <c r="CN345" s="72">
        <f t="shared" si="2534"/>
        <v>191</v>
      </c>
      <c r="CO345" s="72">
        <f t="shared" si="2535"/>
        <v>212</v>
      </c>
      <c r="CP345" s="72">
        <f t="shared" si="2536"/>
        <v>252</v>
      </c>
      <c r="CQ345" s="72">
        <f t="shared" si="2537"/>
        <v>330</v>
      </c>
      <c r="CR345" s="72">
        <f t="shared" si="2538"/>
        <v>367</v>
      </c>
      <c r="CS345" s="72">
        <f t="shared" si="2539"/>
        <v>379</v>
      </c>
      <c r="CT345" s="23">
        <f t="shared" si="2540"/>
        <v>1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30" x14ac:dyDescent="0.2">
      <c r="A346" s="3" t="str">
        <f>CONCATENATE(B346,"_",C346)</f>
        <v>ox2r_human_5WQC</v>
      </c>
      <c r="B346" s="3" t="s">
        <v>1175</v>
      </c>
      <c r="C346" s="3" t="s">
        <v>1447</v>
      </c>
      <c r="D346" s="3" t="str">
        <f>IFERROR(MID(VLOOKUP($B346,Seqs!$A:$B,2,0),E346,1),"")</f>
        <v>Y</v>
      </c>
      <c r="E346" s="3">
        <v>53</v>
      </c>
      <c r="F346" s="3" t="str">
        <f>IFERROR(MID(VLOOKUP($B346,Seqs!$A:$B,2,0),G346,1),"")</f>
        <v>N</v>
      </c>
      <c r="G346" s="3">
        <v>82</v>
      </c>
      <c r="H346" s="3" t="str">
        <f>IFERROR(MID(VLOOKUP($B346,Seqs!$A:$B,2,0),I346,1),"")</f>
        <v>H</v>
      </c>
      <c r="I346" s="23">
        <v>83</v>
      </c>
      <c r="J346" s="3" t="str">
        <f>IFERROR(MID(VLOOKUP($B346,Seqs!$A:$B,2,0),K346,1),"")</f>
        <v>R</v>
      </c>
      <c r="K346" s="23">
        <v>86</v>
      </c>
      <c r="L346" s="3" t="str">
        <f>IFERROR(MID(VLOOKUP($B346,Seqs!$A:$B,2,0),M346,1),"")</f>
        <v>T</v>
      </c>
      <c r="M346" s="3">
        <v>87</v>
      </c>
      <c r="N346" s="3" t="str">
        <f>IFERROR(MID(VLOOKUP($B346,Seqs!$A:$B,2,0),O346,1),"")</f>
        <v>E</v>
      </c>
      <c r="O346" s="3">
        <v>118</v>
      </c>
      <c r="P346" s="3" t="str">
        <f>IFERROR(MID(VLOOKUP($B346,Seqs!$A:$B,2,0),Q346,1),"")</f>
        <v>T</v>
      </c>
      <c r="Q346" s="3">
        <v>119</v>
      </c>
      <c r="R346" s="3" t="str">
        <f>IFERROR(MID(VLOOKUP($B346,Seqs!$A:$B,2,0),S346,1),"")</f>
        <v>F</v>
      </c>
      <c r="S346" s="3">
        <v>122</v>
      </c>
      <c r="T346" s="3" t="str">
        <f>IFERROR(MID(VLOOKUP($B346,Seqs!$A:$B,2,0),U346,1),"")</f>
        <v>G</v>
      </c>
      <c r="U346" s="3">
        <v>123</v>
      </c>
      <c r="V346" s="3" t="str">
        <f>IFERROR(MID(VLOOKUP($B346,Seqs!$A:$B,2,0),W346,1),"")</f>
        <v>H</v>
      </c>
      <c r="W346" s="3">
        <v>158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T</v>
      </c>
      <c r="AC346" s="3">
        <v>165</v>
      </c>
      <c r="AD346" s="3" t="str">
        <f>IFERROR(MID(VLOOKUP($B346,Seqs!$A:$B,2,0),AE346,1),"")</f>
        <v>M</v>
      </c>
      <c r="AE346" s="3">
        <v>191</v>
      </c>
      <c r="AF346" s="3" t="str">
        <f>IFERROR(MID(VLOOKUP($B346,Seqs!$A:$B,2,0),AG346,1),"")</f>
        <v>C</v>
      </c>
      <c r="AG346" s="3">
        <v>210</v>
      </c>
      <c r="AH346" s="3" t="str">
        <f>IFERROR(MID(VLOOKUP($B346,Seqs!$A:$B,2,0),AI346,1),"")</f>
        <v>E</v>
      </c>
      <c r="AI346" s="3">
        <v>212</v>
      </c>
      <c r="AJ346" s="3" t="str">
        <f>IFERROR(MID(VLOOKUP($B346,Seqs!$A:$B,2,0),AK346,1),"")</f>
        <v>I</v>
      </c>
      <c r="AK346" s="3">
        <v>218</v>
      </c>
      <c r="AL346" s="3" t="str">
        <f>IFERROR(MID(VLOOKUP($B346,Seqs!$A:$B,2,0),AM346,1),"")</f>
        <v>C</v>
      </c>
      <c r="AM346" s="3">
        <v>252</v>
      </c>
      <c r="AN346" s="3" t="str">
        <f>IFERROR(MID(VLOOKUP($B346,Seqs!$A:$B,2,0),AO346,1),"")</f>
        <v>K</v>
      </c>
      <c r="AO346" s="3">
        <v>294</v>
      </c>
      <c r="AP346" s="3" t="str">
        <f>IFERROR(MID(VLOOKUP($B346,Seqs!$A:$B,2,0),AQ346,1),"")</f>
        <v>F</v>
      </c>
      <c r="AQ346" s="3">
        <v>330</v>
      </c>
      <c r="AR346" s="3" t="str">
        <f>IFERROR(MID(VLOOKUP($B346,Seqs!$A:$B,2,0),AS346,1),"")</f>
        <v>D</v>
      </c>
      <c r="AS346" s="3">
        <v>338</v>
      </c>
      <c r="AT346" s="3" t="str">
        <f>IFERROR(MID(VLOOKUP($B346,Seqs!$A:$B,2,0),AU346,1),"")</f>
        <v>L</v>
      </c>
      <c r="AU346" s="3">
        <v>367</v>
      </c>
      <c r="AV346" s="3" t="str">
        <f>IFERROR(MID(VLOOKUP($B346,Seqs!$A:$B,2,0),AW346,1),"")</f>
        <v>S</v>
      </c>
      <c r="AW346" s="3">
        <v>368</v>
      </c>
      <c r="AX346" s="3" t="str">
        <f>IFERROR(MID(VLOOKUP($B346,Seqs!$A:$B,2,0),AY346,1),"")</f>
        <v>C</v>
      </c>
      <c r="AY346" s="3">
        <v>383</v>
      </c>
      <c r="AZ346" s="77" t="str">
        <f>VLOOKUP(B346,Classification!A:D,2,0)</f>
        <v>A</v>
      </c>
      <c r="BA346" s="94" t="str">
        <f>VLOOKUP(B346,Classification!A:D,4,0)</f>
        <v>Orexin</v>
      </c>
      <c r="BB346" s="27" t="b">
        <f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>_xlfn.AGGREGATE(9,6,CH346:CS346)-_xlfn.AGGREGATE(9,6,BV346:CG346)+12</f>
        <v>255</v>
      </c>
      <c r="BD346" s="2" t="s">
        <v>23</v>
      </c>
      <c r="BE346" s="3" t="s">
        <v>1374</v>
      </c>
      <c r="BF346" s="118">
        <v>1.96</v>
      </c>
      <c r="BG346" s="49" t="s">
        <v>1</v>
      </c>
      <c r="BH346" s="49" t="s">
        <v>1</v>
      </c>
      <c r="BI346" s="1"/>
      <c r="BJ346" s="70" t="s">
        <v>1287</v>
      </c>
      <c r="BK346" s="57" t="s">
        <v>1287</v>
      </c>
      <c r="BL346" s="57" t="s">
        <v>1287</v>
      </c>
      <c r="BM346" s="57" t="s">
        <v>1287</v>
      </c>
      <c r="BN346" s="57" t="s">
        <v>1287</v>
      </c>
      <c r="BO346" s="57" t="s">
        <v>1287</v>
      </c>
      <c r="BP346" s="57" t="s">
        <v>1287</v>
      </c>
      <c r="BQ346" s="57" t="s">
        <v>1287</v>
      </c>
      <c r="BR346" s="57" t="s">
        <v>1287</v>
      </c>
      <c r="BS346" s="57" t="s">
        <v>1287</v>
      </c>
      <c r="BT346" s="57" t="s">
        <v>1287</v>
      </c>
      <c r="BU346" s="57" t="s">
        <v>1287</v>
      </c>
      <c r="BV346" s="70">
        <f>E346</f>
        <v>53</v>
      </c>
      <c r="BW346" s="71">
        <f>I346</f>
        <v>83</v>
      </c>
      <c r="BX346" s="72">
        <f>M346</f>
        <v>87</v>
      </c>
      <c r="BY346" s="71">
        <f>Q346</f>
        <v>119</v>
      </c>
      <c r="BZ346" s="72">
        <f>U346</f>
        <v>123</v>
      </c>
      <c r="CA346" s="71" t="str">
        <f>Y346</f>
        <v>-</v>
      </c>
      <c r="CB346" s="72">
        <f>AC346</f>
        <v>165</v>
      </c>
      <c r="CC346" s="71">
        <f>AG346</f>
        <v>210</v>
      </c>
      <c r="CD346" s="72">
        <f>AK346</f>
        <v>218</v>
      </c>
      <c r="CE346" s="71">
        <f>AO346</f>
        <v>294</v>
      </c>
      <c r="CF346" s="72">
        <f>AS346</f>
        <v>338</v>
      </c>
      <c r="CG346" s="71">
        <f>AW346</f>
        <v>368</v>
      </c>
      <c r="CH346" s="70">
        <f>G346</f>
        <v>82</v>
      </c>
      <c r="CI346" s="71">
        <f>K346</f>
        <v>86</v>
      </c>
      <c r="CJ346" s="72">
        <f>O346</f>
        <v>118</v>
      </c>
      <c r="CK346" s="72">
        <f>S346</f>
        <v>122</v>
      </c>
      <c r="CL346" s="72">
        <f>W346</f>
        <v>158</v>
      </c>
      <c r="CM346" s="72" t="str">
        <f>AA346</f>
        <v>-</v>
      </c>
      <c r="CN346" s="72">
        <f>AE346</f>
        <v>191</v>
      </c>
      <c r="CO346" s="72">
        <f>AI346</f>
        <v>212</v>
      </c>
      <c r="CP346" s="72">
        <f>AM346</f>
        <v>252</v>
      </c>
      <c r="CQ346" s="72">
        <f>AQ346</f>
        <v>330</v>
      </c>
      <c r="CR346" s="72">
        <f>AU346</f>
        <v>367</v>
      </c>
      <c r="CS346" s="72">
        <f>AY346</f>
        <v>383</v>
      </c>
      <c r="CT346" s="23">
        <f>M346-K346</f>
        <v>1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30" x14ac:dyDescent="0.2">
      <c r="A347" s="3" t="str">
        <f>CONCATENATE(B347,"_",C347)</f>
        <v>ox2r_human_5WS3</v>
      </c>
      <c r="B347" s="3" t="s">
        <v>1175</v>
      </c>
      <c r="C347" s="3" t="s">
        <v>1448</v>
      </c>
      <c r="D347" s="3" t="str">
        <f>IFERROR(MID(VLOOKUP($B347,Seqs!$A:$B,2,0),E347,1),"")</f>
        <v>Y</v>
      </c>
      <c r="E347" s="3">
        <v>53</v>
      </c>
      <c r="F347" s="3" t="str">
        <f>IFERROR(MID(VLOOKUP($B347,Seqs!$A:$B,2,0),G347,1),"")</f>
        <v>N</v>
      </c>
      <c r="G347" s="3">
        <v>82</v>
      </c>
      <c r="H347" s="3" t="str">
        <f>IFERROR(MID(VLOOKUP($B347,Seqs!$A:$B,2,0),I347,1),"")</f>
        <v>H</v>
      </c>
      <c r="I347" s="23">
        <v>83</v>
      </c>
      <c r="J347" s="3" t="str">
        <f>IFERROR(MID(VLOOKUP($B347,Seqs!$A:$B,2,0),K347,1),"")</f>
        <v>R</v>
      </c>
      <c r="K347" s="23">
        <v>86</v>
      </c>
      <c r="L347" s="3" t="str">
        <f>IFERROR(MID(VLOOKUP($B347,Seqs!$A:$B,2,0),M347,1),"")</f>
        <v>T</v>
      </c>
      <c r="M347" s="3">
        <v>87</v>
      </c>
      <c r="N347" s="3" t="str">
        <f>IFERROR(MID(VLOOKUP($B347,Seqs!$A:$B,2,0),O347,1),"")</f>
        <v>E</v>
      </c>
      <c r="O347" s="3">
        <v>118</v>
      </c>
      <c r="P347" s="3" t="str">
        <f>IFERROR(MID(VLOOKUP($B347,Seqs!$A:$B,2,0),Q347,1),"")</f>
        <v>T</v>
      </c>
      <c r="Q347" s="3">
        <v>119</v>
      </c>
      <c r="R347" s="3" t="str">
        <f>IFERROR(MID(VLOOKUP($B347,Seqs!$A:$B,2,0),S347,1),"")</f>
        <v>F</v>
      </c>
      <c r="S347" s="3">
        <v>122</v>
      </c>
      <c r="T347" s="3" t="str">
        <f>IFERROR(MID(VLOOKUP($B347,Seqs!$A:$B,2,0),U347,1),"")</f>
        <v>G</v>
      </c>
      <c r="U347" s="3">
        <v>123</v>
      </c>
      <c r="V347" s="3" t="str">
        <f>IFERROR(MID(VLOOKUP($B347,Seqs!$A:$B,2,0),W347,1),"")</f>
        <v>H</v>
      </c>
      <c r="W347" s="3">
        <v>158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T</v>
      </c>
      <c r="AC347" s="3">
        <v>165</v>
      </c>
      <c r="AD347" s="3" t="str">
        <f>IFERROR(MID(VLOOKUP($B347,Seqs!$A:$B,2,0),AE347,1),"")</f>
        <v>M</v>
      </c>
      <c r="AE347" s="3">
        <v>191</v>
      </c>
      <c r="AF347" s="3" t="str">
        <f>IFERROR(MID(VLOOKUP($B347,Seqs!$A:$B,2,0),AG347,1),"")</f>
        <v>C</v>
      </c>
      <c r="AG347" s="3">
        <v>210</v>
      </c>
      <c r="AH347" s="3" t="str">
        <f>IFERROR(MID(VLOOKUP($B347,Seqs!$A:$B,2,0),AI347,1),"")</f>
        <v>E</v>
      </c>
      <c r="AI347" s="3">
        <v>212</v>
      </c>
      <c r="AJ347" s="3" t="str">
        <f>IFERROR(MID(VLOOKUP($B347,Seqs!$A:$B,2,0),AK347,1),"")</f>
        <v>I</v>
      </c>
      <c r="AK347" s="3">
        <v>218</v>
      </c>
      <c r="AL347" s="3" t="str">
        <f>IFERROR(MID(VLOOKUP($B347,Seqs!$A:$B,2,0),AM347,1),"")</f>
        <v>C</v>
      </c>
      <c r="AM347" s="3">
        <v>252</v>
      </c>
      <c r="AN347" s="3" t="str">
        <f>IFERROR(MID(VLOOKUP($B347,Seqs!$A:$B,2,0),AO347,1),"")</f>
        <v>K</v>
      </c>
      <c r="AO347" s="3">
        <v>294</v>
      </c>
      <c r="AP347" s="3" t="str">
        <f>IFERROR(MID(VLOOKUP($B347,Seqs!$A:$B,2,0),AQ347,1),"")</f>
        <v>F</v>
      </c>
      <c r="AQ347" s="3">
        <v>330</v>
      </c>
      <c r="AR347" s="3" t="str">
        <f>IFERROR(MID(VLOOKUP($B347,Seqs!$A:$B,2,0),AS347,1),"")</f>
        <v>D</v>
      </c>
      <c r="AS347" s="3">
        <v>338</v>
      </c>
      <c r="AT347" s="3" t="str">
        <f>IFERROR(MID(VLOOKUP($B347,Seqs!$A:$B,2,0),AU347,1),"")</f>
        <v>L</v>
      </c>
      <c r="AU347" s="3">
        <v>367</v>
      </c>
      <c r="AV347" s="3" t="str">
        <f>IFERROR(MID(VLOOKUP($B347,Seqs!$A:$B,2,0),AW347,1),"")</f>
        <v>S</v>
      </c>
      <c r="AW347" s="3">
        <v>368</v>
      </c>
      <c r="AX347" s="3" t="str">
        <f>IFERROR(MID(VLOOKUP($B347,Seqs!$A:$B,2,0),AY347,1),"")</f>
        <v>C</v>
      </c>
      <c r="AY347" s="3">
        <v>383</v>
      </c>
      <c r="AZ347" s="77" t="str">
        <f>VLOOKUP(B347,Classification!A:D,2,0)</f>
        <v>A</v>
      </c>
      <c r="BA347" s="94" t="str">
        <f>VLOOKUP(B347,Classification!A:D,4,0)</f>
        <v>Orexin</v>
      </c>
      <c r="BB347" s="27" t="b">
        <f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23">
        <f>_xlfn.AGGREGATE(9,6,CH347:CS347)-_xlfn.AGGREGATE(9,6,BV347:CG347)+12</f>
        <v>255</v>
      </c>
      <c r="BD347" s="2" t="s">
        <v>1376</v>
      </c>
      <c r="BE347" s="3" t="s">
        <v>1374</v>
      </c>
      <c r="BF347" s="118">
        <v>2.2999999999999998</v>
      </c>
      <c r="BG347" s="49" t="s">
        <v>1</v>
      </c>
      <c r="BH347" s="49" t="s">
        <v>1</v>
      </c>
      <c r="BI347" s="1"/>
      <c r="BJ347" s="70" t="s">
        <v>1287</v>
      </c>
      <c r="BK347" s="57" t="s">
        <v>1287</v>
      </c>
      <c r="BL347" s="57" t="s">
        <v>1287</v>
      </c>
      <c r="BM347" s="57" t="s">
        <v>1287</v>
      </c>
      <c r="BN347" s="57" t="s">
        <v>1287</v>
      </c>
      <c r="BO347" s="57" t="s">
        <v>1287</v>
      </c>
      <c r="BP347" s="57" t="s">
        <v>1287</v>
      </c>
      <c r="BQ347" s="57" t="s">
        <v>1287</v>
      </c>
      <c r="BR347" s="57" t="s">
        <v>1287</v>
      </c>
      <c r="BS347" s="57" t="s">
        <v>1287</v>
      </c>
      <c r="BT347" s="57" t="s">
        <v>1287</v>
      </c>
      <c r="BU347" s="57" t="s">
        <v>1287</v>
      </c>
      <c r="BV347" s="70">
        <f>E347</f>
        <v>53</v>
      </c>
      <c r="BW347" s="71">
        <f>I347</f>
        <v>83</v>
      </c>
      <c r="BX347" s="72">
        <f>M347</f>
        <v>87</v>
      </c>
      <c r="BY347" s="71">
        <f>Q347</f>
        <v>119</v>
      </c>
      <c r="BZ347" s="72">
        <f>U347</f>
        <v>123</v>
      </c>
      <c r="CA347" s="71" t="str">
        <f>Y347</f>
        <v>-</v>
      </c>
      <c r="CB347" s="72">
        <f>AC347</f>
        <v>165</v>
      </c>
      <c r="CC347" s="71">
        <f>AG347</f>
        <v>210</v>
      </c>
      <c r="CD347" s="72">
        <f>AK347</f>
        <v>218</v>
      </c>
      <c r="CE347" s="71">
        <f>AO347</f>
        <v>294</v>
      </c>
      <c r="CF347" s="72">
        <f>AS347</f>
        <v>338</v>
      </c>
      <c r="CG347" s="71">
        <f>AW347</f>
        <v>368</v>
      </c>
      <c r="CH347" s="70">
        <f>G347</f>
        <v>82</v>
      </c>
      <c r="CI347" s="71">
        <f>K347</f>
        <v>86</v>
      </c>
      <c r="CJ347" s="72">
        <f>O347</f>
        <v>118</v>
      </c>
      <c r="CK347" s="72">
        <f>S347</f>
        <v>122</v>
      </c>
      <c r="CL347" s="72">
        <f>W347</f>
        <v>158</v>
      </c>
      <c r="CM347" s="72" t="str">
        <f>AA347</f>
        <v>-</v>
      </c>
      <c r="CN347" s="72">
        <f>AE347</f>
        <v>191</v>
      </c>
      <c r="CO347" s="72">
        <f>AI347</f>
        <v>212</v>
      </c>
      <c r="CP347" s="72">
        <f>AM347</f>
        <v>252</v>
      </c>
      <c r="CQ347" s="72">
        <f>AQ347</f>
        <v>330</v>
      </c>
      <c r="CR347" s="72">
        <f>AU347</f>
        <v>367</v>
      </c>
      <c r="CS347" s="72">
        <f>AY347</f>
        <v>383</v>
      </c>
      <c r="CT347" s="23">
        <f>M347-K347</f>
        <v>1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30" s="12" customFormat="1" x14ac:dyDescent="0.2">
      <c r="A348" s="9" t="str">
        <f>CONCATENATE(B348,"_",C348)</f>
        <v>ox2r_human_6TPG</v>
      </c>
      <c r="B348" s="9" t="s">
        <v>1175</v>
      </c>
      <c r="C348" s="9" t="s">
        <v>1646</v>
      </c>
      <c r="D348" s="9" t="str">
        <f>IFERROR(MID(VLOOKUP($B348,Seqs!$A:$B,2,0),E348,1),"")</f>
        <v>Y</v>
      </c>
      <c r="E348" s="9">
        <v>53</v>
      </c>
      <c r="F348" s="9" t="str">
        <f>IFERROR(MID(VLOOKUP($B348,Seqs!$A:$B,2,0),G348,1),"")</f>
        <v>N</v>
      </c>
      <c r="G348" s="9">
        <v>82</v>
      </c>
      <c r="H348" s="9" t="str">
        <f>IFERROR(MID(VLOOKUP($B348,Seqs!$A:$B,2,0),I348,1),"")</f>
        <v>H</v>
      </c>
      <c r="I348" s="109">
        <v>83</v>
      </c>
      <c r="J348" s="9" t="str">
        <f>IFERROR(MID(VLOOKUP($B348,Seqs!$A:$B,2,0),K348,1),"")</f>
        <v>R</v>
      </c>
      <c r="K348" s="109">
        <v>86</v>
      </c>
      <c r="L348" s="9" t="str">
        <f>IFERROR(MID(VLOOKUP($B348,Seqs!$A:$B,2,0),M348,1),"")</f>
        <v>T</v>
      </c>
      <c r="M348" s="9">
        <v>87</v>
      </c>
      <c r="N348" s="9" t="str">
        <f>IFERROR(MID(VLOOKUP($B348,Seqs!$A:$B,2,0),O348,1),"")</f>
        <v>E</v>
      </c>
      <c r="O348" s="9">
        <v>118</v>
      </c>
      <c r="P348" s="9" t="str">
        <f>IFERROR(MID(VLOOKUP($B348,Seqs!$A:$B,2,0),Q348,1),"")</f>
        <v>T</v>
      </c>
      <c r="Q348" s="9">
        <v>119</v>
      </c>
      <c r="R348" s="9" t="str">
        <f>IFERROR(MID(VLOOKUP($B348,Seqs!$A:$B,2,0),S348,1),"")</f>
        <v>F</v>
      </c>
      <c r="S348" s="9">
        <v>122</v>
      </c>
      <c r="T348" s="9" t="str">
        <f>IFERROR(MID(VLOOKUP($B348,Seqs!$A:$B,2,0),U348,1),"")</f>
        <v>G</v>
      </c>
      <c r="U348" s="9">
        <v>123</v>
      </c>
      <c r="V348" s="9" t="str">
        <f>IFERROR(MID(VLOOKUP($B348,Seqs!$A:$B,2,0),W348,1),"")</f>
        <v>C</v>
      </c>
      <c r="W348" s="9">
        <v>157</v>
      </c>
      <c r="X348" s="9" t="str">
        <f>IFERROR(MID(VLOOKUP($B348,Seqs!$A:$B,2,0),Y348,1),"")</f>
        <v/>
      </c>
      <c r="Y348" s="9" t="s">
        <v>23</v>
      </c>
      <c r="Z348" s="9" t="str">
        <f>IFERROR(MID(VLOOKUP($B348,Seqs!$A:$B,2,0),AA348,1),"")</f>
        <v/>
      </c>
      <c r="AA348" s="9" t="s">
        <v>23</v>
      </c>
      <c r="AB348" s="9" t="str">
        <f>IFERROR(MID(VLOOKUP($B348,Seqs!$A:$B,2,0),AC348,1),"")</f>
        <v>T</v>
      </c>
      <c r="AC348" s="9">
        <v>165</v>
      </c>
      <c r="AD348" s="9" t="str">
        <f>IFERROR(MID(VLOOKUP($B348,Seqs!$A:$B,2,0),AE348,1),"")</f>
        <v>M</v>
      </c>
      <c r="AE348" s="9">
        <v>191</v>
      </c>
      <c r="AF348" s="9" t="str">
        <f>IFERROR(MID(VLOOKUP($B348,Seqs!$A:$B,2,0),AG348,1),"")</f>
        <v>C</v>
      </c>
      <c r="AG348" s="9">
        <v>210</v>
      </c>
      <c r="AH348" s="9" t="str">
        <f>IFERROR(MID(VLOOKUP($B348,Seqs!$A:$B,2,0),AI348,1),"")</f>
        <v>E</v>
      </c>
      <c r="AI348" s="9">
        <v>212</v>
      </c>
      <c r="AJ348" s="9" t="str">
        <f>IFERROR(MID(VLOOKUP($B348,Seqs!$A:$B,2,0),AK348,1),"")</f>
        <v>I</v>
      </c>
      <c r="AK348" s="9">
        <v>218</v>
      </c>
      <c r="AL348" s="9" t="str">
        <f>IFERROR(MID(VLOOKUP($B348,Seqs!$A:$B,2,0),AM348,1),"")</f>
        <v>C</v>
      </c>
      <c r="AM348" s="9">
        <v>252</v>
      </c>
      <c r="AN348" s="9" t="str">
        <f>IFERROR(MID(VLOOKUP($B348,Seqs!$A:$B,2,0),AO348,1),"")</f>
        <v>K</v>
      </c>
      <c r="AO348" s="9">
        <v>294</v>
      </c>
      <c r="AP348" s="9" t="str">
        <f>IFERROR(MID(VLOOKUP($B348,Seqs!$A:$B,2,0),AQ348,1),"")</f>
        <v>F</v>
      </c>
      <c r="AQ348" s="9">
        <v>330</v>
      </c>
      <c r="AR348" s="9" t="str">
        <f>IFERROR(MID(VLOOKUP($B348,Seqs!$A:$B,2,0),AS348,1),"")</f>
        <v>R</v>
      </c>
      <c r="AS348" s="9">
        <v>339</v>
      </c>
      <c r="AT348" s="9" t="str">
        <f>IFERROR(MID(VLOOKUP($B348,Seqs!$A:$B,2,0),AU348,1),"")</f>
        <v>L</v>
      </c>
      <c r="AU348" s="9">
        <v>367</v>
      </c>
      <c r="AV348" s="9" t="str">
        <f>IFERROR(MID(VLOOKUP($B348,Seqs!$A:$B,2,0),AW348,1),"")</f>
        <v>S</v>
      </c>
      <c r="AW348" s="9">
        <v>368</v>
      </c>
      <c r="AX348" s="9" t="str">
        <f>IFERROR(MID(VLOOKUP($B348,Seqs!$A:$B,2,0),AY348,1),"")</f>
        <v>L</v>
      </c>
      <c r="AY348" s="9">
        <v>384</v>
      </c>
      <c r="AZ348" s="110" t="str">
        <f>VLOOKUP(B348,Classification!A:D,2,0)</f>
        <v>A</v>
      </c>
      <c r="BA348" s="98" t="str">
        <f>VLOOKUP(B348,Classification!A:D,4,0)</f>
        <v>Orexin</v>
      </c>
      <c r="BB348" s="36" t="b">
        <f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109">
        <f>_xlfn.AGGREGATE(9,6,CH348:CS348)-_xlfn.AGGREGATE(9,6,BV348:CG348)+12</f>
        <v>254</v>
      </c>
      <c r="BD348" s="40" t="s">
        <v>23</v>
      </c>
      <c r="BE348" s="9" t="s">
        <v>1374</v>
      </c>
      <c r="BF348" s="119">
        <v>2.74</v>
      </c>
      <c r="BG348" s="51" t="s">
        <v>1</v>
      </c>
      <c r="BH348" s="51" t="s">
        <v>1</v>
      </c>
      <c r="BJ348" s="111" t="s">
        <v>1287</v>
      </c>
      <c r="BK348" s="112" t="s">
        <v>1287</v>
      </c>
      <c r="BL348" s="112" t="s">
        <v>1287</v>
      </c>
      <c r="BM348" s="112" t="s">
        <v>1287</v>
      </c>
      <c r="BN348" s="112" t="s">
        <v>1287</v>
      </c>
      <c r="BO348" s="112" t="s">
        <v>1287</v>
      </c>
      <c r="BP348" s="112" t="s">
        <v>1287</v>
      </c>
      <c r="BQ348" s="112" t="s">
        <v>1287</v>
      </c>
      <c r="BR348" s="112" t="s">
        <v>1287</v>
      </c>
      <c r="BS348" s="112" t="s">
        <v>1287</v>
      </c>
      <c r="BT348" s="112" t="s">
        <v>1287</v>
      </c>
      <c r="BU348" s="112" t="s">
        <v>1287</v>
      </c>
      <c r="BV348" s="111">
        <f>E348</f>
        <v>53</v>
      </c>
      <c r="BW348" s="113">
        <f>I348</f>
        <v>83</v>
      </c>
      <c r="BX348" s="114">
        <f>M348</f>
        <v>87</v>
      </c>
      <c r="BY348" s="113">
        <f>Q348</f>
        <v>119</v>
      </c>
      <c r="BZ348" s="114">
        <f>U348</f>
        <v>123</v>
      </c>
      <c r="CA348" s="113" t="str">
        <f>Y348</f>
        <v>-</v>
      </c>
      <c r="CB348" s="114">
        <f>AC348</f>
        <v>165</v>
      </c>
      <c r="CC348" s="113">
        <f>AG348</f>
        <v>210</v>
      </c>
      <c r="CD348" s="114">
        <f>AK348</f>
        <v>218</v>
      </c>
      <c r="CE348" s="113">
        <f>AO348</f>
        <v>294</v>
      </c>
      <c r="CF348" s="114">
        <f>AS348</f>
        <v>339</v>
      </c>
      <c r="CG348" s="113">
        <f>AW348</f>
        <v>368</v>
      </c>
      <c r="CH348" s="111">
        <f>G348</f>
        <v>82</v>
      </c>
      <c r="CI348" s="113">
        <f>K348</f>
        <v>86</v>
      </c>
      <c r="CJ348" s="114">
        <f>O348</f>
        <v>118</v>
      </c>
      <c r="CK348" s="114">
        <f>S348</f>
        <v>122</v>
      </c>
      <c r="CL348" s="114">
        <f>W348</f>
        <v>157</v>
      </c>
      <c r="CM348" s="114" t="str">
        <f>AA348</f>
        <v>-</v>
      </c>
      <c r="CN348" s="114">
        <f>AE348</f>
        <v>191</v>
      </c>
      <c r="CO348" s="114">
        <f>AI348</f>
        <v>212</v>
      </c>
      <c r="CP348" s="114">
        <f>AM348</f>
        <v>252</v>
      </c>
      <c r="CQ348" s="114">
        <f>AQ348</f>
        <v>330</v>
      </c>
      <c r="CR348" s="114">
        <f>AU348</f>
        <v>367</v>
      </c>
      <c r="CS348" s="114">
        <f>AY348</f>
        <v>384</v>
      </c>
      <c r="CT348" s="109">
        <f>M348-K348</f>
        <v>1</v>
      </c>
    </row>
    <row r="349" spans="1:1030" s="12" customFormat="1" x14ac:dyDescent="0.2">
      <c r="A349" s="9" t="str">
        <f>CONCATENATE(B349,"_",C349)</f>
        <v>ox2r_human_6TPJ</v>
      </c>
      <c r="B349" s="9" t="s">
        <v>1175</v>
      </c>
      <c r="C349" s="9" t="s">
        <v>1647</v>
      </c>
      <c r="D349" s="9" t="str">
        <f>IFERROR(MID(VLOOKUP($B349,Seqs!$A:$B,2,0),E349,1),"")</f>
        <v>Y</v>
      </c>
      <c r="E349" s="9">
        <v>53</v>
      </c>
      <c r="F349" s="9" t="str">
        <f>IFERROR(MID(VLOOKUP($B349,Seqs!$A:$B,2,0),G349,1),"")</f>
        <v>N</v>
      </c>
      <c r="G349" s="9">
        <v>82</v>
      </c>
      <c r="H349" s="9" t="str">
        <f>IFERROR(MID(VLOOKUP($B349,Seqs!$A:$B,2,0),I349,1),"")</f>
        <v>H</v>
      </c>
      <c r="I349" s="109">
        <v>83</v>
      </c>
      <c r="J349" s="9" t="str">
        <f>IFERROR(MID(VLOOKUP($B349,Seqs!$A:$B,2,0),K349,1),"")</f>
        <v>R</v>
      </c>
      <c r="K349" s="109">
        <v>86</v>
      </c>
      <c r="L349" s="9" t="str">
        <f>IFERROR(MID(VLOOKUP($B349,Seqs!$A:$B,2,0),M349,1),"")</f>
        <v>T</v>
      </c>
      <c r="M349" s="9">
        <v>87</v>
      </c>
      <c r="N349" s="9" t="str">
        <f>IFERROR(MID(VLOOKUP($B349,Seqs!$A:$B,2,0),O349,1),"")</f>
        <v>E</v>
      </c>
      <c r="O349" s="9">
        <v>118</v>
      </c>
      <c r="P349" s="9" t="str">
        <f>IFERROR(MID(VLOOKUP($B349,Seqs!$A:$B,2,0),Q349,1),"")</f>
        <v>T</v>
      </c>
      <c r="Q349" s="9">
        <v>119</v>
      </c>
      <c r="R349" s="9" t="str">
        <f>IFERROR(MID(VLOOKUP($B349,Seqs!$A:$B,2,0),S349,1),"")</f>
        <v>F</v>
      </c>
      <c r="S349" s="9">
        <v>122</v>
      </c>
      <c r="T349" s="9" t="str">
        <f>IFERROR(MID(VLOOKUP($B349,Seqs!$A:$B,2,0),U349,1),"")</f>
        <v>G</v>
      </c>
      <c r="U349" s="9">
        <v>123</v>
      </c>
      <c r="V349" s="9" t="str">
        <f>IFERROR(MID(VLOOKUP($B349,Seqs!$A:$B,2,0),W349,1),"")</f>
        <v>C</v>
      </c>
      <c r="W349" s="9">
        <v>157</v>
      </c>
      <c r="X349" s="9" t="str">
        <f>IFERROR(MID(VLOOKUP($B349,Seqs!$A:$B,2,0),Y349,1),"")</f>
        <v/>
      </c>
      <c r="Y349" s="9" t="s">
        <v>23</v>
      </c>
      <c r="Z349" s="9" t="str">
        <f>IFERROR(MID(VLOOKUP($B349,Seqs!$A:$B,2,0),AA349,1),"")</f>
        <v/>
      </c>
      <c r="AA349" s="9" t="s">
        <v>23</v>
      </c>
      <c r="AB349" s="9" t="str">
        <f>IFERROR(MID(VLOOKUP($B349,Seqs!$A:$B,2,0),AC349,1),"")</f>
        <v>T</v>
      </c>
      <c r="AC349" s="9">
        <v>165</v>
      </c>
      <c r="AD349" s="9" t="str">
        <f>IFERROR(MID(VLOOKUP($B349,Seqs!$A:$B,2,0),AE349,1),"")</f>
        <v>M</v>
      </c>
      <c r="AE349" s="9">
        <v>191</v>
      </c>
      <c r="AF349" s="9" t="str">
        <f>IFERROR(MID(VLOOKUP($B349,Seqs!$A:$B,2,0),AG349,1),"")</f>
        <v>C</v>
      </c>
      <c r="AG349" s="9">
        <v>210</v>
      </c>
      <c r="AH349" s="9" t="str">
        <f>IFERROR(MID(VLOOKUP($B349,Seqs!$A:$B,2,0),AI349,1),"")</f>
        <v>E</v>
      </c>
      <c r="AI349" s="9">
        <v>212</v>
      </c>
      <c r="AJ349" s="9" t="str">
        <f>IFERROR(MID(VLOOKUP($B349,Seqs!$A:$B,2,0),AK349,1),"")</f>
        <v>I</v>
      </c>
      <c r="AK349" s="9">
        <v>218</v>
      </c>
      <c r="AL349" s="9" t="str">
        <f>IFERROR(MID(VLOOKUP($B349,Seqs!$A:$B,2,0),AM349,1),"")</f>
        <v>C</v>
      </c>
      <c r="AM349" s="9">
        <v>252</v>
      </c>
      <c r="AN349" s="9" t="str">
        <f>IFERROR(MID(VLOOKUP($B349,Seqs!$A:$B,2,0),AO349,1),"")</f>
        <v>K</v>
      </c>
      <c r="AO349" s="9">
        <v>294</v>
      </c>
      <c r="AP349" s="9" t="str">
        <f>IFERROR(MID(VLOOKUP($B349,Seqs!$A:$B,2,0),AQ349,1),"")</f>
        <v>F</v>
      </c>
      <c r="AQ349" s="9">
        <v>330</v>
      </c>
      <c r="AR349" s="9" t="str">
        <f>IFERROR(MID(VLOOKUP($B349,Seqs!$A:$B,2,0),AS349,1),"")</f>
        <v>R</v>
      </c>
      <c r="AS349" s="9">
        <v>339</v>
      </c>
      <c r="AT349" s="9" t="str">
        <f>IFERROR(MID(VLOOKUP($B349,Seqs!$A:$B,2,0),AU349,1),"")</f>
        <v>L</v>
      </c>
      <c r="AU349" s="9">
        <v>367</v>
      </c>
      <c r="AV349" s="9" t="str">
        <f>IFERROR(MID(VLOOKUP($B349,Seqs!$A:$B,2,0),AW349,1),"")</f>
        <v>S</v>
      </c>
      <c r="AW349" s="9">
        <v>368</v>
      </c>
      <c r="AX349" s="9" t="str">
        <f>IFERROR(MID(VLOOKUP($B349,Seqs!$A:$B,2,0),AY349,1),"")</f>
        <v>L</v>
      </c>
      <c r="AY349" s="9">
        <v>384</v>
      </c>
      <c r="AZ349" s="110" t="str">
        <f>VLOOKUP(B349,Classification!A:D,2,0)</f>
        <v>A</v>
      </c>
      <c r="BA349" s="98" t="str">
        <f>VLOOKUP(B349,Classification!A:D,4,0)</f>
        <v>Orexin</v>
      </c>
      <c r="BB349" s="36" t="b">
        <f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109">
        <f>_xlfn.AGGREGATE(9,6,CH349:CS349)-_xlfn.AGGREGATE(9,6,BV349:CG349)+12</f>
        <v>254</v>
      </c>
      <c r="BD349" s="40" t="s">
        <v>23</v>
      </c>
      <c r="BE349" s="9" t="s">
        <v>1374</v>
      </c>
      <c r="BF349" s="119">
        <v>2.74</v>
      </c>
      <c r="BG349" s="51" t="s">
        <v>1</v>
      </c>
      <c r="BH349" s="51" t="s">
        <v>1</v>
      </c>
      <c r="BJ349" s="111" t="s">
        <v>1287</v>
      </c>
      <c r="BK349" s="112" t="s">
        <v>1287</v>
      </c>
      <c r="BL349" s="112" t="s">
        <v>1287</v>
      </c>
      <c r="BM349" s="112" t="s">
        <v>1287</v>
      </c>
      <c r="BN349" s="112" t="s">
        <v>1287</v>
      </c>
      <c r="BO349" s="112" t="s">
        <v>1287</v>
      </c>
      <c r="BP349" s="112" t="s">
        <v>1287</v>
      </c>
      <c r="BQ349" s="112" t="s">
        <v>1287</v>
      </c>
      <c r="BR349" s="112" t="s">
        <v>1287</v>
      </c>
      <c r="BS349" s="112" t="s">
        <v>1287</v>
      </c>
      <c r="BT349" s="112" t="s">
        <v>1287</v>
      </c>
      <c r="BU349" s="112" t="s">
        <v>1287</v>
      </c>
      <c r="BV349" s="111">
        <f>E349</f>
        <v>53</v>
      </c>
      <c r="BW349" s="113">
        <f>I349</f>
        <v>83</v>
      </c>
      <c r="BX349" s="114">
        <f>M349</f>
        <v>87</v>
      </c>
      <c r="BY349" s="113">
        <f>Q349</f>
        <v>119</v>
      </c>
      <c r="BZ349" s="114">
        <f>U349</f>
        <v>123</v>
      </c>
      <c r="CA349" s="113" t="str">
        <f>Y349</f>
        <v>-</v>
      </c>
      <c r="CB349" s="114">
        <f>AC349</f>
        <v>165</v>
      </c>
      <c r="CC349" s="113">
        <f>AG349</f>
        <v>210</v>
      </c>
      <c r="CD349" s="114">
        <f>AK349</f>
        <v>218</v>
      </c>
      <c r="CE349" s="113">
        <f>AO349</f>
        <v>294</v>
      </c>
      <c r="CF349" s="114">
        <f>AS349</f>
        <v>339</v>
      </c>
      <c r="CG349" s="113">
        <f>AW349</f>
        <v>368</v>
      </c>
      <c r="CH349" s="111">
        <f>G349</f>
        <v>82</v>
      </c>
      <c r="CI349" s="113">
        <f>K349</f>
        <v>86</v>
      </c>
      <c r="CJ349" s="114">
        <f>O349</f>
        <v>118</v>
      </c>
      <c r="CK349" s="114">
        <f>S349</f>
        <v>122</v>
      </c>
      <c r="CL349" s="114">
        <f>W349</f>
        <v>157</v>
      </c>
      <c r="CM349" s="114" t="str">
        <f>AA349</f>
        <v>-</v>
      </c>
      <c r="CN349" s="114">
        <f>AE349</f>
        <v>191</v>
      </c>
      <c r="CO349" s="114">
        <f>AI349</f>
        <v>212</v>
      </c>
      <c r="CP349" s="114">
        <f>AM349</f>
        <v>252</v>
      </c>
      <c r="CQ349" s="114">
        <f>AQ349</f>
        <v>330</v>
      </c>
      <c r="CR349" s="114">
        <f>AU349</f>
        <v>367</v>
      </c>
      <c r="CS349" s="114">
        <f>AY349</f>
        <v>384</v>
      </c>
      <c r="CT349" s="109">
        <f>M349-K349</f>
        <v>1</v>
      </c>
    </row>
    <row r="350" spans="1:1030" s="12" customFormat="1" x14ac:dyDescent="0.2">
      <c r="A350" s="9" t="str">
        <f>CONCATENATE(B350,"_",C350)</f>
        <v>ox2r_human_6TPN</v>
      </c>
      <c r="B350" s="9" t="s">
        <v>1175</v>
      </c>
      <c r="C350" s="9" t="s">
        <v>1624</v>
      </c>
      <c r="D350" s="9" t="str">
        <f>IFERROR(MID(VLOOKUP($B350,Seqs!$A:$B,2,0),E350,1),"")</f>
        <v>Y</v>
      </c>
      <c r="E350" s="9">
        <v>53</v>
      </c>
      <c r="F350" s="9" t="str">
        <f>IFERROR(MID(VLOOKUP($B350,Seqs!$A:$B,2,0),G350,1),"")</f>
        <v>N</v>
      </c>
      <c r="G350" s="9">
        <v>82</v>
      </c>
      <c r="H350" s="9" t="str">
        <f>IFERROR(MID(VLOOKUP($B350,Seqs!$A:$B,2,0),I350,1),"")</f>
        <v>H</v>
      </c>
      <c r="I350" s="109">
        <v>83</v>
      </c>
      <c r="J350" s="9" t="str">
        <f>IFERROR(MID(VLOOKUP($B350,Seqs!$A:$B,2,0),K350,1),"")</f>
        <v>R</v>
      </c>
      <c r="K350" s="109">
        <v>86</v>
      </c>
      <c r="L350" s="9" t="str">
        <f>IFERROR(MID(VLOOKUP($B350,Seqs!$A:$B,2,0),M350,1),"")</f>
        <v>T</v>
      </c>
      <c r="M350" s="9">
        <v>87</v>
      </c>
      <c r="N350" s="9" t="str">
        <f>IFERROR(MID(VLOOKUP($B350,Seqs!$A:$B,2,0),O350,1),"")</f>
        <v>E</v>
      </c>
      <c r="O350" s="9">
        <v>118</v>
      </c>
      <c r="P350" s="9" t="str">
        <f>IFERROR(MID(VLOOKUP($B350,Seqs!$A:$B,2,0),Q350,1),"")</f>
        <v>T</v>
      </c>
      <c r="Q350" s="9">
        <v>119</v>
      </c>
      <c r="R350" s="9" t="str">
        <f>IFERROR(MID(VLOOKUP($B350,Seqs!$A:$B,2,0),S350,1),"")</f>
        <v>F</v>
      </c>
      <c r="S350" s="9">
        <v>122</v>
      </c>
      <c r="T350" s="9" t="str">
        <f>IFERROR(MID(VLOOKUP($B350,Seqs!$A:$B,2,0),U350,1),"")</f>
        <v>G</v>
      </c>
      <c r="U350" s="9">
        <v>123</v>
      </c>
      <c r="V350" s="9" t="str">
        <f>IFERROR(MID(VLOOKUP($B350,Seqs!$A:$B,2,0),W350,1),"")</f>
        <v>C</v>
      </c>
      <c r="W350" s="9">
        <v>157</v>
      </c>
      <c r="X350" s="9" t="str">
        <f>IFERROR(MID(VLOOKUP($B350,Seqs!$A:$B,2,0),Y350,1),"")</f>
        <v/>
      </c>
      <c r="Y350" s="9" t="s">
        <v>23</v>
      </c>
      <c r="Z350" s="9" t="str">
        <f>IFERROR(MID(VLOOKUP($B350,Seqs!$A:$B,2,0),AA350,1),"")</f>
        <v/>
      </c>
      <c r="AA350" s="9" t="s">
        <v>23</v>
      </c>
      <c r="AB350" s="9" t="str">
        <f>IFERROR(MID(VLOOKUP($B350,Seqs!$A:$B,2,0),AC350,1),"")</f>
        <v>T</v>
      </c>
      <c r="AC350" s="9">
        <v>165</v>
      </c>
      <c r="AD350" s="9" t="str">
        <f>IFERROR(MID(VLOOKUP($B350,Seqs!$A:$B,2,0),AE350,1),"")</f>
        <v>M</v>
      </c>
      <c r="AE350" s="9">
        <v>191</v>
      </c>
      <c r="AF350" s="9" t="str">
        <f>IFERROR(MID(VLOOKUP($B350,Seqs!$A:$B,2,0),AG350,1),"")</f>
        <v>C</v>
      </c>
      <c r="AG350" s="9">
        <v>210</v>
      </c>
      <c r="AH350" s="9" t="str">
        <f>IFERROR(MID(VLOOKUP($B350,Seqs!$A:$B,2,0),AI350,1),"")</f>
        <v>E</v>
      </c>
      <c r="AI350" s="9">
        <v>212</v>
      </c>
      <c r="AJ350" s="9" t="str">
        <f>IFERROR(MID(VLOOKUP($B350,Seqs!$A:$B,2,0),AK350,1),"")</f>
        <v>I</v>
      </c>
      <c r="AK350" s="9">
        <v>218</v>
      </c>
      <c r="AL350" s="9" t="str">
        <f>IFERROR(MID(VLOOKUP($B350,Seqs!$A:$B,2,0),AM350,1),"")</f>
        <v>C</v>
      </c>
      <c r="AM350" s="9">
        <v>252</v>
      </c>
      <c r="AN350" s="9" t="str">
        <f>IFERROR(MID(VLOOKUP($B350,Seqs!$A:$B,2,0),AO350,1),"")</f>
        <v>K</v>
      </c>
      <c r="AO350" s="9">
        <v>294</v>
      </c>
      <c r="AP350" s="9" t="str">
        <f>IFERROR(MID(VLOOKUP($B350,Seqs!$A:$B,2,0),AQ350,1),"")</f>
        <v>F</v>
      </c>
      <c r="AQ350" s="9">
        <v>330</v>
      </c>
      <c r="AR350" s="9" t="str">
        <f>IFERROR(MID(VLOOKUP($B350,Seqs!$A:$B,2,0),AS350,1),"")</f>
        <v>R</v>
      </c>
      <c r="AS350" s="9">
        <v>339</v>
      </c>
      <c r="AT350" s="9" t="str">
        <f>IFERROR(MID(VLOOKUP($B350,Seqs!$A:$B,2,0),AU350,1),"")</f>
        <v>L</v>
      </c>
      <c r="AU350" s="9">
        <v>367</v>
      </c>
      <c r="AV350" s="9" t="str">
        <f>IFERROR(MID(VLOOKUP($B350,Seqs!$A:$B,2,0),AW350,1),"")</f>
        <v>S</v>
      </c>
      <c r="AW350" s="9">
        <v>368</v>
      </c>
      <c r="AX350" s="9" t="str">
        <f>IFERROR(MID(VLOOKUP($B350,Seqs!$A:$B,2,0),AY350,1),"")</f>
        <v>L</v>
      </c>
      <c r="AY350" s="9">
        <v>384</v>
      </c>
      <c r="AZ350" s="110" t="str">
        <f>VLOOKUP(B350,Classification!A:D,2,0)</f>
        <v>A</v>
      </c>
      <c r="BA350" s="98" t="str">
        <f>VLOOKUP(B350,Classification!A:D,4,0)</f>
        <v>Orexin</v>
      </c>
      <c r="BB350" s="36" t="b">
        <f>AND(E350&lt;G350,OR(G350&lt;I350,I350="-"),OR(I350&lt;K350,I350="-"),OR(K350&lt;M350,K350="-"),M350&lt;O350,OR(O350&lt;Q350,Q350="-"),OR(Q350&lt;S350,Q350="-"),OR(S350&lt;U350,S350="-"),U350&lt;W350,OR(W350&lt;Y350,Y350="-"),OR(Y350&lt;AA350,Y350="-"),OR(AA350&lt;AC350,AA350="-"),AC350&lt;AE350,OR(AE350&lt;AG350,AG350="-"),OR(AG350&lt;AI350,AG350="-"),OR(AI350&lt;AK350,AI350="-"),AK350&lt;AM350,AM350&lt;AO350,AO350&lt;AQ350,AQ350&lt;AS350,AS350&lt;AU350,OR(AU350&lt;AW350,AW350="-"),OR(AW350&lt;AY350,AW350="-"))</f>
        <v>1</v>
      </c>
      <c r="BC350" s="109">
        <f>_xlfn.AGGREGATE(9,6,CH350:CS350)-_xlfn.AGGREGATE(9,6,BV350:CG350)+12</f>
        <v>254</v>
      </c>
      <c r="BD350" s="40" t="s">
        <v>23</v>
      </c>
      <c r="BE350" s="9" t="s">
        <v>1374</v>
      </c>
      <c r="BF350" s="119">
        <v>2.61</v>
      </c>
      <c r="BG350" s="51" t="s">
        <v>1</v>
      </c>
      <c r="BH350" s="51" t="s">
        <v>1</v>
      </c>
      <c r="BJ350" s="111" t="s">
        <v>1287</v>
      </c>
      <c r="BK350" s="112" t="s">
        <v>1287</v>
      </c>
      <c r="BL350" s="112" t="s">
        <v>1287</v>
      </c>
      <c r="BM350" s="112" t="s">
        <v>1287</v>
      </c>
      <c r="BN350" s="112" t="s">
        <v>1287</v>
      </c>
      <c r="BO350" s="112" t="s">
        <v>1287</v>
      </c>
      <c r="BP350" s="112" t="s">
        <v>1287</v>
      </c>
      <c r="BQ350" s="112" t="s">
        <v>1287</v>
      </c>
      <c r="BR350" s="112" t="s">
        <v>1287</v>
      </c>
      <c r="BS350" s="112" t="s">
        <v>1287</v>
      </c>
      <c r="BT350" s="112" t="s">
        <v>1287</v>
      </c>
      <c r="BU350" s="112" t="s">
        <v>1287</v>
      </c>
      <c r="BV350" s="111">
        <f>E350</f>
        <v>53</v>
      </c>
      <c r="BW350" s="113">
        <f>I350</f>
        <v>83</v>
      </c>
      <c r="BX350" s="114">
        <f>M350</f>
        <v>87</v>
      </c>
      <c r="BY350" s="113">
        <f>Q350</f>
        <v>119</v>
      </c>
      <c r="BZ350" s="114">
        <f>U350</f>
        <v>123</v>
      </c>
      <c r="CA350" s="113" t="str">
        <f>Y350</f>
        <v>-</v>
      </c>
      <c r="CB350" s="114">
        <f>AC350</f>
        <v>165</v>
      </c>
      <c r="CC350" s="113">
        <f>AG350</f>
        <v>210</v>
      </c>
      <c r="CD350" s="114">
        <f>AK350</f>
        <v>218</v>
      </c>
      <c r="CE350" s="113">
        <f>AO350</f>
        <v>294</v>
      </c>
      <c r="CF350" s="114">
        <f>AS350</f>
        <v>339</v>
      </c>
      <c r="CG350" s="113">
        <f>AW350</f>
        <v>368</v>
      </c>
      <c r="CH350" s="111">
        <f>G350</f>
        <v>82</v>
      </c>
      <c r="CI350" s="113">
        <f>K350</f>
        <v>86</v>
      </c>
      <c r="CJ350" s="114">
        <f>O350</f>
        <v>118</v>
      </c>
      <c r="CK350" s="114">
        <f>S350</f>
        <v>122</v>
      </c>
      <c r="CL350" s="114">
        <f>W350</f>
        <v>157</v>
      </c>
      <c r="CM350" s="114" t="str">
        <f>AA350</f>
        <v>-</v>
      </c>
      <c r="CN350" s="114">
        <f>AE350</f>
        <v>191</v>
      </c>
      <c r="CO350" s="114">
        <f>AI350</f>
        <v>212</v>
      </c>
      <c r="CP350" s="114">
        <f>AM350</f>
        <v>252</v>
      </c>
      <c r="CQ350" s="114">
        <f>AQ350</f>
        <v>330</v>
      </c>
      <c r="CR350" s="114">
        <f>AU350</f>
        <v>367</v>
      </c>
      <c r="CS350" s="114">
        <f>AY350</f>
        <v>384</v>
      </c>
      <c r="CT350" s="109">
        <f>M350-K350</f>
        <v>1</v>
      </c>
    </row>
    <row r="351" spans="1:1030" x14ac:dyDescent="0.2">
      <c r="A351" s="3" t="str">
        <f t="shared" si="2541"/>
        <v>p2ry1_human__wt</v>
      </c>
      <c r="B351" s="3" t="s">
        <v>345</v>
      </c>
      <c r="C351" s="3" t="s">
        <v>100</v>
      </c>
      <c r="D351" s="3" t="str">
        <f>IFERROR(MID(VLOOKUP($B351,Seqs!$A:$B,2,0),E351,1),"")</f>
        <v>F</v>
      </c>
      <c r="E351" s="3">
        <v>49</v>
      </c>
      <c r="F351" s="3" t="str">
        <f>IFERROR(MID(VLOOKUP($B351,Seqs!$A:$B,2,0),G351,1),"")</f>
        <v>H</v>
      </c>
      <c r="G351" s="3">
        <v>79</v>
      </c>
      <c r="H351" s="3" t="str">
        <f>IFERROR(MID(VLOOKUP($B351,Seqs!$A:$B,2,0),I351,1),"")</f>
        <v/>
      </c>
      <c r="I351" s="23" t="s">
        <v>23</v>
      </c>
      <c r="J351" s="3" t="str">
        <f>IFERROR(MID(VLOOKUP($B351,Seqs!$A:$B,2,0),K351,1),"")</f>
        <v/>
      </c>
      <c r="K351" s="23" t="s">
        <v>23</v>
      </c>
      <c r="L351" s="3" t="str">
        <f>IFERROR(MID(VLOOKUP($B351,Seqs!$A:$B,2,0),M351,1),"")</f>
        <v>S</v>
      </c>
      <c r="M351" s="3">
        <v>84</v>
      </c>
      <c r="N351" s="3" t="str">
        <f>IFERROR(MID(VLOOKUP($B351,Seqs!$A:$B,2,0),O351,1),"")</f>
        <v>N</v>
      </c>
      <c r="O351" s="3">
        <v>113</v>
      </c>
      <c r="P351" s="3" t="str">
        <f>IFERROR(MID(VLOOKUP($B351,Seqs!$A:$B,2,0),Q351,1),"")</f>
        <v>D</v>
      </c>
      <c r="Q351" s="3">
        <v>116</v>
      </c>
      <c r="R351" s="3" t="str">
        <f>IFERROR(MID(VLOOKUP($B351,Seqs!$A:$B,2,0),S351,1),"")</f>
        <v>F</v>
      </c>
      <c r="S351" s="3">
        <v>119</v>
      </c>
      <c r="T351" s="3" t="str">
        <f>IFERROR(MID(VLOOKUP($B351,Seqs!$A:$B,2,0),U351,1),"")</f>
        <v>G</v>
      </c>
      <c r="U351" s="3">
        <v>120</v>
      </c>
      <c r="V351" s="3" t="str">
        <f>IFERROR(MID(VLOOKUP($B351,Seqs!$A:$B,2,0),W351,1),"")</f>
        <v>Y</v>
      </c>
      <c r="W351" s="3">
        <v>155</v>
      </c>
      <c r="X351" s="3" t="str">
        <f>IFERROR(MID(VLOOKUP($B351,Seqs!$A:$B,2,0),Y351,1),"")</f>
        <v>P</v>
      </c>
      <c r="Y351" s="3">
        <v>156</v>
      </c>
      <c r="Z351" s="3" t="str">
        <f>IFERROR(MID(VLOOKUP($B351,Seqs!$A:$B,2,0),AA351,1),"")</f>
        <v>L</v>
      </c>
      <c r="AA351" s="3">
        <v>163</v>
      </c>
      <c r="AB351" s="3" t="str">
        <f>IFERROR(MID(VLOOKUP($B351,Seqs!$A:$B,2,0),AC351,1),"")</f>
        <v>K</v>
      </c>
      <c r="AC351" s="3">
        <v>164</v>
      </c>
      <c r="AD351" s="3" t="str">
        <f>IFERROR(MID(VLOOKUP($B351,Seqs!$A:$B,2,0),AE351,1),"")</f>
        <v>S</v>
      </c>
      <c r="AE351" s="3">
        <v>190</v>
      </c>
      <c r="AF351" s="3" t="str">
        <f>IFERROR(MID(VLOOKUP($B351,Seqs!$A:$B,2,0),AG351,1),"")</f>
        <v>C</v>
      </c>
      <c r="AG351" s="3">
        <v>202</v>
      </c>
      <c r="AH351" s="3" t="str">
        <f>IFERROR(MID(VLOOKUP($B351,Seqs!$A:$B,2,0),AI351,1),"")</f>
        <v>D</v>
      </c>
      <c r="AI351" s="3">
        <v>204</v>
      </c>
      <c r="AJ351" s="3" t="str">
        <f>IFERROR(MID(VLOOKUP($B351,Seqs!$A:$B,2,0),AK351,1),"")</f>
        <v>L</v>
      </c>
      <c r="AK351" s="3">
        <v>211</v>
      </c>
      <c r="AL351" s="3" t="str">
        <f>IFERROR(MID(VLOOKUP($B351,Seqs!$A:$B,2,0),AM351,1),"")</f>
        <v>K</v>
      </c>
      <c r="AM351" s="3">
        <v>247</v>
      </c>
      <c r="AN351" s="3" t="str">
        <f>IFERROR(MID(VLOOKUP($B351,Seqs!$A:$B,2,0),AO351,1),"")</f>
        <v>P</v>
      </c>
      <c r="AO351" s="3">
        <v>253</v>
      </c>
      <c r="AP351" s="3" t="str">
        <f>IFERROR(MID(VLOOKUP($B351,Seqs!$A:$B,2,0),AQ351,1),"")</f>
        <v>D</v>
      </c>
      <c r="AQ351" s="3">
        <v>289</v>
      </c>
      <c r="AR351" s="3" t="str">
        <f>IFERROR(MID(VLOOKUP($B351,Seqs!$A:$B,2,0),AS351,1),"")</f>
        <v>M</v>
      </c>
      <c r="AS351" s="3">
        <v>295</v>
      </c>
      <c r="AT351" s="3" t="str">
        <f>IFERROR(MID(VLOOKUP($B351,Seqs!$A:$B,2,0),AU351,1),"")</f>
        <v>A</v>
      </c>
      <c r="AU351" s="3">
        <v>327</v>
      </c>
      <c r="AV351" s="3" t="str">
        <f>IFERROR(MID(VLOOKUP($B351,Seqs!$A:$B,2,0),AW351,1),"")</f>
        <v>G</v>
      </c>
      <c r="AW351" s="3">
        <v>328</v>
      </c>
      <c r="AX351" s="3" t="str">
        <f>IFERROR(MID(VLOOKUP($B351,Seqs!$A:$B,2,0),AY351,1),"")</f>
        <v>R</v>
      </c>
      <c r="AY351" s="3">
        <v>340</v>
      </c>
      <c r="AZ351" s="77" t="str">
        <f>VLOOKUP(B351,Classification!A:D,2,0)</f>
        <v>A</v>
      </c>
      <c r="BA351" s="94" t="str">
        <f>VLOOKUP(B351,Classification!A:D,4,0)</f>
        <v>P2Y</v>
      </c>
      <c r="BB351" s="27" t="b">
        <f t="shared" si="2542"/>
        <v>1</v>
      </c>
      <c r="BC351" s="23">
        <f t="shared" si="2515"/>
        <v>260</v>
      </c>
      <c r="BD351" s="56" t="s">
        <v>23</v>
      </c>
      <c r="BE351" s="3" t="s">
        <v>23</v>
      </c>
      <c r="BF351" s="118" t="s">
        <v>23</v>
      </c>
      <c r="BG351" s="49" t="s">
        <v>1372</v>
      </c>
      <c r="BH351" s="49" t="s">
        <v>1377</v>
      </c>
      <c r="BI351" s="1"/>
      <c r="BJ351" s="70" t="s">
        <v>1287</v>
      </c>
      <c r="BK351" s="57" t="s">
        <v>1287</v>
      </c>
      <c r="BL351" s="57" t="s">
        <v>1287</v>
      </c>
      <c r="BM351" s="57" t="s">
        <v>1287</v>
      </c>
      <c r="BN351" s="57" t="s">
        <v>1287</v>
      </c>
      <c r="BO351" s="57" t="s">
        <v>1287</v>
      </c>
      <c r="BP351" s="57" t="s">
        <v>1287</v>
      </c>
      <c r="BQ351" s="57" t="s">
        <v>1287</v>
      </c>
      <c r="BR351" s="57" t="s">
        <v>1287</v>
      </c>
      <c r="BS351" s="57" t="s">
        <v>1287</v>
      </c>
      <c r="BT351" s="57" t="s">
        <v>1287</v>
      </c>
      <c r="BU351" s="57" t="s">
        <v>1287</v>
      </c>
      <c r="BV351" s="70">
        <f t="shared" si="2516"/>
        <v>49</v>
      </c>
      <c r="BW351" s="71" t="str">
        <f t="shared" si="2517"/>
        <v>-</v>
      </c>
      <c r="BX351" s="72">
        <f t="shared" si="2518"/>
        <v>84</v>
      </c>
      <c r="BY351" s="71">
        <f t="shared" si="2519"/>
        <v>116</v>
      </c>
      <c r="BZ351" s="72">
        <f t="shared" si="2520"/>
        <v>120</v>
      </c>
      <c r="CA351" s="71">
        <f t="shared" si="2521"/>
        <v>156</v>
      </c>
      <c r="CB351" s="72">
        <f t="shared" si="2522"/>
        <v>164</v>
      </c>
      <c r="CC351" s="71">
        <f t="shared" si="2523"/>
        <v>202</v>
      </c>
      <c r="CD351" s="72">
        <f t="shared" si="2524"/>
        <v>211</v>
      </c>
      <c r="CE351" s="71">
        <f t="shared" si="2525"/>
        <v>253</v>
      </c>
      <c r="CF351" s="72">
        <f t="shared" si="2526"/>
        <v>295</v>
      </c>
      <c r="CG351" s="71">
        <f t="shared" si="2527"/>
        <v>328</v>
      </c>
      <c r="CH351" s="70">
        <f t="shared" si="2528"/>
        <v>79</v>
      </c>
      <c r="CI351" s="71" t="str">
        <f t="shared" si="2529"/>
        <v>-</v>
      </c>
      <c r="CJ351" s="72">
        <f t="shared" si="2530"/>
        <v>113</v>
      </c>
      <c r="CK351" s="72">
        <f t="shared" si="2531"/>
        <v>119</v>
      </c>
      <c r="CL351" s="72">
        <f t="shared" si="2532"/>
        <v>155</v>
      </c>
      <c r="CM351" s="72">
        <f t="shared" si="2533"/>
        <v>163</v>
      </c>
      <c r="CN351" s="72">
        <f t="shared" si="2534"/>
        <v>190</v>
      </c>
      <c r="CO351" s="72">
        <f t="shared" si="2535"/>
        <v>204</v>
      </c>
      <c r="CP351" s="72">
        <f t="shared" si="2536"/>
        <v>247</v>
      </c>
      <c r="CQ351" s="72">
        <f t="shared" si="2537"/>
        <v>289</v>
      </c>
      <c r="CR351" s="72">
        <f t="shared" si="2538"/>
        <v>327</v>
      </c>
      <c r="CS351" s="72">
        <f t="shared" si="2539"/>
        <v>340</v>
      </c>
      <c r="CT351" s="23" t="e">
        <f t="shared" si="2540"/>
        <v>#VALUE!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30" x14ac:dyDescent="0.2">
      <c r="A352" s="3" t="str">
        <f t="shared" si="2541"/>
        <v>p2ry1_human_4XNV</v>
      </c>
      <c r="B352" s="3" t="s">
        <v>345</v>
      </c>
      <c r="C352" s="3" t="s">
        <v>1151</v>
      </c>
      <c r="D352" s="3" t="str">
        <f>IFERROR(MID(VLOOKUP($B352,Seqs!$A:$B,2,0),E352,1),"")</f>
        <v>F</v>
      </c>
      <c r="E352" s="3">
        <v>49</v>
      </c>
      <c r="F352" s="3" t="str">
        <f>IFERROR(MID(VLOOKUP($B352,Seqs!$A:$B,2,0),G352,1),"")</f>
        <v>H</v>
      </c>
      <c r="G352" s="3">
        <v>79</v>
      </c>
      <c r="H352" s="3" t="str">
        <f>IFERROR(MID(VLOOKUP($B352,Seqs!$A:$B,2,0),I352,1),"")</f>
        <v/>
      </c>
      <c r="I352" s="23" t="s">
        <v>23</v>
      </c>
      <c r="J352" s="3" t="str">
        <f>IFERROR(MID(VLOOKUP($B352,Seqs!$A:$B,2,0),K352,1),"")</f>
        <v/>
      </c>
      <c r="K352" s="23" t="s">
        <v>23</v>
      </c>
      <c r="L352" s="3" t="str">
        <f>IFERROR(MID(VLOOKUP($B352,Seqs!$A:$B,2,0),M352,1),"")</f>
        <v>S</v>
      </c>
      <c r="M352" s="3">
        <v>84</v>
      </c>
      <c r="N352" s="3" t="str">
        <f>IFERROR(MID(VLOOKUP($B352,Seqs!$A:$B,2,0),O352,1),"")</f>
        <v>N</v>
      </c>
      <c r="O352" s="3">
        <v>113</v>
      </c>
      <c r="P352" s="3" t="str">
        <f>IFERROR(MID(VLOOKUP($B352,Seqs!$A:$B,2,0),Q352,1),"")</f>
        <v>D</v>
      </c>
      <c r="Q352" s="3">
        <v>116</v>
      </c>
      <c r="R352" s="3" t="str">
        <f>IFERROR(MID(VLOOKUP($B352,Seqs!$A:$B,2,0),S352,1),"")</f>
        <v>F</v>
      </c>
      <c r="S352" s="3">
        <v>119</v>
      </c>
      <c r="T352" s="3" t="str">
        <f>IFERROR(MID(VLOOKUP($B352,Seqs!$A:$B,2,0),U352,1),"")</f>
        <v>G</v>
      </c>
      <c r="U352" s="3">
        <v>120</v>
      </c>
      <c r="V352" s="3" t="str">
        <f>IFERROR(MID(VLOOKUP($B352,Seqs!$A:$B,2,0),W352,1),"")</f>
        <v>Y</v>
      </c>
      <c r="W352" s="3">
        <v>155</v>
      </c>
      <c r="X352" s="3" t="str">
        <f>IFERROR(MID(VLOOKUP($B352,Seqs!$A:$B,2,0),Y352,1),"")</f>
        <v/>
      </c>
      <c r="Y352" s="3" t="s">
        <v>23</v>
      </c>
      <c r="Z352" s="3" t="str">
        <f>IFERROR(MID(VLOOKUP($B352,Seqs!$A:$B,2,0),AA352,1),"")</f>
        <v/>
      </c>
      <c r="AA352" s="3" t="s">
        <v>23</v>
      </c>
      <c r="AB352" s="3" t="str">
        <f>IFERROR(MID(VLOOKUP($B352,Seqs!$A:$B,2,0),AC352,1),"")</f>
        <v>G</v>
      </c>
      <c r="AC352" s="9">
        <v>161</v>
      </c>
      <c r="AD352" s="3" t="str">
        <f>IFERROR(MID(VLOOKUP($B352,Seqs!$A:$B,2,0),AE352,1),"")</f>
        <v>S</v>
      </c>
      <c r="AE352" s="3">
        <v>190</v>
      </c>
      <c r="AF352" s="3" t="str">
        <f>IFERROR(MID(VLOOKUP($B352,Seqs!$A:$B,2,0),AG352,1),"")</f>
        <v>C</v>
      </c>
      <c r="AG352" s="3">
        <v>202</v>
      </c>
      <c r="AH352" s="3" t="str">
        <f>IFERROR(MID(VLOOKUP($B352,Seqs!$A:$B,2,0),AI352,1),"")</f>
        <v>D</v>
      </c>
      <c r="AI352" s="3">
        <v>204</v>
      </c>
      <c r="AJ352" s="3" t="str">
        <f>IFERROR(MID(VLOOKUP($B352,Seqs!$A:$B,2,0),AK352,1),"")</f>
        <v>L</v>
      </c>
      <c r="AK352" s="3">
        <v>211</v>
      </c>
      <c r="AL352" s="3" t="str">
        <f>IFERROR(MID(VLOOKUP($B352,Seqs!$A:$B,2,0),AM352,1),"")</f>
        <v>K</v>
      </c>
      <c r="AM352" s="3">
        <v>247</v>
      </c>
      <c r="AN352" s="3" t="str">
        <f>IFERROR(MID(VLOOKUP($B352,Seqs!$A:$B,2,0),AO352,1),"")</f>
        <v>P</v>
      </c>
      <c r="AO352" s="3">
        <v>253</v>
      </c>
      <c r="AP352" s="3" t="str">
        <f>IFERROR(MID(VLOOKUP($B352,Seqs!$A:$B,2,0),AQ352,1),"")</f>
        <v>D</v>
      </c>
      <c r="AQ352" s="3">
        <v>289</v>
      </c>
      <c r="AR352" s="3" t="str">
        <f>IFERROR(MID(VLOOKUP($B352,Seqs!$A:$B,2,0),AS352,1),"")</f>
        <v>M</v>
      </c>
      <c r="AS352" s="3">
        <v>295</v>
      </c>
      <c r="AT352" s="3" t="str">
        <f>IFERROR(MID(VLOOKUP($B352,Seqs!$A:$B,2,0),AU352,1),"")</f>
        <v>L</v>
      </c>
      <c r="AU352" s="3">
        <v>326</v>
      </c>
      <c r="AV352" s="3" t="str">
        <f>IFERROR(MID(VLOOKUP($B352,Seqs!$A:$B,2,0),AW352,1),"")</f>
        <v/>
      </c>
      <c r="AW352" s="3" t="s">
        <v>23</v>
      </c>
      <c r="AX352" s="3" t="str">
        <f>IFERROR(MID(VLOOKUP($B352,Seqs!$A:$B,2,0),AY352,1),"")</f>
        <v/>
      </c>
      <c r="AY352" s="3" t="s">
        <v>23</v>
      </c>
      <c r="AZ352" s="77" t="str">
        <f>VLOOKUP(B352,Classification!A:D,2,0)</f>
        <v>A</v>
      </c>
      <c r="BA352" s="94" t="str">
        <f>VLOOKUP(B352,Classification!A:D,4,0)</f>
        <v>P2Y</v>
      </c>
      <c r="BB352" s="27" t="b">
        <f t="shared" si="2542"/>
        <v>1</v>
      </c>
      <c r="BC352" s="23">
        <f t="shared" si="2515"/>
        <v>243</v>
      </c>
      <c r="BD352" s="4" t="s">
        <v>23</v>
      </c>
      <c r="BE352" s="3" t="s">
        <v>1428</v>
      </c>
      <c r="BF352" s="118">
        <v>2.2000000000000002</v>
      </c>
      <c r="BG352" s="49" t="s">
        <v>1377</v>
      </c>
      <c r="BH352" s="49" t="s">
        <v>1377</v>
      </c>
      <c r="BI352" s="3" t="s">
        <v>1168</v>
      </c>
      <c r="BJ352" s="70" t="s">
        <v>1287</v>
      </c>
      <c r="BK352" s="57" t="s">
        <v>1287</v>
      </c>
      <c r="BL352" s="57" t="s">
        <v>1287</v>
      </c>
      <c r="BM352" s="57" t="s">
        <v>1287</v>
      </c>
      <c r="BN352" s="57" t="s">
        <v>1287</v>
      </c>
      <c r="BO352" s="57" t="s">
        <v>1287</v>
      </c>
      <c r="BP352" s="57" t="s">
        <v>1287</v>
      </c>
      <c r="BQ352" s="57" t="s">
        <v>1287</v>
      </c>
      <c r="BR352" s="57" t="s">
        <v>1287</v>
      </c>
      <c r="BS352" s="57" t="s">
        <v>1287</v>
      </c>
      <c r="BT352" s="57" t="s">
        <v>1287</v>
      </c>
      <c r="BU352" s="57" t="s">
        <v>1287</v>
      </c>
      <c r="BV352" s="70">
        <f t="shared" si="2516"/>
        <v>49</v>
      </c>
      <c r="BW352" s="71" t="str">
        <f t="shared" si="2517"/>
        <v>-</v>
      </c>
      <c r="BX352" s="72">
        <f t="shared" si="2518"/>
        <v>84</v>
      </c>
      <c r="BY352" s="71">
        <f t="shared" si="2519"/>
        <v>116</v>
      </c>
      <c r="BZ352" s="72">
        <f t="shared" si="2520"/>
        <v>120</v>
      </c>
      <c r="CA352" s="71" t="str">
        <f t="shared" si="2521"/>
        <v>-</v>
      </c>
      <c r="CB352" s="72">
        <f t="shared" si="2522"/>
        <v>161</v>
      </c>
      <c r="CC352" s="71">
        <f t="shared" si="2523"/>
        <v>202</v>
      </c>
      <c r="CD352" s="72">
        <f t="shared" si="2524"/>
        <v>211</v>
      </c>
      <c r="CE352" s="71">
        <f t="shared" si="2525"/>
        <v>253</v>
      </c>
      <c r="CF352" s="72">
        <f t="shared" si="2526"/>
        <v>295</v>
      </c>
      <c r="CG352" s="71" t="str">
        <f t="shared" si="2527"/>
        <v>-</v>
      </c>
      <c r="CH352" s="70">
        <f t="shared" si="2528"/>
        <v>79</v>
      </c>
      <c r="CI352" s="71" t="str">
        <f t="shared" si="2529"/>
        <v>-</v>
      </c>
      <c r="CJ352" s="72">
        <f t="shared" si="2530"/>
        <v>113</v>
      </c>
      <c r="CK352" s="72">
        <f t="shared" si="2531"/>
        <v>119</v>
      </c>
      <c r="CL352" s="72">
        <f t="shared" si="2532"/>
        <v>155</v>
      </c>
      <c r="CM352" s="72" t="str">
        <f t="shared" si="2533"/>
        <v>-</v>
      </c>
      <c r="CN352" s="72">
        <f t="shared" si="2534"/>
        <v>190</v>
      </c>
      <c r="CO352" s="72">
        <f t="shared" si="2535"/>
        <v>204</v>
      </c>
      <c r="CP352" s="72">
        <f t="shared" si="2536"/>
        <v>247</v>
      </c>
      <c r="CQ352" s="72">
        <f t="shared" si="2537"/>
        <v>289</v>
      </c>
      <c r="CR352" s="72">
        <f t="shared" si="2538"/>
        <v>326</v>
      </c>
      <c r="CS352" s="72" t="str">
        <f t="shared" si="2539"/>
        <v>-</v>
      </c>
      <c r="CT352" s="23" t="e">
        <f t="shared" si="2540"/>
        <v>#VALUE!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29" x14ac:dyDescent="0.2">
      <c r="A353" s="3" t="str">
        <f t="shared" si="2541"/>
        <v>p2ry1_human_4XNW</v>
      </c>
      <c r="B353" s="3" t="s">
        <v>345</v>
      </c>
      <c r="C353" s="3" t="s">
        <v>1055</v>
      </c>
      <c r="D353" s="3" t="str">
        <f>IFERROR(MID(VLOOKUP($B353,Seqs!$A:$B,2,0),E353,1),"")</f>
        <v>F</v>
      </c>
      <c r="E353" s="3">
        <v>49</v>
      </c>
      <c r="F353" s="3" t="str">
        <f>IFERROR(MID(VLOOKUP($B353,Seqs!$A:$B,2,0),G353,1),"")</f>
        <v>H</v>
      </c>
      <c r="G353" s="3">
        <v>79</v>
      </c>
      <c r="H353" s="3" t="str">
        <f>IFERROR(MID(VLOOKUP($B353,Seqs!$A:$B,2,0),I353,1),"")</f>
        <v/>
      </c>
      <c r="I353" s="23" t="s">
        <v>23</v>
      </c>
      <c r="J353" s="3" t="str">
        <f>IFERROR(MID(VLOOKUP($B353,Seqs!$A:$B,2,0),K353,1),"")</f>
        <v/>
      </c>
      <c r="K353" s="23" t="s">
        <v>23</v>
      </c>
      <c r="L353" s="3" t="str">
        <f>IFERROR(MID(VLOOKUP($B353,Seqs!$A:$B,2,0),M353,1),"")</f>
        <v>S</v>
      </c>
      <c r="M353" s="3">
        <v>84</v>
      </c>
      <c r="N353" s="3" t="str">
        <f>IFERROR(MID(VLOOKUP($B353,Seqs!$A:$B,2,0),O353,1),"")</f>
        <v>N</v>
      </c>
      <c r="O353" s="3">
        <v>113</v>
      </c>
      <c r="P353" s="3" t="str">
        <f>IFERROR(MID(VLOOKUP($B353,Seqs!$A:$B,2,0),Q353,1),"")</f>
        <v>D</v>
      </c>
      <c r="Q353" s="3">
        <v>116</v>
      </c>
      <c r="R353" s="3" t="str">
        <f>IFERROR(MID(VLOOKUP($B353,Seqs!$A:$B,2,0),S353,1),"")</f>
        <v>F</v>
      </c>
      <c r="S353" s="3">
        <v>119</v>
      </c>
      <c r="T353" s="3" t="str">
        <f>IFERROR(MID(VLOOKUP($B353,Seqs!$A:$B,2,0),U353,1),"")</f>
        <v>G</v>
      </c>
      <c r="U353" s="3">
        <v>120</v>
      </c>
      <c r="V353" s="3" t="str">
        <f>IFERROR(MID(VLOOKUP($B353,Seqs!$A:$B,2,0),W353,1),"")</f>
        <v>Y</v>
      </c>
      <c r="W353" s="3">
        <v>155</v>
      </c>
      <c r="X353" s="3" t="str">
        <f>IFERROR(MID(VLOOKUP($B353,Seqs!$A:$B,2,0),Y353,1),"")</f>
        <v>P</v>
      </c>
      <c r="Y353" s="3">
        <v>156</v>
      </c>
      <c r="Z353" s="3" t="str">
        <f>IFERROR(MID(VLOOKUP($B353,Seqs!$A:$B,2,0),AA353,1),"")</f>
        <v>L</v>
      </c>
      <c r="AA353" s="3">
        <v>163</v>
      </c>
      <c r="AB353" s="3" t="str">
        <f>IFERROR(MID(VLOOKUP($B353,Seqs!$A:$B,2,0),AC353,1),"")</f>
        <v>K</v>
      </c>
      <c r="AC353" s="9">
        <v>164</v>
      </c>
      <c r="AD353" s="3" t="str">
        <f>IFERROR(MID(VLOOKUP($B353,Seqs!$A:$B,2,0),AE353,1),"")</f>
        <v>S</v>
      </c>
      <c r="AE353" s="3">
        <v>190</v>
      </c>
      <c r="AF353" s="3" t="str">
        <f>IFERROR(MID(VLOOKUP($B353,Seqs!$A:$B,2,0),AG353,1),"")</f>
        <v>C</v>
      </c>
      <c r="AG353" s="3">
        <v>202</v>
      </c>
      <c r="AH353" s="3" t="str">
        <f>IFERROR(MID(VLOOKUP($B353,Seqs!$A:$B,2,0),AI353,1),"")</f>
        <v>D</v>
      </c>
      <c r="AI353" s="3">
        <v>204</v>
      </c>
      <c r="AJ353" s="3" t="str">
        <f>IFERROR(MID(VLOOKUP($B353,Seqs!$A:$B,2,0),AK353,1),"")</f>
        <v>L</v>
      </c>
      <c r="AK353" s="3">
        <v>211</v>
      </c>
      <c r="AL353" s="3" t="str">
        <f>IFERROR(MID(VLOOKUP($B353,Seqs!$A:$B,2,0),AM353,1),"")</f>
        <v>K</v>
      </c>
      <c r="AM353" s="3">
        <v>247</v>
      </c>
      <c r="AN353" s="3" t="str">
        <f>IFERROR(MID(VLOOKUP($B353,Seqs!$A:$B,2,0),AO353,1),"")</f>
        <v>P</v>
      </c>
      <c r="AO353" s="3">
        <v>253</v>
      </c>
      <c r="AP353" s="3" t="str">
        <f>IFERROR(MID(VLOOKUP($B353,Seqs!$A:$B,2,0),AQ353,1),"")</f>
        <v>D</v>
      </c>
      <c r="AQ353" s="3">
        <v>289</v>
      </c>
      <c r="AR353" s="3" t="str">
        <f>IFERROR(MID(VLOOKUP($B353,Seqs!$A:$B,2,0),AS353,1),"")</f>
        <v>M</v>
      </c>
      <c r="AS353" s="3">
        <v>295</v>
      </c>
      <c r="AT353" s="3" t="str">
        <f>IFERROR(MID(VLOOKUP($B353,Seqs!$A:$B,2,0),AU353,1),"")</f>
        <v>L</v>
      </c>
      <c r="AU353" s="3">
        <v>326</v>
      </c>
      <c r="AV353" s="3" t="str">
        <f>IFERROR(MID(VLOOKUP($B353,Seqs!$A:$B,2,0),AW353,1),"")</f>
        <v/>
      </c>
      <c r="AW353" s="3" t="s">
        <v>23</v>
      </c>
      <c r="AX353" s="3" t="str">
        <f>IFERROR(MID(VLOOKUP($B353,Seqs!$A:$B,2,0),AY353,1),"")</f>
        <v/>
      </c>
      <c r="AY353" s="3" t="s">
        <v>23</v>
      </c>
      <c r="AZ353" s="77" t="str">
        <f>VLOOKUP(B353,Classification!A:D,2,0)</f>
        <v>A</v>
      </c>
      <c r="BA353" s="94" t="str">
        <f>VLOOKUP(B353,Classification!A:D,4,0)</f>
        <v>P2Y</v>
      </c>
      <c r="BB353" s="27" t="b">
        <f t="shared" si="2542"/>
        <v>1</v>
      </c>
      <c r="BC353" s="23">
        <f t="shared" si="2515"/>
        <v>247</v>
      </c>
      <c r="BD353" s="2" t="s">
        <v>1429</v>
      </c>
      <c r="BE353" s="3" t="s">
        <v>1428</v>
      </c>
      <c r="BF353" s="118">
        <v>2.7</v>
      </c>
      <c r="BG353" s="49" t="s">
        <v>1377</v>
      </c>
      <c r="BH353" s="49" t="s">
        <v>1377</v>
      </c>
      <c r="BI353" s="1"/>
      <c r="BJ353" s="70" t="s">
        <v>1287</v>
      </c>
      <c r="BK353" s="57" t="s">
        <v>1287</v>
      </c>
      <c r="BL353" s="57" t="s">
        <v>1287</v>
      </c>
      <c r="BM353" s="57" t="s">
        <v>1287</v>
      </c>
      <c r="BN353" s="57" t="s">
        <v>1287</v>
      </c>
      <c r="BO353" s="57" t="s">
        <v>1287</v>
      </c>
      <c r="BP353" s="57" t="s">
        <v>1287</v>
      </c>
      <c r="BQ353" s="57" t="s">
        <v>1287</v>
      </c>
      <c r="BR353" s="57" t="s">
        <v>1287</v>
      </c>
      <c r="BS353" s="57" t="s">
        <v>1287</v>
      </c>
      <c r="BT353" s="57" t="s">
        <v>1287</v>
      </c>
      <c r="BU353" s="57" t="s">
        <v>1287</v>
      </c>
      <c r="BV353" s="70">
        <f t="shared" si="2516"/>
        <v>49</v>
      </c>
      <c r="BW353" s="71" t="str">
        <f t="shared" si="2517"/>
        <v>-</v>
      </c>
      <c r="BX353" s="72">
        <f t="shared" si="2518"/>
        <v>84</v>
      </c>
      <c r="BY353" s="71">
        <f t="shared" si="2519"/>
        <v>116</v>
      </c>
      <c r="BZ353" s="72">
        <f t="shared" si="2520"/>
        <v>120</v>
      </c>
      <c r="CA353" s="71">
        <f t="shared" si="2521"/>
        <v>156</v>
      </c>
      <c r="CB353" s="72">
        <f t="shared" si="2522"/>
        <v>164</v>
      </c>
      <c r="CC353" s="71">
        <f t="shared" si="2523"/>
        <v>202</v>
      </c>
      <c r="CD353" s="72">
        <f t="shared" si="2524"/>
        <v>211</v>
      </c>
      <c r="CE353" s="71">
        <f t="shared" si="2525"/>
        <v>253</v>
      </c>
      <c r="CF353" s="72">
        <f t="shared" si="2526"/>
        <v>295</v>
      </c>
      <c r="CG353" s="71" t="str">
        <f t="shared" si="2527"/>
        <v>-</v>
      </c>
      <c r="CH353" s="70">
        <f t="shared" si="2528"/>
        <v>79</v>
      </c>
      <c r="CI353" s="71" t="str">
        <f t="shared" si="2529"/>
        <v>-</v>
      </c>
      <c r="CJ353" s="72">
        <f t="shared" si="2530"/>
        <v>113</v>
      </c>
      <c r="CK353" s="72">
        <f t="shared" si="2531"/>
        <v>119</v>
      </c>
      <c r="CL353" s="72">
        <f t="shared" si="2532"/>
        <v>155</v>
      </c>
      <c r="CM353" s="72">
        <f t="shared" si="2533"/>
        <v>163</v>
      </c>
      <c r="CN353" s="72">
        <f t="shared" si="2534"/>
        <v>190</v>
      </c>
      <c r="CO353" s="72">
        <f t="shared" si="2535"/>
        <v>204</v>
      </c>
      <c r="CP353" s="72">
        <f t="shared" si="2536"/>
        <v>247</v>
      </c>
      <c r="CQ353" s="72">
        <f t="shared" si="2537"/>
        <v>289</v>
      </c>
      <c r="CR353" s="72">
        <f t="shared" si="2538"/>
        <v>326</v>
      </c>
      <c r="CS353" s="72" t="str">
        <f t="shared" si="2539"/>
        <v>-</v>
      </c>
      <c r="CT353" s="23" t="e">
        <f t="shared" si="2540"/>
        <v>#VALUE!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29" x14ac:dyDescent="0.2">
      <c r="A354" s="3" t="str">
        <f t="shared" si="2541"/>
        <v>p2y12_human__wt</v>
      </c>
      <c r="B354" s="3" t="s">
        <v>352</v>
      </c>
      <c r="C354" s="3" t="s">
        <v>100</v>
      </c>
      <c r="D354" s="3" t="str">
        <f>IFERROR(MID(VLOOKUP($B354,Seqs!$A:$B,2,0),E354,1),"")</f>
        <v>Y</v>
      </c>
      <c r="E354" s="3">
        <v>21</v>
      </c>
      <c r="F354" s="3" t="str">
        <f>IFERROR(MID(VLOOKUP($B354,Seqs!$A:$B,2,0),G354,1),"")</f>
        <v>I</v>
      </c>
      <c r="G354" s="3">
        <v>53</v>
      </c>
      <c r="H354" s="3" t="str">
        <f>IFERROR(MID(VLOOKUP($B354,Seqs!$A:$B,2,0),I354,1),"")</f>
        <v/>
      </c>
      <c r="I354" s="23" t="s">
        <v>23</v>
      </c>
      <c r="J354" s="3" t="str">
        <f>IFERROR(MID(VLOOKUP($B354,Seqs!$A:$B,2,0),K354,1),"")</f>
        <v/>
      </c>
      <c r="K354" s="23" t="s">
        <v>23</v>
      </c>
      <c r="L354" s="3" t="str">
        <f>IFERROR(MID(VLOOKUP($B354,Seqs!$A:$B,2,0),M354,1),"")</f>
        <v>S</v>
      </c>
      <c r="M354" s="3">
        <v>57</v>
      </c>
      <c r="N354" s="3" t="str">
        <f>IFERROR(MID(VLOOKUP($B354,Seqs!$A:$B,2,0),O354,1),"")</f>
        <v>K</v>
      </c>
      <c r="O354" s="3">
        <v>86</v>
      </c>
      <c r="P354" s="3" t="str">
        <f>IFERROR(MID(VLOOKUP($B354,Seqs!$A:$B,2,0),Q354,1),"")</f>
        <v/>
      </c>
      <c r="Q354" s="3" t="s">
        <v>23</v>
      </c>
      <c r="R354" s="3" t="str">
        <f>IFERROR(MID(VLOOKUP($B354,Seqs!$A:$B,2,0),S354,1),"")</f>
        <v/>
      </c>
      <c r="S354" s="3" t="s">
        <v>23</v>
      </c>
      <c r="T354" s="3" t="str">
        <f>IFERROR(MID(VLOOKUP($B354,Seqs!$A:$B,2,0),U354,1),"")</f>
        <v>G</v>
      </c>
      <c r="U354" s="3">
        <v>90</v>
      </c>
      <c r="V354" s="3" t="str">
        <f>IFERROR(MID(VLOOKUP($B354,Seqs!$A:$B,2,0),W354,1),"")</f>
        <v>R</v>
      </c>
      <c r="W354" s="3">
        <v>128</v>
      </c>
      <c r="X354" s="3" t="str">
        <f>IFERROR(MID(VLOOKUP($B354,Seqs!$A:$B,2,0),Y354,1),"")</f>
        <v>P</v>
      </c>
      <c r="Y354" s="3">
        <v>129</v>
      </c>
      <c r="Z354" s="3" t="str">
        <f>IFERROR(MID(VLOOKUP($B354,Seqs!$A:$B,2,0),AA354,1),"")</f>
        <v>K</v>
      </c>
      <c r="AA354" s="73">
        <v>136</v>
      </c>
      <c r="AB354" s="3" t="str">
        <f>IFERROR(MID(VLOOKUP($B354,Seqs!$A:$B,2,0),AC354,1),"")</f>
        <v>N</v>
      </c>
      <c r="AC354" s="9">
        <v>137</v>
      </c>
      <c r="AD354" s="3" t="str">
        <f>IFERROR(MID(VLOOKUP($B354,Seqs!$A:$B,2,0),AE354,1),"")</f>
        <v>T</v>
      </c>
      <c r="AE354" s="3">
        <v>163</v>
      </c>
      <c r="AF354" s="3" t="str">
        <f>IFERROR(MID(VLOOKUP($B354,Seqs!$A:$B,2,0),AG354,1),"")</f>
        <v>C</v>
      </c>
      <c r="AG354" s="3">
        <v>175</v>
      </c>
      <c r="AH354" s="3" t="str">
        <f>IFERROR(MID(VLOOKUP($B354,Seqs!$A:$B,2,0),AI354,1),"")</f>
        <v>F</v>
      </c>
      <c r="AI354" s="3">
        <v>177</v>
      </c>
      <c r="AJ354" s="3" t="str">
        <f>IFERROR(MID(VLOOKUP($B354,Seqs!$A:$B,2,0),AK354,1),"")</f>
        <v>E</v>
      </c>
      <c r="AK354" s="3">
        <v>181</v>
      </c>
      <c r="AL354" s="3" t="str">
        <f>IFERROR(MID(VLOOKUP($B354,Seqs!$A:$B,2,0),AM354,1),"")</f>
        <v>T</v>
      </c>
      <c r="AM354" s="3">
        <v>223</v>
      </c>
      <c r="AN354" s="3" t="str">
        <f>IFERROR(MID(VLOOKUP($B354,Seqs!$A:$B,2,0),AO354,1),"")</f>
        <v>P</v>
      </c>
      <c r="AO354" s="3">
        <v>230</v>
      </c>
      <c r="AP354" s="3" t="str">
        <f>IFERROR(MID(VLOOKUP($B354,Seqs!$A:$B,2,0),AQ354,1),"")</f>
        <v>R</v>
      </c>
      <c r="AQ354" s="3">
        <v>265</v>
      </c>
      <c r="AR354" s="3" t="str">
        <f>IFERROR(MID(VLOOKUP($B354,Seqs!$A:$B,2,0),AS354,1),"")</f>
        <v>D</v>
      </c>
      <c r="AS354" s="3">
        <v>269</v>
      </c>
      <c r="AT354" s="3" t="str">
        <f>IFERROR(MID(VLOOKUP($B354,Seqs!$A:$B,2,0),AU354,1),"")</f>
        <v>L</v>
      </c>
      <c r="AU354" s="3">
        <v>301</v>
      </c>
      <c r="AV354" s="3" t="str">
        <f>IFERROR(MID(VLOOKUP($B354,Seqs!$A:$B,2,0),AW354,1),"")</f>
        <v>C</v>
      </c>
      <c r="AW354" s="3">
        <v>302</v>
      </c>
      <c r="AX354" s="3" t="str">
        <f>IFERROR(MID(VLOOKUP($B354,Seqs!$A:$B,2,0),AY354,1),"")</f>
        <v>M</v>
      </c>
      <c r="AY354" s="3">
        <v>312</v>
      </c>
      <c r="AZ354" s="77" t="str">
        <f>VLOOKUP(B354,Classification!A:D,2,0)</f>
        <v>A</v>
      </c>
      <c r="BA354" s="94" t="str">
        <f>VLOOKUP(B354,Classification!A:D,4,0)</f>
        <v>P2Y</v>
      </c>
      <c r="BB354" s="27" t="b">
        <f t="shared" si="2542"/>
        <v>1</v>
      </c>
      <c r="BC354" s="23">
        <f t="shared" si="2515"/>
        <v>265</v>
      </c>
      <c r="BD354" s="56" t="s">
        <v>23</v>
      </c>
      <c r="BE354" s="3" t="s">
        <v>23</v>
      </c>
      <c r="BF354" s="118" t="s">
        <v>23</v>
      </c>
      <c r="BG354" s="49" t="s">
        <v>1372</v>
      </c>
      <c r="BH354" s="49" t="s">
        <v>1377</v>
      </c>
      <c r="BI354" s="1"/>
      <c r="BJ354" s="70" t="s">
        <v>1287</v>
      </c>
      <c r="BK354" s="57" t="s">
        <v>1287</v>
      </c>
      <c r="BL354" s="57" t="s">
        <v>1287</v>
      </c>
      <c r="BM354" s="57" t="s">
        <v>1287</v>
      </c>
      <c r="BN354" s="57" t="s">
        <v>1287</v>
      </c>
      <c r="BO354" s="57" t="s">
        <v>1287</v>
      </c>
      <c r="BP354" s="57" t="s">
        <v>1287</v>
      </c>
      <c r="BQ354" s="57" t="s">
        <v>1287</v>
      </c>
      <c r="BR354" s="57" t="s">
        <v>1287</v>
      </c>
      <c r="BS354" s="57" t="s">
        <v>1287</v>
      </c>
      <c r="BT354" s="57" t="s">
        <v>1287</v>
      </c>
      <c r="BU354" s="57" t="s">
        <v>1287</v>
      </c>
      <c r="BV354" s="70">
        <f t="shared" si="2516"/>
        <v>21</v>
      </c>
      <c r="BW354" s="71" t="str">
        <f t="shared" si="2517"/>
        <v>-</v>
      </c>
      <c r="BX354" s="72">
        <f t="shared" si="2518"/>
        <v>57</v>
      </c>
      <c r="BY354" s="71" t="str">
        <f t="shared" si="2519"/>
        <v>-</v>
      </c>
      <c r="BZ354" s="72">
        <f t="shared" si="2520"/>
        <v>90</v>
      </c>
      <c r="CA354" s="71">
        <f t="shared" si="2521"/>
        <v>129</v>
      </c>
      <c r="CB354" s="72">
        <f t="shared" si="2522"/>
        <v>137</v>
      </c>
      <c r="CC354" s="71">
        <f t="shared" si="2523"/>
        <v>175</v>
      </c>
      <c r="CD354" s="72">
        <f t="shared" si="2524"/>
        <v>181</v>
      </c>
      <c r="CE354" s="71">
        <f t="shared" si="2525"/>
        <v>230</v>
      </c>
      <c r="CF354" s="72">
        <f t="shared" si="2526"/>
        <v>269</v>
      </c>
      <c r="CG354" s="71">
        <f t="shared" si="2527"/>
        <v>302</v>
      </c>
      <c r="CH354" s="70">
        <f t="shared" si="2528"/>
        <v>53</v>
      </c>
      <c r="CI354" s="71" t="str">
        <f t="shared" si="2529"/>
        <v>-</v>
      </c>
      <c r="CJ354" s="72">
        <f t="shared" si="2530"/>
        <v>86</v>
      </c>
      <c r="CK354" s="72" t="str">
        <f t="shared" si="2531"/>
        <v>-</v>
      </c>
      <c r="CL354" s="72">
        <f t="shared" si="2532"/>
        <v>128</v>
      </c>
      <c r="CM354" s="72">
        <f t="shared" si="2533"/>
        <v>136</v>
      </c>
      <c r="CN354" s="72">
        <f t="shared" si="2534"/>
        <v>163</v>
      </c>
      <c r="CO354" s="72">
        <f t="shared" si="2535"/>
        <v>177</v>
      </c>
      <c r="CP354" s="72">
        <f t="shared" si="2536"/>
        <v>223</v>
      </c>
      <c r="CQ354" s="72">
        <f t="shared" si="2537"/>
        <v>265</v>
      </c>
      <c r="CR354" s="72">
        <f t="shared" si="2538"/>
        <v>301</v>
      </c>
      <c r="CS354" s="72">
        <f t="shared" si="2539"/>
        <v>312</v>
      </c>
      <c r="CT354" s="23" t="e">
        <f t="shared" si="2540"/>
        <v>#VALUE!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29" x14ac:dyDescent="0.2">
      <c r="A355" s="3" t="str">
        <f t="shared" si="2541"/>
        <v>p2y12_human_4NTJ</v>
      </c>
      <c r="B355" s="3" t="s">
        <v>352</v>
      </c>
      <c r="C355" s="3" t="s">
        <v>1048</v>
      </c>
      <c r="D355" s="3" t="str">
        <f>IFERROR(MID(VLOOKUP($B355,Seqs!$A:$B,2,0),E355,1),"")</f>
        <v>Y</v>
      </c>
      <c r="E355" s="3">
        <v>21</v>
      </c>
      <c r="F355" s="3" t="str">
        <f>IFERROR(MID(VLOOKUP($B355,Seqs!$A:$B,2,0),G355,1),"")</f>
        <v>I</v>
      </c>
      <c r="G355" s="3">
        <v>53</v>
      </c>
      <c r="H355" s="3" t="str">
        <f>IFERROR(MID(VLOOKUP($B355,Seqs!$A:$B,2,0),I355,1),"")</f>
        <v/>
      </c>
      <c r="I355" s="23" t="s">
        <v>23</v>
      </c>
      <c r="J355" s="3" t="str">
        <f>IFERROR(MID(VLOOKUP($B355,Seqs!$A:$B,2,0),K355,1),"")</f>
        <v/>
      </c>
      <c r="K355" s="23" t="s">
        <v>23</v>
      </c>
      <c r="L355" s="3" t="str">
        <f>IFERROR(MID(VLOOKUP($B355,Seqs!$A:$B,2,0),M355,1),"")</f>
        <v>S</v>
      </c>
      <c r="M355" s="3">
        <v>57</v>
      </c>
      <c r="N355" s="3" t="str">
        <f>IFERROR(MID(VLOOKUP($B355,Seqs!$A:$B,2,0),O355,1),"")</f>
        <v>K</v>
      </c>
      <c r="O355" s="3">
        <v>86</v>
      </c>
      <c r="P355" s="3" t="str">
        <f>IFERROR(MID(VLOOKUP($B355,Seqs!$A:$B,2,0),Q355,1),"")</f>
        <v/>
      </c>
      <c r="Q355" s="3" t="s">
        <v>23</v>
      </c>
      <c r="R355" s="3" t="str">
        <f>IFERROR(MID(VLOOKUP($B355,Seqs!$A:$B,2,0),S355,1),"")</f>
        <v/>
      </c>
      <c r="S355" s="3" t="s">
        <v>23</v>
      </c>
      <c r="T355" s="3" t="str">
        <f>IFERROR(MID(VLOOKUP($B355,Seqs!$A:$B,2,0),U355,1),"")</f>
        <v>L</v>
      </c>
      <c r="U355" s="3">
        <v>92</v>
      </c>
      <c r="V355" s="3" t="str">
        <f>IFERROR(MID(VLOOKUP($B355,Seqs!$A:$B,2,0),W355,1),"")</f>
        <v>R</v>
      </c>
      <c r="W355" s="3">
        <v>128</v>
      </c>
      <c r="X355" s="3" t="str">
        <f>IFERROR(MID(VLOOKUP($B355,Seqs!$A:$B,2,0),Y355,1),"")</f>
        <v/>
      </c>
      <c r="Y355" s="3" t="s">
        <v>23</v>
      </c>
      <c r="Z355" s="3" t="str">
        <f>IFERROR(MID(VLOOKUP($B355,Seqs!$A:$B,2,0),AA355,1),"")</f>
        <v/>
      </c>
      <c r="AA355" s="3" t="s">
        <v>23</v>
      </c>
      <c r="AB355" s="3" t="str">
        <f>IFERROR(MID(VLOOKUP($B355,Seqs!$A:$B,2,0),AC355,1),"")</f>
        <v>N</v>
      </c>
      <c r="AC355" s="9">
        <v>137</v>
      </c>
      <c r="AD355" s="3" t="str">
        <f>IFERROR(MID(VLOOKUP($B355,Seqs!$A:$B,2,0),AE355,1),"")</f>
        <v>L</v>
      </c>
      <c r="AE355" s="3">
        <v>162</v>
      </c>
      <c r="AF355" s="3" t="str">
        <f>IFERROR(MID(VLOOKUP($B355,Seqs!$A:$B,2,0),AG355,1),"")</f>
        <v>C</v>
      </c>
      <c r="AG355" s="3">
        <v>175</v>
      </c>
      <c r="AH355" s="3" t="str">
        <f>IFERROR(MID(VLOOKUP($B355,Seqs!$A:$B,2,0),AI355,1),"")</f>
        <v>F</v>
      </c>
      <c r="AI355" s="3">
        <v>177</v>
      </c>
      <c r="AJ355" s="3" t="str">
        <f>IFERROR(MID(VLOOKUP($B355,Seqs!$A:$B,2,0),AK355,1),"")</f>
        <v>E</v>
      </c>
      <c r="AK355" s="3">
        <v>181</v>
      </c>
      <c r="AL355" s="3" t="str">
        <f>IFERROR(MID(VLOOKUP($B355,Seqs!$A:$B,2,0),AM355,1),"")</f>
        <v>T</v>
      </c>
      <c r="AM355" s="3">
        <v>223</v>
      </c>
      <c r="AN355" s="3" t="str">
        <f>IFERROR(MID(VLOOKUP($B355,Seqs!$A:$B,2,0),AO355,1),"")</f>
        <v>I</v>
      </c>
      <c r="AO355" s="3">
        <v>240</v>
      </c>
      <c r="AP355" s="3" t="str">
        <f>IFERROR(MID(VLOOKUP($B355,Seqs!$A:$B,2,0),AQ355,1),"")</f>
        <v>L</v>
      </c>
      <c r="AQ355" s="3">
        <v>261</v>
      </c>
      <c r="AR355" s="3" t="str">
        <f>IFERROR(MID(VLOOKUP($B355,Seqs!$A:$B,2,0),AS355,1),"")</f>
        <v>D</v>
      </c>
      <c r="AS355" s="3">
        <v>269</v>
      </c>
      <c r="AT355" s="3" t="str">
        <f>IFERROR(MID(VLOOKUP($B355,Seqs!$A:$B,2,0),AU355,1),"")</f>
        <v>L</v>
      </c>
      <c r="AU355" s="3">
        <v>301</v>
      </c>
      <c r="AV355" s="3" t="str">
        <f>IFERROR(MID(VLOOKUP($B355,Seqs!$A:$B,2,0),AW355,1),"")</f>
        <v>C</v>
      </c>
      <c r="AW355" s="3">
        <v>302</v>
      </c>
      <c r="AX355" s="3" t="str">
        <f>IFERROR(MID(VLOOKUP($B355,Seqs!$A:$B,2,0),AY355,1),"")</f>
        <v>M</v>
      </c>
      <c r="AY355" s="3">
        <v>312</v>
      </c>
      <c r="AZ355" s="77" t="str">
        <f>VLOOKUP(B355,Classification!A:D,2,0)</f>
        <v>A</v>
      </c>
      <c r="BA355" s="94" t="str">
        <f>VLOOKUP(B355,Classification!A:D,4,0)</f>
        <v>P2Y</v>
      </c>
      <c r="BB355" s="27" t="b">
        <f t="shared" si="2542"/>
        <v>1</v>
      </c>
      <c r="BC355" s="23">
        <f t="shared" si="2515"/>
        <v>241</v>
      </c>
      <c r="BD355" s="2" t="s">
        <v>1429</v>
      </c>
      <c r="BE355" s="3" t="s">
        <v>1428</v>
      </c>
      <c r="BF355" s="118">
        <v>2.62</v>
      </c>
      <c r="BG355" s="49" t="s">
        <v>1377</v>
      </c>
      <c r="BH355" s="49" t="s">
        <v>1377</v>
      </c>
      <c r="BI355" s="3" t="s">
        <v>1170</v>
      </c>
      <c r="BJ355" s="70" t="s">
        <v>1287</v>
      </c>
      <c r="BK355" s="57" t="s">
        <v>1287</v>
      </c>
      <c r="BL355" s="57" t="s">
        <v>1287</v>
      </c>
      <c r="BM355" s="57" t="s">
        <v>1287</v>
      </c>
      <c r="BN355" s="57" t="s">
        <v>1287</v>
      </c>
      <c r="BO355" s="57" t="s">
        <v>1287</v>
      </c>
      <c r="BP355" s="57" t="s">
        <v>1287</v>
      </c>
      <c r="BQ355" s="57" t="s">
        <v>1287</v>
      </c>
      <c r="BR355" s="57" t="s">
        <v>1287</v>
      </c>
      <c r="BS355" s="57" t="s">
        <v>1287</v>
      </c>
      <c r="BT355" s="57" t="s">
        <v>1287</v>
      </c>
      <c r="BU355" s="57" t="s">
        <v>1287</v>
      </c>
      <c r="BV355" s="70">
        <f t="shared" si="2516"/>
        <v>21</v>
      </c>
      <c r="BW355" s="71" t="str">
        <f t="shared" si="2517"/>
        <v>-</v>
      </c>
      <c r="BX355" s="72">
        <f t="shared" si="2518"/>
        <v>57</v>
      </c>
      <c r="BY355" s="71" t="str">
        <f t="shared" si="2519"/>
        <v>-</v>
      </c>
      <c r="BZ355" s="72">
        <f t="shared" si="2520"/>
        <v>92</v>
      </c>
      <c r="CA355" s="71" t="str">
        <f t="shared" si="2521"/>
        <v>-</v>
      </c>
      <c r="CB355" s="72">
        <f t="shared" si="2522"/>
        <v>137</v>
      </c>
      <c r="CC355" s="71">
        <f t="shared" si="2523"/>
        <v>175</v>
      </c>
      <c r="CD355" s="72">
        <f t="shared" si="2524"/>
        <v>181</v>
      </c>
      <c r="CE355" s="71">
        <f t="shared" si="2525"/>
        <v>240</v>
      </c>
      <c r="CF355" s="72">
        <f t="shared" si="2526"/>
        <v>269</v>
      </c>
      <c r="CG355" s="71">
        <f t="shared" si="2527"/>
        <v>302</v>
      </c>
      <c r="CH355" s="70">
        <f t="shared" si="2528"/>
        <v>53</v>
      </c>
      <c r="CI355" s="71" t="str">
        <f t="shared" si="2529"/>
        <v>-</v>
      </c>
      <c r="CJ355" s="72">
        <f t="shared" si="2530"/>
        <v>86</v>
      </c>
      <c r="CK355" s="72" t="str">
        <f t="shared" si="2531"/>
        <v>-</v>
      </c>
      <c r="CL355" s="72">
        <f t="shared" si="2532"/>
        <v>128</v>
      </c>
      <c r="CM355" s="72" t="str">
        <f t="shared" si="2533"/>
        <v>-</v>
      </c>
      <c r="CN355" s="72">
        <f t="shared" si="2534"/>
        <v>162</v>
      </c>
      <c r="CO355" s="72">
        <f t="shared" si="2535"/>
        <v>177</v>
      </c>
      <c r="CP355" s="72">
        <f t="shared" si="2536"/>
        <v>223</v>
      </c>
      <c r="CQ355" s="72">
        <f t="shared" si="2537"/>
        <v>261</v>
      </c>
      <c r="CR355" s="72">
        <f t="shared" si="2538"/>
        <v>301</v>
      </c>
      <c r="CS355" s="72">
        <f t="shared" si="2539"/>
        <v>312</v>
      </c>
      <c r="CT355" s="23" t="e">
        <f t="shared" si="2540"/>
        <v>#VALUE!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</row>
    <row r="356" spans="1:1029" x14ac:dyDescent="0.2">
      <c r="A356" s="3" t="str">
        <f t="shared" si="2541"/>
        <v>p2y12_human_4PXZ</v>
      </c>
      <c r="B356" s="3" t="s">
        <v>352</v>
      </c>
      <c r="C356" s="3" t="s">
        <v>1152</v>
      </c>
      <c r="D356" s="3" t="str">
        <f>IFERROR(MID(VLOOKUP($B356,Seqs!$A:$B,2,0),E356,1),"")</f>
        <v>I</v>
      </c>
      <c r="E356" s="3">
        <v>23</v>
      </c>
      <c r="F356" s="3" t="str">
        <f>IFERROR(MID(VLOOKUP($B356,Seqs!$A:$B,2,0),G356,1),"")</f>
        <v>I</v>
      </c>
      <c r="G356" s="3">
        <v>53</v>
      </c>
      <c r="H356" s="3" t="str">
        <f>IFERROR(MID(VLOOKUP($B356,Seqs!$A:$B,2,0),I356,1),"")</f>
        <v/>
      </c>
      <c r="I356" s="23" t="s">
        <v>23</v>
      </c>
      <c r="J356" s="3" t="str">
        <f>IFERROR(MID(VLOOKUP($B356,Seqs!$A:$B,2,0),K356,1),"")</f>
        <v/>
      </c>
      <c r="K356" s="23" t="s">
        <v>23</v>
      </c>
      <c r="L356" s="3" t="str">
        <f>IFERROR(MID(VLOOKUP($B356,Seqs!$A:$B,2,0),M356,1),"")</f>
        <v>S</v>
      </c>
      <c r="M356" s="3">
        <v>57</v>
      </c>
      <c r="N356" s="3" t="str">
        <f>IFERROR(MID(VLOOKUP($B356,Seqs!$A:$B,2,0),O356,1),"")</f>
        <v>K</v>
      </c>
      <c r="O356" s="3">
        <v>86</v>
      </c>
      <c r="P356" s="3" t="str">
        <f>IFERROR(MID(VLOOKUP($B356,Seqs!$A:$B,2,0),Q356,1),"")</f>
        <v/>
      </c>
      <c r="Q356" s="3" t="s">
        <v>23</v>
      </c>
      <c r="R356" s="3" t="str">
        <f>IFERROR(MID(VLOOKUP($B356,Seqs!$A:$B,2,0),S356,1),"")</f>
        <v/>
      </c>
      <c r="S356" s="3" t="s">
        <v>23</v>
      </c>
      <c r="T356" s="3" t="str">
        <f>IFERROR(MID(VLOOKUP($B356,Seqs!$A:$B,2,0),U356,1),"")</f>
        <v>G</v>
      </c>
      <c r="U356" s="3">
        <v>90</v>
      </c>
      <c r="V356" s="3" t="str">
        <f>IFERROR(MID(VLOOKUP($B356,Seqs!$A:$B,2,0),W356,1),"")</f>
        <v>R</v>
      </c>
      <c r="W356" s="3">
        <v>128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N</v>
      </c>
      <c r="AC356" s="9">
        <v>137</v>
      </c>
      <c r="AD356" s="3" t="str">
        <f>IFERROR(MID(VLOOKUP($B356,Seqs!$A:$B,2,0),AE356,1),"")</f>
        <v>T</v>
      </c>
      <c r="AE356" s="3">
        <v>163</v>
      </c>
      <c r="AF356" s="3" t="str">
        <f>IFERROR(MID(VLOOKUP($B356,Seqs!$A:$B,2,0),AG356,1),"")</f>
        <v>C</v>
      </c>
      <c r="AG356" s="3">
        <v>175</v>
      </c>
      <c r="AH356" s="3" t="str">
        <f>IFERROR(MID(VLOOKUP($B356,Seqs!$A:$B,2,0),AI356,1),"")</f>
        <v>F</v>
      </c>
      <c r="AI356" s="3">
        <v>177</v>
      </c>
      <c r="AJ356" s="3" t="str">
        <f>IFERROR(MID(VLOOKUP($B356,Seqs!$A:$B,2,0),AK356,1),"")</f>
        <v>E</v>
      </c>
      <c r="AK356" s="3">
        <v>181</v>
      </c>
      <c r="AL356" s="3" t="str">
        <f>IFERROR(MID(VLOOKUP($B356,Seqs!$A:$B,2,0),AM356,1),"")</f>
        <v>S</v>
      </c>
      <c r="AM356" s="3">
        <v>219</v>
      </c>
      <c r="AN356" s="3" t="str">
        <f>IFERROR(MID(VLOOKUP($B356,Seqs!$A:$B,2,0),AO356,1),"")</f>
        <v>V</v>
      </c>
      <c r="AO356" s="3">
        <v>236</v>
      </c>
      <c r="AP356" s="3" t="str">
        <f>IFERROR(MID(VLOOKUP($B356,Seqs!$A:$B,2,0),AQ356,1),"")</f>
        <v>R</v>
      </c>
      <c r="AQ356" s="3">
        <v>265</v>
      </c>
      <c r="AR356" s="3" t="str">
        <f>IFERROR(MID(VLOOKUP($B356,Seqs!$A:$B,2,0),AS356,1),"")</f>
        <v>D</v>
      </c>
      <c r="AS356" s="3">
        <v>269</v>
      </c>
      <c r="AT356" s="3" t="str">
        <f>IFERROR(MID(VLOOKUP($B356,Seqs!$A:$B,2,0),AU356,1),"")</f>
        <v>C</v>
      </c>
      <c r="AU356" s="3">
        <v>292</v>
      </c>
      <c r="AV356" s="3" t="str">
        <f>IFERROR(MID(VLOOKUP($B356,Seqs!$A:$B,2,0),AW356,1),"")</f>
        <v/>
      </c>
      <c r="AW356" s="3" t="s">
        <v>23</v>
      </c>
      <c r="AX356" s="3" t="str">
        <f>IFERROR(MID(VLOOKUP($B356,Seqs!$A:$B,2,0),AY356,1),"")</f>
        <v/>
      </c>
      <c r="AY356" s="3" t="s">
        <v>23</v>
      </c>
      <c r="AZ356" s="77" t="str">
        <f>VLOOKUP(B356,Classification!A:D,2,0)</f>
        <v>A</v>
      </c>
      <c r="BA356" s="94" t="str">
        <f>VLOOKUP(B356,Classification!A:D,4,0)</f>
        <v>P2Y</v>
      </c>
      <c r="BB356" s="27" t="b">
        <f t="shared" si="2542"/>
        <v>1</v>
      </c>
      <c r="BC356" s="23">
        <f t="shared" si="2515"/>
        <v>227</v>
      </c>
      <c r="BD356" s="4" t="s">
        <v>23</v>
      </c>
      <c r="BE356" s="3" t="s">
        <v>1428</v>
      </c>
      <c r="BF356" s="118">
        <v>2.5</v>
      </c>
      <c r="BG356" s="49" t="s">
        <v>1377</v>
      </c>
      <c r="BH356" s="49" t="s">
        <v>1377</v>
      </c>
      <c r="BI356" s="1"/>
      <c r="BJ356" s="70" t="s">
        <v>1287</v>
      </c>
      <c r="BK356" s="57" t="s">
        <v>1287</v>
      </c>
      <c r="BL356" s="57" t="s">
        <v>1287</v>
      </c>
      <c r="BM356" s="57" t="s">
        <v>1287</v>
      </c>
      <c r="BN356" s="57" t="s">
        <v>1287</v>
      </c>
      <c r="BO356" s="57" t="s">
        <v>1287</v>
      </c>
      <c r="BP356" s="57" t="s">
        <v>1287</v>
      </c>
      <c r="BQ356" s="57" t="s">
        <v>1287</v>
      </c>
      <c r="BR356" s="57" t="s">
        <v>1287</v>
      </c>
      <c r="BS356" s="57" t="s">
        <v>1287</v>
      </c>
      <c r="BT356" s="57" t="s">
        <v>1287</v>
      </c>
      <c r="BU356" s="57" t="s">
        <v>1287</v>
      </c>
      <c r="BV356" s="70">
        <f t="shared" si="2516"/>
        <v>23</v>
      </c>
      <c r="BW356" s="71" t="str">
        <f t="shared" si="2517"/>
        <v>-</v>
      </c>
      <c r="BX356" s="72">
        <f t="shared" si="2518"/>
        <v>57</v>
      </c>
      <c r="BY356" s="71" t="str">
        <f t="shared" si="2519"/>
        <v>-</v>
      </c>
      <c r="BZ356" s="72">
        <f t="shared" si="2520"/>
        <v>90</v>
      </c>
      <c r="CA356" s="71" t="str">
        <f t="shared" si="2521"/>
        <v>-</v>
      </c>
      <c r="CB356" s="72">
        <f t="shared" si="2522"/>
        <v>137</v>
      </c>
      <c r="CC356" s="71">
        <f t="shared" si="2523"/>
        <v>175</v>
      </c>
      <c r="CD356" s="72">
        <f t="shared" si="2524"/>
        <v>181</v>
      </c>
      <c r="CE356" s="71">
        <f t="shared" si="2525"/>
        <v>236</v>
      </c>
      <c r="CF356" s="72">
        <f t="shared" si="2526"/>
        <v>269</v>
      </c>
      <c r="CG356" s="71" t="str">
        <f t="shared" si="2527"/>
        <v>-</v>
      </c>
      <c r="CH356" s="70">
        <f t="shared" si="2528"/>
        <v>53</v>
      </c>
      <c r="CI356" s="71" t="str">
        <f t="shared" si="2529"/>
        <v>-</v>
      </c>
      <c r="CJ356" s="72">
        <f t="shared" si="2530"/>
        <v>86</v>
      </c>
      <c r="CK356" s="72" t="str">
        <f t="shared" si="2531"/>
        <v>-</v>
      </c>
      <c r="CL356" s="72">
        <f t="shared" si="2532"/>
        <v>128</v>
      </c>
      <c r="CM356" s="72" t="str">
        <f t="shared" si="2533"/>
        <v>-</v>
      </c>
      <c r="CN356" s="72">
        <f t="shared" si="2534"/>
        <v>163</v>
      </c>
      <c r="CO356" s="72">
        <f t="shared" si="2535"/>
        <v>177</v>
      </c>
      <c r="CP356" s="72">
        <f t="shared" si="2536"/>
        <v>219</v>
      </c>
      <c r="CQ356" s="72">
        <f t="shared" si="2537"/>
        <v>265</v>
      </c>
      <c r="CR356" s="72">
        <f t="shared" si="2538"/>
        <v>292</v>
      </c>
      <c r="CS356" s="72" t="str">
        <f t="shared" si="2539"/>
        <v>-</v>
      </c>
      <c r="CT356" s="23" t="e">
        <f t="shared" si="2540"/>
        <v>#VALUE!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</row>
    <row r="357" spans="1:1029" x14ac:dyDescent="0.2">
      <c r="A357" s="3" t="str">
        <f t="shared" si="2541"/>
        <v>p2y12_human_4PY0</v>
      </c>
      <c r="B357" s="3" t="s">
        <v>352</v>
      </c>
      <c r="C357" s="3" t="s">
        <v>1050</v>
      </c>
      <c r="D357" s="3" t="str">
        <f>IFERROR(MID(VLOOKUP($B357,Seqs!$A:$B,2,0),E357,1),"")</f>
        <v>I</v>
      </c>
      <c r="E357" s="3">
        <v>23</v>
      </c>
      <c r="F357" s="3" t="str">
        <f>IFERROR(MID(VLOOKUP($B357,Seqs!$A:$B,2,0),G357,1),"")</f>
        <v>I</v>
      </c>
      <c r="G357" s="3">
        <v>53</v>
      </c>
      <c r="H357" s="3" t="str">
        <f>IFERROR(MID(VLOOKUP($B357,Seqs!$A:$B,2,0),I357,1),"")</f>
        <v/>
      </c>
      <c r="I357" s="23" t="s">
        <v>23</v>
      </c>
      <c r="J357" s="3" t="str">
        <f>IFERROR(MID(VLOOKUP($B357,Seqs!$A:$B,2,0),K357,1),"")</f>
        <v/>
      </c>
      <c r="K357" s="23" t="s">
        <v>23</v>
      </c>
      <c r="L357" s="3" t="str">
        <f>IFERROR(MID(VLOOKUP($B357,Seqs!$A:$B,2,0),M357,1),"")</f>
        <v>S</v>
      </c>
      <c r="M357" s="3">
        <v>57</v>
      </c>
      <c r="N357" s="3" t="str">
        <f>IFERROR(MID(VLOOKUP($B357,Seqs!$A:$B,2,0),O357,1),"")</f>
        <v>K</v>
      </c>
      <c r="O357" s="3">
        <v>86</v>
      </c>
      <c r="P357" s="3" t="str">
        <f>IFERROR(MID(VLOOKUP($B357,Seqs!$A:$B,2,0),Q357,1),"")</f>
        <v/>
      </c>
      <c r="Q357" s="3" t="s">
        <v>23</v>
      </c>
      <c r="R357" s="3" t="str">
        <f>IFERROR(MID(VLOOKUP($B357,Seqs!$A:$B,2,0),S357,1),"")</f>
        <v/>
      </c>
      <c r="S357" s="3" t="s">
        <v>23</v>
      </c>
      <c r="T357" s="3" t="str">
        <f>IFERROR(MID(VLOOKUP($B357,Seqs!$A:$B,2,0),U357,1),"")</f>
        <v>G</v>
      </c>
      <c r="U357" s="3">
        <v>90</v>
      </c>
      <c r="V357" s="3" t="str">
        <f>IFERROR(MID(VLOOKUP($B357,Seqs!$A:$B,2,0),W357,1),"")</f>
        <v>R</v>
      </c>
      <c r="W357" s="3">
        <v>128</v>
      </c>
      <c r="X357" s="3" t="str">
        <f>IFERROR(MID(VLOOKUP($B357,Seqs!$A:$B,2,0),Y357,1),"")</f>
        <v/>
      </c>
      <c r="Y357" s="3" t="s">
        <v>23</v>
      </c>
      <c r="Z357" s="3" t="str">
        <f>IFERROR(MID(VLOOKUP($B357,Seqs!$A:$B,2,0),AA357,1),"")</f>
        <v/>
      </c>
      <c r="AA357" s="3" t="s">
        <v>23</v>
      </c>
      <c r="AB357" s="3" t="str">
        <f>IFERROR(MID(VLOOKUP($B357,Seqs!$A:$B,2,0),AC357,1),"")</f>
        <v>N</v>
      </c>
      <c r="AC357" s="9">
        <v>137</v>
      </c>
      <c r="AD357" s="3" t="str">
        <f>IFERROR(MID(VLOOKUP($B357,Seqs!$A:$B,2,0),AE357,1),"")</f>
        <v>T</v>
      </c>
      <c r="AE357" s="3">
        <v>163</v>
      </c>
      <c r="AF357" s="3" t="str">
        <f>IFERROR(MID(VLOOKUP($B357,Seqs!$A:$B,2,0),AG357,1),"")</f>
        <v>C</v>
      </c>
      <c r="AG357" s="3">
        <v>175</v>
      </c>
      <c r="AH357" s="3" t="str">
        <f>IFERROR(MID(VLOOKUP($B357,Seqs!$A:$B,2,0),AI357,1),"")</f>
        <v>F</v>
      </c>
      <c r="AI357" s="3">
        <v>177</v>
      </c>
      <c r="AJ357" s="3" t="str">
        <f>IFERROR(MID(VLOOKUP($B357,Seqs!$A:$B,2,0),AK357,1),"")</f>
        <v>E</v>
      </c>
      <c r="AK357" s="3">
        <v>181</v>
      </c>
      <c r="AL357" s="3" t="str">
        <f>IFERROR(MID(VLOOKUP($B357,Seqs!$A:$B,2,0),AM357,1),"")</f>
        <v>S</v>
      </c>
      <c r="AM357" s="3">
        <v>219</v>
      </c>
      <c r="AN357" s="3" t="str">
        <f>IFERROR(MID(VLOOKUP($B357,Seqs!$A:$B,2,0),AO357,1),"")</f>
        <v>V</v>
      </c>
      <c r="AO357" s="3">
        <v>236</v>
      </c>
      <c r="AP357" s="3" t="str">
        <f>IFERROR(MID(VLOOKUP($B357,Seqs!$A:$B,2,0),AQ357,1),"")</f>
        <v>R</v>
      </c>
      <c r="AQ357" s="3">
        <v>265</v>
      </c>
      <c r="AR357" s="3" t="str">
        <f>IFERROR(MID(VLOOKUP($B357,Seqs!$A:$B,2,0),AS357,1),"")</f>
        <v>D</v>
      </c>
      <c r="AS357" s="3">
        <v>269</v>
      </c>
      <c r="AT357" s="3" t="str">
        <f>IFERROR(MID(VLOOKUP($B357,Seqs!$A:$B,2,0),AU357,1),"")</f>
        <v>C</v>
      </c>
      <c r="AU357" s="3">
        <v>292</v>
      </c>
      <c r="AV357" s="3" t="str">
        <f>IFERROR(MID(VLOOKUP($B357,Seqs!$A:$B,2,0),AW357,1),"")</f>
        <v/>
      </c>
      <c r="AW357" s="3" t="s">
        <v>23</v>
      </c>
      <c r="AX357" s="3" t="str">
        <f>IFERROR(MID(VLOOKUP($B357,Seqs!$A:$B,2,0),AY357,1),"")</f>
        <v/>
      </c>
      <c r="AY357" s="3" t="s">
        <v>23</v>
      </c>
      <c r="AZ357" s="77" t="str">
        <f>VLOOKUP(B357,Classification!A:D,2,0)</f>
        <v>A</v>
      </c>
      <c r="BA357" s="94" t="str">
        <f>VLOOKUP(B357,Classification!A:D,4,0)</f>
        <v>P2Y</v>
      </c>
      <c r="BB357" s="27" t="b">
        <f t="shared" si="2542"/>
        <v>1</v>
      </c>
      <c r="BC357" s="23">
        <f t="shared" si="2515"/>
        <v>227</v>
      </c>
      <c r="BD357" s="4" t="s">
        <v>23</v>
      </c>
      <c r="BE357" s="3" t="s">
        <v>1428</v>
      </c>
      <c r="BF357" s="118">
        <v>3.1</v>
      </c>
      <c r="BG357" s="49" t="s">
        <v>1377</v>
      </c>
      <c r="BH357" s="49" t="s">
        <v>1377</v>
      </c>
      <c r="BI357" s="1"/>
      <c r="BJ357" s="70" t="s">
        <v>1287</v>
      </c>
      <c r="BK357" s="57" t="s">
        <v>1287</v>
      </c>
      <c r="BL357" s="57" t="s">
        <v>1287</v>
      </c>
      <c r="BM357" s="57" t="s">
        <v>1287</v>
      </c>
      <c r="BN357" s="57" t="s">
        <v>1287</v>
      </c>
      <c r="BO357" s="57" t="s">
        <v>1287</v>
      </c>
      <c r="BP357" s="57" t="s">
        <v>1287</v>
      </c>
      <c r="BQ357" s="57" t="s">
        <v>1287</v>
      </c>
      <c r="BR357" s="57" t="s">
        <v>1287</v>
      </c>
      <c r="BS357" s="57" t="s">
        <v>1287</v>
      </c>
      <c r="BT357" s="57" t="s">
        <v>1287</v>
      </c>
      <c r="BU357" s="57" t="s">
        <v>1287</v>
      </c>
      <c r="BV357" s="70">
        <f t="shared" si="2516"/>
        <v>23</v>
      </c>
      <c r="BW357" s="71" t="str">
        <f t="shared" si="2517"/>
        <v>-</v>
      </c>
      <c r="BX357" s="72">
        <f t="shared" si="2518"/>
        <v>57</v>
      </c>
      <c r="BY357" s="71" t="str">
        <f t="shared" si="2519"/>
        <v>-</v>
      </c>
      <c r="BZ357" s="72">
        <f t="shared" si="2520"/>
        <v>90</v>
      </c>
      <c r="CA357" s="71" t="str">
        <f t="shared" si="2521"/>
        <v>-</v>
      </c>
      <c r="CB357" s="72">
        <f t="shared" si="2522"/>
        <v>137</v>
      </c>
      <c r="CC357" s="71">
        <f t="shared" si="2523"/>
        <v>175</v>
      </c>
      <c r="CD357" s="72">
        <f t="shared" si="2524"/>
        <v>181</v>
      </c>
      <c r="CE357" s="71">
        <f t="shared" si="2525"/>
        <v>236</v>
      </c>
      <c r="CF357" s="72">
        <f t="shared" si="2526"/>
        <v>269</v>
      </c>
      <c r="CG357" s="71" t="str">
        <f t="shared" si="2527"/>
        <v>-</v>
      </c>
      <c r="CH357" s="70">
        <f t="shared" si="2528"/>
        <v>53</v>
      </c>
      <c r="CI357" s="71" t="str">
        <f t="shared" si="2529"/>
        <v>-</v>
      </c>
      <c r="CJ357" s="72">
        <f t="shared" si="2530"/>
        <v>86</v>
      </c>
      <c r="CK357" s="72" t="str">
        <f t="shared" si="2531"/>
        <v>-</v>
      </c>
      <c r="CL357" s="72">
        <f t="shared" si="2532"/>
        <v>128</v>
      </c>
      <c r="CM357" s="72" t="str">
        <f t="shared" si="2533"/>
        <v>-</v>
      </c>
      <c r="CN357" s="72">
        <f t="shared" si="2534"/>
        <v>163</v>
      </c>
      <c r="CO357" s="72">
        <f t="shared" si="2535"/>
        <v>177</v>
      </c>
      <c r="CP357" s="72">
        <f t="shared" si="2536"/>
        <v>219</v>
      </c>
      <c r="CQ357" s="72">
        <f t="shared" si="2537"/>
        <v>265</v>
      </c>
      <c r="CR357" s="72">
        <f t="shared" si="2538"/>
        <v>292</v>
      </c>
      <c r="CS357" s="72" t="str">
        <f t="shared" si="2539"/>
        <v>-</v>
      </c>
      <c r="CT357" s="23" t="e">
        <f t="shared" si="2540"/>
        <v>#VALUE!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</row>
    <row r="358" spans="1:1029" x14ac:dyDescent="0.2">
      <c r="A358" s="3" t="str">
        <f t="shared" si="2541"/>
        <v>par1_human__wt</v>
      </c>
      <c r="B358" s="3" t="s">
        <v>355</v>
      </c>
      <c r="C358" s="3" t="s">
        <v>100</v>
      </c>
      <c r="D358" s="3" t="str">
        <f>IFERROR(MID(VLOOKUP($B358,Seqs!$A:$B,2,0),E358,1),"")</f>
        <v>S</v>
      </c>
      <c r="E358" s="3">
        <v>99</v>
      </c>
      <c r="F358" s="3" t="str">
        <f>IFERROR(MID(VLOOKUP($B358,Seqs!$A:$B,2,0),G358,1),"")</f>
        <v>K</v>
      </c>
      <c r="G358" s="3">
        <v>130</v>
      </c>
      <c r="H358" s="3" t="str">
        <f>IFERROR(MID(VLOOKUP($B358,Seqs!$A:$B,2,0),I358,1),"")</f>
        <v>M</v>
      </c>
      <c r="I358" s="23">
        <v>131</v>
      </c>
      <c r="J358" s="3" t="str">
        <f>IFERROR(MID(VLOOKUP($B358,Seqs!$A:$B,2,0),K358,1),"")</f>
        <v>K</v>
      </c>
      <c r="K358" s="23">
        <v>134</v>
      </c>
      <c r="L358" s="3" t="str">
        <f>IFERROR(MID(VLOOKUP($B358,Seqs!$A:$B,2,0),M358,1),"")</f>
        <v>K</v>
      </c>
      <c r="M358" s="3">
        <v>135</v>
      </c>
      <c r="N358" s="3" t="str">
        <f>IFERROR(MID(VLOOKUP($B358,Seqs!$A:$B,2,0),O358,1),"")</f>
        <v>S</v>
      </c>
      <c r="O358" s="3">
        <v>164</v>
      </c>
      <c r="P358" s="3" t="str">
        <f>IFERROR(MID(VLOOKUP($B358,Seqs!$A:$B,2,0),Q358,1),"")</f>
        <v>D</v>
      </c>
      <c r="Q358" s="3">
        <v>167</v>
      </c>
      <c r="R358" s="3" t="str">
        <f>IFERROR(MID(VLOOKUP($B358,Seqs!$A:$B,2,0),S358,1),"")</f>
        <v>F</v>
      </c>
      <c r="S358" s="3">
        <v>170</v>
      </c>
      <c r="T358" s="3" t="str">
        <f>IFERROR(MID(VLOOKUP($B358,Seqs!$A:$B,2,0),U358,1),"")</f>
        <v>G</v>
      </c>
      <c r="U358" s="3">
        <v>171</v>
      </c>
      <c r="V358" s="3" t="str">
        <f>IFERROR(MID(VLOOKUP($B358,Seqs!$A:$B,2,0),W358,1),"")</f>
        <v>Y</v>
      </c>
      <c r="W358" s="3">
        <v>206</v>
      </c>
      <c r="X358" s="3" t="str">
        <f>IFERROR(MID(VLOOKUP($B358,Seqs!$A:$B,2,0),Y358,1),"")</f>
        <v>P</v>
      </c>
      <c r="Y358" s="3">
        <v>207</v>
      </c>
      <c r="Z358" s="3" t="str">
        <f>IFERROR(MID(VLOOKUP($B358,Seqs!$A:$B,2,0),AA358,1),"")</f>
        <v>R</v>
      </c>
      <c r="AA358" s="3">
        <v>214</v>
      </c>
      <c r="AB358" s="3" t="str">
        <f>IFERROR(MID(VLOOKUP($B358,Seqs!$A:$B,2,0),AC358,1),"")</f>
        <v>T</v>
      </c>
      <c r="AC358" s="9">
        <v>215</v>
      </c>
      <c r="AD358" s="3" t="str">
        <f>IFERROR(MID(VLOOKUP($B358,Seqs!$A:$B,2,0),AE358,1),"")</f>
        <v>K</v>
      </c>
      <c r="AE358" s="3">
        <v>240</v>
      </c>
      <c r="AF358" s="3" t="str">
        <f>IFERROR(MID(VLOOKUP($B358,Seqs!$A:$B,2,0),AG358,1),"")</f>
        <v>C</v>
      </c>
      <c r="AG358" s="3">
        <v>254</v>
      </c>
      <c r="AH358" s="3" t="str">
        <f>IFERROR(MID(VLOOKUP($B358,Seqs!$A:$B,2,0),AI358,1),"")</f>
        <v>D</v>
      </c>
      <c r="AI358" s="3">
        <v>256</v>
      </c>
      <c r="AJ358" s="3" t="str">
        <f>IFERROR(MID(VLOOKUP($B358,Seqs!$A:$B,2,0),AK358,1),"")</f>
        <v>E</v>
      </c>
      <c r="AK358" s="3">
        <v>264</v>
      </c>
      <c r="AL358" s="3" t="str">
        <f>IFERROR(MID(VLOOKUP($B358,Seqs!$A:$B,2,0),AM358,1),"")</f>
        <v>S</v>
      </c>
      <c r="AM358" s="3">
        <v>299</v>
      </c>
      <c r="AN358" s="3" t="str">
        <f>IFERROR(MID(VLOOKUP($B358,Seqs!$A:$B,2,0),AO358,1),"")</f>
        <v>N</v>
      </c>
      <c r="AO358" s="3">
        <v>304</v>
      </c>
      <c r="AP358" s="3" t="str">
        <f>IFERROR(MID(VLOOKUP($B358,Seqs!$A:$B,2,0),AQ358,1),"")</f>
        <v>L</v>
      </c>
      <c r="AQ358" s="3">
        <v>340</v>
      </c>
      <c r="AR358" s="3" t="str">
        <f>IFERROR(MID(VLOOKUP($B358,Seqs!$A:$B,2,0),AS358,1),"")</f>
        <v>T</v>
      </c>
      <c r="AS358" s="3">
        <v>346</v>
      </c>
      <c r="AT358" s="3" t="str">
        <f>IFERROR(MID(VLOOKUP($B358,Seqs!$A:$B,2,0),AU358,1),"")</f>
        <v>A</v>
      </c>
      <c r="AU358" s="3">
        <v>374</v>
      </c>
      <c r="AV358" s="3" t="str">
        <f>IFERROR(MID(VLOOKUP($B358,Seqs!$A:$B,2,0),AW358,1),"")</f>
        <v>S</v>
      </c>
      <c r="AW358" s="3">
        <v>375</v>
      </c>
      <c r="AX358" s="3" t="str">
        <f>IFERROR(MID(VLOOKUP($B358,Seqs!$A:$B,2,0),AY358,1),"")</f>
        <v>K</v>
      </c>
      <c r="AY358" s="3">
        <v>389</v>
      </c>
      <c r="AZ358" s="77" t="str">
        <f>VLOOKUP(B358,Classification!A:D,2,0)</f>
        <v>A</v>
      </c>
      <c r="BA358" s="94" t="str">
        <f>VLOOKUP(B358,Classification!A:D,4,0)</f>
        <v>Proteinase-activated</v>
      </c>
      <c r="BB358" s="27" t="b">
        <f t="shared" si="2542"/>
        <v>1</v>
      </c>
      <c r="BC358" s="23">
        <f t="shared" si="2515"/>
        <v>260</v>
      </c>
      <c r="BD358" s="56" t="s">
        <v>23</v>
      </c>
      <c r="BE358" s="3" t="s">
        <v>23</v>
      </c>
      <c r="BF358" s="118" t="s">
        <v>23</v>
      </c>
      <c r="BG358" s="49" t="s">
        <v>1372</v>
      </c>
      <c r="BH358" s="49" t="s">
        <v>1377</v>
      </c>
      <c r="BI358" s="1"/>
      <c r="BJ358" s="70" t="s">
        <v>1287</v>
      </c>
      <c r="BK358" s="57" t="s">
        <v>1287</v>
      </c>
      <c r="BL358" s="57" t="s">
        <v>1287</v>
      </c>
      <c r="BM358" s="57" t="s">
        <v>1287</v>
      </c>
      <c r="BN358" s="57" t="s">
        <v>1287</v>
      </c>
      <c r="BO358" s="57" t="s">
        <v>1287</v>
      </c>
      <c r="BP358" s="57" t="s">
        <v>1287</v>
      </c>
      <c r="BQ358" s="57" t="s">
        <v>1287</v>
      </c>
      <c r="BR358" s="57" t="s">
        <v>1287</v>
      </c>
      <c r="BS358" s="57" t="s">
        <v>1287</v>
      </c>
      <c r="BT358" s="57" t="s">
        <v>1287</v>
      </c>
      <c r="BU358" s="57" t="s">
        <v>1287</v>
      </c>
      <c r="BV358" s="70">
        <f t="shared" si="2516"/>
        <v>99</v>
      </c>
      <c r="BW358" s="71">
        <f t="shared" si="2517"/>
        <v>131</v>
      </c>
      <c r="BX358" s="72">
        <f t="shared" si="2518"/>
        <v>135</v>
      </c>
      <c r="BY358" s="71">
        <f t="shared" si="2519"/>
        <v>167</v>
      </c>
      <c r="BZ358" s="72">
        <f t="shared" si="2520"/>
        <v>171</v>
      </c>
      <c r="CA358" s="71">
        <f t="shared" si="2521"/>
        <v>207</v>
      </c>
      <c r="CB358" s="72">
        <f t="shared" si="2522"/>
        <v>215</v>
      </c>
      <c r="CC358" s="71">
        <f t="shared" si="2523"/>
        <v>254</v>
      </c>
      <c r="CD358" s="72">
        <f t="shared" si="2524"/>
        <v>264</v>
      </c>
      <c r="CE358" s="71">
        <f t="shared" si="2525"/>
        <v>304</v>
      </c>
      <c r="CF358" s="72">
        <f t="shared" si="2526"/>
        <v>346</v>
      </c>
      <c r="CG358" s="71">
        <f t="shared" si="2527"/>
        <v>375</v>
      </c>
      <c r="CH358" s="70">
        <f t="shared" si="2528"/>
        <v>130</v>
      </c>
      <c r="CI358" s="71">
        <f t="shared" si="2529"/>
        <v>134</v>
      </c>
      <c r="CJ358" s="72">
        <f t="shared" si="2530"/>
        <v>164</v>
      </c>
      <c r="CK358" s="72">
        <f t="shared" si="2531"/>
        <v>170</v>
      </c>
      <c r="CL358" s="72">
        <f t="shared" si="2532"/>
        <v>206</v>
      </c>
      <c r="CM358" s="72">
        <f t="shared" si="2533"/>
        <v>214</v>
      </c>
      <c r="CN358" s="72">
        <f t="shared" si="2534"/>
        <v>240</v>
      </c>
      <c r="CO358" s="72">
        <f t="shared" si="2535"/>
        <v>256</v>
      </c>
      <c r="CP358" s="72">
        <f t="shared" si="2536"/>
        <v>299</v>
      </c>
      <c r="CQ358" s="72">
        <f t="shared" si="2537"/>
        <v>340</v>
      </c>
      <c r="CR358" s="72">
        <f t="shared" si="2538"/>
        <v>374</v>
      </c>
      <c r="CS358" s="72">
        <f t="shared" si="2539"/>
        <v>389</v>
      </c>
      <c r="CT358" s="23">
        <f t="shared" si="2540"/>
        <v>1</v>
      </c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</row>
    <row r="359" spans="1:1029" x14ac:dyDescent="0.2">
      <c r="A359" s="3" t="str">
        <f t="shared" si="2541"/>
        <v>par1_human_3VW7</v>
      </c>
      <c r="B359" s="3" t="s">
        <v>355</v>
      </c>
      <c r="C359" s="3" t="s">
        <v>93</v>
      </c>
      <c r="D359" s="3" t="str">
        <f>IFERROR(MID(VLOOKUP($B359,Seqs!$A:$B,2,0),E359,1),"")</f>
        <v>S</v>
      </c>
      <c r="E359" s="3">
        <v>99</v>
      </c>
      <c r="F359" s="3" t="str">
        <f>IFERROR(MID(VLOOKUP($B359,Seqs!$A:$B,2,0),G359,1),"")</f>
        <v>K</v>
      </c>
      <c r="G359" s="3">
        <v>130</v>
      </c>
      <c r="H359" s="3" t="str">
        <f>IFERROR(MID(VLOOKUP($B359,Seqs!$A:$B,2,0),I359,1),"")</f>
        <v/>
      </c>
      <c r="I359" s="23" t="s">
        <v>23</v>
      </c>
      <c r="J359" s="3" t="str">
        <f>IFERROR(MID(VLOOKUP($B359,Seqs!$A:$B,2,0),K359,1),"")</f>
        <v/>
      </c>
      <c r="K359" s="23" t="s">
        <v>23</v>
      </c>
      <c r="L359" s="3" t="str">
        <f>IFERROR(MID(VLOOKUP($B359,Seqs!$A:$B,2,0),M359,1),"")</f>
        <v>K</v>
      </c>
      <c r="M359" s="3">
        <v>135</v>
      </c>
      <c r="N359" s="3" t="str">
        <f>IFERROR(MID(VLOOKUP($B359,Seqs!$A:$B,2,0),O359,1),"")</f>
        <v>S</v>
      </c>
      <c r="O359" s="3">
        <v>164</v>
      </c>
      <c r="P359" s="3" t="str">
        <f>IFERROR(MID(VLOOKUP($B359,Seqs!$A:$B,2,0),Q359,1),"")</f>
        <v>D</v>
      </c>
      <c r="Q359" s="3">
        <v>167</v>
      </c>
      <c r="R359" s="3" t="str">
        <f>IFERROR(MID(VLOOKUP($B359,Seqs!$A:$B,2,0),S359,1),"")</f>
        <v>F</v>
      </c>
      <c r="S359" s="3">
        <v>170</v>
      </c>
      <c r="T359" s="3" t="str">
        <f>IFERROR(MID(VLOOKUP($B359,Seqs!$A:$B,2,0),U359,1),"")</f>
        <v>G</v>
      </c>
      <c r="U359" s="3">
        <v>171</v>
      </c>
      <c r="V359" s="3" t="str">
        <f>IFERROR(MID(VLOOKUP($B359,Seqs!$A:$B,2,0),W359,1),"")</f>
        <v>Y</v>
      </c>
      <c r="W359" s="3">
        <v>206</v>
      </c>
      <c r="X359" s="3" t="str">
        <f>IFERROR(MID(VLOOKUP($B359,Seqs!$A:$B,2,0),Y359,1),"")</f>
        <v/>
      </c>
      <c r="Y359" s="3" t="s">
        <v>23</v>
      </c>
      <c r="Z359" s="3" t="str">
        <f>IFERROR(MID(VLOOKUP($B359,Seqs!$A:$B,2,0),AA359,1),"")</f>
        <v/>
      </c>
      <c r="AA359" s="3" t="s">
        <v>23</v>
      </c>
      <c r="AB359" s="3" t="str">
        <f>IFERROR(MID(VLOOKUP($B359,Seqs!$A:$B,2,0),AC359,1),"")</f>
        <v>T</v>
      </c>
      <c r="AC359" s="9">
        <v>215</v>
      </c>
      <c r="AD359" s="3" t="str">
        <f>IFERROR(MID(VLOOKUP($B359,Seqs!$A:$B,2,0),AE359,1),"")</f>
        <v>K</v>
      </c>
      <c r="AE359" s="3">
        <v>240</v>
      </c>
      <c r="AF359" s="3" t="str">
        <f>IFERROR(MID(VLOOKUP($B359,Seqs!$A:$B,2,0),AG359,1),"")</f>
        <v>C</v>
      </c>
      <c r="AG359" s="3">
        <v>254</v>
      </c>
      <c r="AH359" s="3" t="str">
        <f>IFERROR(MID(VLOOKUP($B359,Seqs!$A:$B,2,0),AI359,1),"")</f>
        <v>D</v>
      </c>
      <c r="AI359" s="3">
        <v>256</v>
      </c>
      <c r="AJ359" s="3" t="str">
        <f>IFERROR(MID(VLOOKUP($B359,Seqs!$A:$B,2,0),AK359,1),"")</f>
        <v>E</v>
      </c>
      <c r="AK359" s="3">
        <v>264</v>
      </c>
      <c r="AL359" s="3" t="str">
        <f>IFERROR(MID(VLOOKUP($B359,Seqs!$A:$B,2,0),AM359,1),"")</f>
        <v>S</v>
      </c>
      <c r="AM359" s="3">
        <v>300</v>
      </c>
      <c r="AN359" s="3" t="str">
        <f>IFERROR(MID(VLOOKUP($B359,Seqs!$A:$B,2,0),AO359,1),"")</f>
        <v>N</v>
      </c>
      <c r="AO359" s="3">
        <v>304</v>
      </c>
      <c r="AP359" s="3" t="str">
        <f>IFERROR(MID(VLOOKUP($B359,Seqs!$A:$B,2,0),AQ359,1),"")</f>
        <v>L</v>
      </c>
      <c r="AQ359" s="3">
        <v>340</v>
      </c>
      <c r="AR359" s="3" t="str">
        <f>IFERROR(MID(VLOOKUP($B359,Seqs!$A:$B,2,0),AS359,1),"")</f>
        <v>T</v>
      </c>
      <c r="AS359" s="3">
        <v>346</v>
      </c>
      <c r="AT359" s="3" t="str">
        <f>IFERROR(MID(VLOOKUP($B359,Seqs!$A:$B,2,0),AU359,1),"")</f>
        <v>Y</v>
      </c>
      <c r="AU359" s="3">
        <v>372</v>
      </c>
      <c r="AV359" s="3" t="str">
        <f>IFERROR(MID(VLOOKUP($B359,Seqs!$A:$B,2,0),AW359,1),"")</f>
        <v/>
      </c>
      <c r="AW359" s="3" t="s">
        <v>23</v>
      </c>
      <c r="AX359" s="3" t="str">
        <f>IFERROR(MID(VLOOKUP($B359,Seqs!$A:$B,2,0),AY359,1),"")</f>
        <v/>
      </c>
      <c r="AY359" s="3" t="s">
        <v>23</v>
      </c>
      <c r="AZ359" s="77" t="str">
        <f>VLOOKUP(B359,Classification!A:D,2,0)</f>
        <v>A</v>
      </c>
      <c r="BA359" s="94" t="str">
        <f>VLOOKUP(B359,Classification!A:D,4,0)</f>
        <v>Proteinase-activated</v>
      </c>
      <c r="BB359" s="27" t="b">
        <f t="shared" si="2542"/>
        <v>1</v>
      </c>
      <c r="BC359" s="23">
        <f t="shared" si="2515"/>
        <v>235</v>
      </c>
      <c r="BD359" s="2" t="s">
        <v>1429</v>
      </c>
      <c r="BE359" s="3" t="s">
        <v>1428</v>
      </c>
      <c r="BF359" s="118">
        <v>2.2000000000000002</v>
      </c>
      <c r="BG359" s="49" t="s">
        <v>1377</v>
      </c>
      <c r="BH359" s="49" t="s">
        <v>1377</v>
      </c>
      <c r="BI359" s="1"/>
      <c r="BJ359" s="70" t="s">
        <v>1287</v>
      </c>
      <c r="BK359" s="57" t="s">
        <v>1287</v>
      </c>
      <c r="BL359" s="57" t="s">
        <v>1287</v>
      </c>
      <c r="BM359" s="57" t="s">
        <v>1287</v>
      </c>
      <c r="BN359" s="57" t="s">
        <v>1287</v>
      </c>
      <c r="BO359" s="57" t="s">
        <v>1287</v>
      </c>
      <c r="BP359" s="57" t="s">
        <v>1287</v>
      </c>
      <c r="BQ359" s="57" t="s">
        <v>1287</v>
      </c>
      <c r="BR359" s="57" t="s">
        <v>1287</v>
      </c>
      <c r="BS359" s="57" t="s">
        <v>1287</v>
      </c>
      <c r="BT359" s="57" t="s">
        <v>1287</v>
      </c>
      <c r="BU359" s="57" t="s">
        <v>1287</v>
      </c>
      <c r="BV359" s="70">
        <f t="shared" si="2516"/>
        <v>99</v>
      </c>
      <c r="BW359" s="71" t="str">
        <f t="shared" si="2517"/>
        <v>-</v>
      </c>
      <c r="BX359" s="72">
        <f t="shared" si="2518"/>
        <v>135</v>
      </c>
      <c r="BY359" s="71">
        <f t="shared" si="2519"/>
        <v>167</v>
      </c>
      <c r="BZ359" s="72">
        <f t="shared" si="2520"/>
        <v>171</v>
      </c>
      <c r="CA359" s="71" t="str">
        <f t="shared" si="2521"/>
        <v>-</v>
      </c>
      <c r="CB359" s="72">
        <f t="shared" si="2522"/>
        <v>215</v>
      </c>
      <c r="CC359" s="71">
        <f t="shared" si="2523"/>
        <v>254</v>
      </c>
      <c r="CD359" s="72">
        <f t="shared" si="2524"/>
        <v>264</v>
      </c>
      <c r="CE359" s="71">
        <f t="shared" si="2525"/>
        <v>304</v>
      </c>
      <c r="CF359" s="72">
        <f t="shared" si="2526"/>
        <v>346</v>
      </c>
      <c r="CG359" s="71" t="str">
        <f t="shared" si="2527"/>
        <v>-</v>
      </c>
      <c r="CH359" s="70">
        <f t="shared" si="2528"/>
        <v>130</v>
      </c>
      <c r="CI359" s="71" t="str">
        <f t="shared" si="2529"/>
        <v>-</v>
      </c>
      <c r="CJ359" s="72">
        <f t="shared" si="2530"/>
        <v>164</v>
      </c>
      <c r="CK359" s="72">
        <f t="shared" si="2531"/>
        <v>170</v>
      </c>
      <c r="CL359" s="72">
        <f t="shared" si="2532"/>
        <v>206</v>
      </c>
      <c r="CM359" s="72" t="str">
        <f t="shared" si="2533"/>
        <v>-</v>
      </c>
      <c r="CN359" s="72">
        <f t="shared" si="2534"/>
        <v>240</v>
      </c>
      <c r="CO359" s="72">
        <f t="shared" si="2535"/>
        <v>256</v>
      </c>
      <c r="CP359" s="72">
        <f t="shared" si="2536"/>
        <v>300</v>
      </c>
      <c r="CQ359" s="72">
        <f t="shared" si="2537"/>
        <v>340</v>
      </c>
      <c r="CR359" s="72">
        <f t="shared" si="2538"/>
        <v>372</v>
      </c>
      <c r="CS359" s="72" t="str">
        <f t="shared" si="2539"/>
        <v>-</v>
      </c>
      <c r="CT359" s="23" t="e">
        <f t="shared" si="2540"/>
        <v>#VALUE!</v>
      </c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</row>
    <row r="360" spans="1:1029" x14ac:dyDescent="0.2">
      <c r="A360" s="3" t="str">
        <f t="shared" ref="A360:A379" si="3047">CONCATENATE(B360,"_",C360)</f>
        <v>par2_human__wt</v>
      </c>
      <c r="B360" s="3" t="s">
        <v>356</v>
      </c>
      <c r="C360" s="3" t="s">
        <v>100</v>
      </c>
      <c r="D360" s="3" t="str">
        <f>IFERROR(MID(VLOOKUP($B360,Seqs!$A:$B,2,0),E360,1),"")</f>
        <v>G</v>
      </c>
      <c r="E360" s="3">
        <v>71</v>
      </c>
      <c r="F360" s="3" t="str">
        <f>IFERROR(MID(VLOOKUP($B360,Seqs!$A:$B,2,0),G360,1),"")</f>
        <v>R</v>
      </c>
      <c r="G360" s="3">
        <v>103</v>
      </c>
      <c r="H360" s="3" t="str">
        <f>IFERROR(MID(VLOOKUP($B360,Seqs!$A:$B,2,0),I360,1),"")</f>
        <v/>
      </c>
      <c r="I360" s="23" t="s">
        <v>23</v>
      </c>
      <c r="J360" s="3" t="str">
        <f>IFERROR(MID(VLOOKUP($B360,Seqs!$A:$B,2,0),K360,1),"")</f>
        <v/>
      </c>
      <c r="K360" s="23" t="s">
        <v>23</v>
      </c>
      <c r="L360" s="3" t="str">
        <f>IFERROR(MID(VLOOKUP($B360,Seqs!$A:$B,2,0),M360,1),"")</f>
        <v>H</v>
      </c>
      <c r="M360" s="3">
        <v>108</v>
      </c>
      <c r="N360" s="3" t="str">
        <f>IFERROR(MID(VLOOKUP($B360,Seqs!$A:$B,2,0),O360,1),"")</f>
        <v>H</v>
      </c>
      <c r="O360" s="3">
        <v>137</v>
      </c>
      <c r="P360" s="3" t="str">
        <f>IFERROR(MID(VLOOKUP($B360,Seqs!$A:$B,2,0),Q360,1),"")</f>
        <v>G</v>
      </c>
      <c r="Q360" s="3">
        <v>138</v>
      </c>
      <c r="R360" s="3" t="str">
        <f>IFERROR(MID(VLOOKUP($B360,Seqs!$A:$B,2,0),S360,1),"")</f>
        <v>Y</v>
      </c>
      <c r="S360" s="3">
        <v>143</v>
      </c>
      <c r="T360" s="3" t="str">
        <f>IFERROR(MID(VLOOKUP($B360,Seqs!$A:$B,2,0),U360,1),"")</f>
        <v>G</v>
      </c>
      <c r="U360" s="3">
        <v>144</v>
      </c>
      <c r="V360" s="3" t="str">
        <f>IFERROR(MID(VLOOKUP($B360,Seqs!$A:$B,2,0),W360,1),"")</f>
        <v>N</v>
      </c>
      <c r="W360" s="3">
        <v>179</v>
      </c>
      <c r="X360" s="3" t="str">
        <f>IFERROR(MID(VLOOKUP($B360,Seqs!$A:$B,2,0),Y360,1),"")</f>
        <v>P</v>
      </c>
      <c r="Y360" s="3">
        <v>180</v>
      </c>
      <c r="Z360" s="3" t="str">
        <f>IFERROR(MID(VLOOKUP($B360,Seqs!$A:$B,2,0),AA360,1),"")</f>
        <v>K</v>
      </c>
      <c r="AA360" s="3">
        <v>186</v>
      </c>
      <c r="AB360" s="3" t="str">
        <f>IFERROR(MID(VLOOKUP($B360,Seqs!$A:$B,2,0),AC360,1),"")</f>
        <v>K</v>
      </c>
      <c r="AC360" s="3">
        <v>187</v>
      </c>
      <c r="AD360" s="3" t="str">
        <f>IFERROR(MID(VLOOKUP($B360,Seqs!$A:$B,2,0),AE360,1),"")</f>
        <v>V</v>
      </c>
      <c r="AE360" s="3">
        <v>211</v>
      </c>
      <c r="AF360" s="3" t="str">
        <f>IFERROR(MID(VLOOKUP($B360,Seqs!$A:$B,2,0),AG360,1),"")</f>
        <v>C</v>
      </c>
      <c r="AG360" s="3">
        <v>226</v>
      </c>
      <c r="AH360" s="3" t="str">
        <f>IFERROR(MID(VLOOKUP($B360,Seqs!$A:$B,2,0),AI360,1),"")</f>
        <v>D</v>
      </c>
      <c r="AI360" s="3">
        <v>228</v>
      </c>
      <c r="AJ360" s="3" t="str">
        <f>IFERROR(MID(VLOOKUP($B360,Seqs!$A:$B,2,0),AK360,1),"")</f>
        <v>L</v>
      </c>
      <c r="AK360" s="3">
        <v>235</v>
      </c>
      <c r="AL360" s="3" t="str">
        <f>IFERROR(MID(VLOOKUP($B360,Seqs!$A:$B,2,0),AM360,1),"")</f>
        <v>S</v>
      </c>
      <c r="AM360" s="3">
        <v>272</v>
      </c>
      <c r="AN360" s="3" t="str">
        <f>IFERROR(MID(VLOOKUP($B360,Seqs!$A:$B,2,0),AO360,1),"")</f>
        <v>S</v>
      </c>
      <c r="AO360" s="3">
        <v>278</v>
      </c>
      <c r="AP360" s="3" t="str">
        <f>IFERROR(MID(VLOOKUP($B360,Seqs!$A:$B,2,0),AQ360,1),"")</f>
        <v>Q</v>
      </c>
      <c r="AQ360" s="3">
        <v>317</v>
      </c>
      <c r="AR360" s="3" t="str">
        <f>IFERROR(MID(VLOOKUP($B360,Seqs!$A:$B,2,0),AS360,1),"")</f>
        <v>V</v>
      </c>
      <c r="AS360" s="3">
        <v>322</v>
      </c>
      <c r="AT360" s="3" t="str">
        <f>IFERROR(MID(VLOOKUP($B360,Seqs!$A:$B,2,0),AU360,1),"")</f>
        <v>V</v>
      </c>
      <c r="AU360" s="3">
        <v>347</v>
      </c>
      <c r="AV360" s="3" t="str">
        <f>IFERROR(MID(VLOOKUP($B360,Seqs!$A:$B,2,0),AW360,1),"")</f>
        <v>S</v>
      </c>
      <c r="AW360" s="3">
        <v>348</v>
      </c>
      <c r="AX360" s="3" t="str">
        <f>IFERROR(MID(VLOOKUP($B360,Seqs!$A:$B,2,0),AY360,1),"")</f>
        <v>R</v>
      </c>
      <c r="AY360" s="3">
        <v>362</v>
      </c>
      <c r="AZ360" s="77" t="str">
        <f>VLOOKUP(B360,Classification!A:D,2,0)</f>
        <v>A</v>
      </c>
      <c r="BA360" s="94" t="str">
        <f>VLOOKUP(B360,Classification!A:D,4,0)</f>
        <v>Proteinase-activated</v>
      </c>
      <c r="BB360" s="27" t="b">
        <f t="shared" ref="BB360:BB379" si="3048">AND(E360&lt;G360,OR(G360&lt;I360,I360="-"),OR(I360&lt;K360,I360="-"),OR(K360&lt;M360,K360="-"),M360&lt;O360,OR(O360&lt;Q360,Q360="-"),OR(Q360&lt;S360,Q360="-"),OR(S360&lt;U360,S360="-"),U360&lt;W360,OR(W360&lt;Y360,Y360="-"),OR(Y360&lt;AA360,Y360="-"),OR(AA360&lt;AC360,AA360="-"),AC360&lt;AE360,OR(AE360&lt;AG360,AG360="-"),OR(AG360&lt;AI360,AG360="-"),OR(AI360&lt;AK360,AI360="-"),AK360&lt;AM360,AM360&lt;AO360,AO360&lt;AQ360,AQ360&lt;AS360,AS360&lt;AU360,OR(AU360&lt;AW360,AW360="-"),OR(AW360&lt;AY360,AW360="-"))</f>
        <v>1</v>
      </c>
      <c r="BC360" s="23">
        <f t="shared" ref="BC360:BC379" si="3049">_xlfn.AGGREGATE(9,6,CH360:CS360)-_xlfn.AGGREGATE(9,6,BV360:CG360)+12</f>
        <v>260</v>
      </c>
      <c r="BD360" s="2" t="s">
        <v>23</v>
      </c>
      <c r="BE360" s="3" t="s">
        <v>23</v>
      </c>
      <c r="BF360" s="118" t="s">
        <v>23</v>
      </c>
      <c r="BG360" s="49" t="s">
        <v>1377</v>
      </c>
      <c r="BH360" s="49" t="s">
        <v>1377</v>
      </c>
      <c r="BI360" s="1"/>
      <c r="BJ360" s="70" t="s">
        <v>1287</v>
      </c>
      <c r="BK360" s="57" t="s">
        <v>1287</v>
      </c>
      <c r="BL360" s="57" t="s">
        <v>1287</v>
      </c>
      <c r="BM360" s="57" t="s">
        <v>1287</v>
      </c>
      <c r="BN360" s="57" t="s">
        <v>1287</v>
      </c>
      <c r="BO360" s="57" t="s">
        <v>1287</v>
      </c>
      <c r="BP360" s="57" t="s">
        <v>1287</v>
      </c>
      <c r="BQ360" s="57" t="s">
        <v>1287</v>
      </c>
      <c r="BR360" s="57" t="s">
        <v>1287</v>
      </c>
      <c r="BS360" s="57" t="s">
        <v>1287</v>
      </c>
      <c r="BT360" s="57" t="s">
        <v>1287</v>
      </c>
      <c r="BU360" s="57" t="s">
        <v>1287</v>
      </c>
      <c r="BV360" s="70">
        <f t="shared" ref="BV360:BV379" si="3050">E360</f>
        <v>71</v>
      </c>
      <c r="BW360" s="71" t="str">
        <f t="shared" ref="BW360:BW379" si="3051">I360</f>
        <v>-</v>
      </c>
      <c r="BX360" s="72">
        <f t="shared" ref="BX360:BX379" si="3052">M360</f>
        <v>108</v>
      </c>
      <c r="BY360" s="71">
        <f t="shared" ref="BY360:BY379" si="3053">Q360</f>
        <v>138</v>
      </c>
      <c r="BZ360" s="72">
        <f t="shared" ref="BZ360:BZ379" si="3054">U360</f>
        <v>144</v>
      </c>
      <c r="CA360" s="71">
        <f t="shared" ref="CA360:CA379" si="3055">Y360</f>
        <v>180</v>
      </c>
      <c r="CB360" s="72">
        <f t="shared" ref="CB360:CB379" si="3056">AC360</f>
        <v>187</v>
      </c>
      <c r="CC360" s="71">
        <f t="shared" ref="CC360:CC379" si="3057">AG360</f>
        <v>226</v>
      </c>
      <c r="CD360" s="72">
        <f t="shared" ref="CD360:CD379" si="3058">AK360</f>
        <v>235</v>
      </c>
      <c r="CE360" s="71">
        <f t="shared" ref="CE360:CE379" si="3059">AO360</f>
        <v>278</v>
      </c>
      <c r="CF360" s="72">
        <f t="shared" ref="CF360:CF379" si="3060">AS360</f>
        <v>322</v>
      </c>
      <c r="CG360" s="71">
        <f t="shared" ref="CG360:CG379" si="3061">AW360</f>
        <v>348</v>
      </c>
      <c r="CH360" s="70">
        <f t="shared" ref="CH360:CH379" si="3062">G360</f>
        <v>103</v>
      </c>
      <c r="CI360" s="71" t="str">
        <f t="shared" ref="CI360:CI379" si="3063">K360</f>
        <v>-</v>
      </c>
      <c r="CJ360" s="72">
        <f t="shared" ref="CJ360:CJ379" si="3064">O360</f>
        <v>137</v>
      </c>
      <c r="CK360" s="72">
        <f t="shared" ref="CK360:CK379" si="3065">S360</f>
        <v>143</v>
      </c>
      <c r="CL360" s="72">
        <f t="shared" ref="CL360:CL379" si="3066">W360</f>
        <v>179</v>
      </c>
      <c r="CM360" s="72">
        <f t="shared" ref="CM360:CM379" si="3067">AA360</f>
        <v>186</v>
      </c>
      <c r="CN360" s="72">
        <f t="shared" ref="CN360:CN379" si="3068">AE360</f>
        <v>211</v>
      </c>
      <c r="CO360" s="72">
        <f t="shared" ref="CO360:CO379" si="3069">AI360</f>
        <v>228</v>
      </c>
      <c r="CP360" s="72">
        <f t="shared" ref="CP360:CP379" si="3070">AM360</f>
        <v>272</v>
      </c>
      <c r="CQ360" s="72">
        <f t="shared" ref="CQ360:CQ379" si="3071">AQ360</f>
        <v>317</v>
      </c>
      <c r="CR360" s="72">
        <f t="shared" ref="CR360:CR379" si="3072">AU360</f>
        <v>347</v>
      </c>
      <c r="CS360" s="72">
        <f t="shared" ref="CS360:CS379" si="3073">AY360</f>
        <v>362</v>
      </c>
      <c r="CT360" s="23" t="e">
        <f t="shared" ref="CT360:CT379" si="3074">M360-K360</f>
        <v>#VALUE!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</row>
    <row r="361" spans="1:1029" x14ac:dyDescent="0.2">
      <c r="A361" s="3" t="str">
        <f t="shared" si="3047"/>
        <v>par2_human_5NDD</v>
      </c>
      <c r="B361" s="3" t="s">
        <v>356</v>
      </c>
      <c r="C361" s="3" t="s">
        <v>1396</v>
      </c>
      <c r="D361" s="3" t="str">
        <f>IFERROR(MID(VLOOKUP($B361,Seqs!$A:$B,2,0),E361,1),"")</f>
        <v>G</v>
      </c>
      <c r="E361" s="3">
        <v>71</v>
      </c>
      <c r="F361" s="3" t="str">
        <f>IFERROR(MID(VLOOKUP($B361,Seqs!$A:$B,2,0),G361,1),"")</f>
        <v>R</v>
      </c>
      <c r="G361" s="3">
        <v>103</v>
      </c>
      <c r="H361" s="3" t="str">
        <f>IFERROR(MID(VLOOKUP($B361,Seqs!$A:$B,2,0),I361,1),"")</f>
        <v/>
      </c>
      <c r="I361" s="23" t="s">
        <v>23</v>
      </c>
      <c r="J361" s="3" t="str">
        <f>IFERROR(MID(VLOOKUP($B361,Seqs!$A:$B,2,0),K361,1),"")</f>
        <v/>
      </c>
      <c r="K361" s="23" t="s">
        <v>23</v>
      </c>
      <c r="L361" s="3" t="str">
        <f>IFERROR(MID(VLOOKUP($B361,Seqs!$A:$B,2,0),M361,1),"")</f>
        <v>H</v>
      </c>
      <c r="M361" s="3">
        <v>108</v>
      </c>
      <c r="N361" s="3" t="str">
        <f>IFERROR(MID(VLOOKUP($B361,Seqs!$A:$B,2,0),O361,1),"")</f>
        <v>H</v>
      </c>
      <c r="O361" s="3">
        <v>137</v>
      </c>
      <c r="P361" s="3" t="str">
        <f>IFERROR(MID(VLOOKUP($B361,Seqs!$A:$B,2,0),Q361,1),"")</f>
        <v>G</v>
      </c>
      <c r="Q361" s="3">
        <v>138</v>
      </c>
      <c r="R361" s="3" t="str">
        <f>IFERROR(MID(VLOOKUP($B361,Seqs!$A:$B,2,0),S361,1),"")</f>
        <v>Y</v>
      </c>
      <c r="S361" s="3">
        <v>143</v>
      </c>
      <c r="T361" s="3" t="str">
        <f>IFERROR(MID(VLOOKUP($B361,Seqs!$A:$B,2,0),U361,1),"")</f>
        <v>G</v>
      </c>
      <c r="U361" s="3">
        <v>144</v>
      </c>
      <c r="V361" s="3" t="str">
        <f>IFERROR(MID(VLOOKUP($B361,Seqs!$A:$B,2,0),W361,1),"")</f>
        <v>N</v>
      </c>
      <c r="W361" s="3">
        <v>179</v>
      </c>
      <c r="X361" s="3" t="str">
        <f>IFERROR(MID(VLOOKUP($B361,Seqs!$A:$B,2,0),Y361,1),"")</f>
        <v/>
      </c>
      <c r="Y361" s="3" t="s">
        <v>23</v>
      </c>
      <c r="Z361" s="3" t="str">
        <f>IFERROR(MID(VLOOKUP($B361,Seqs!$A:$B,2,0),AA361,1),"")</f>
        <v/>
      </c>
      <c r="AA361" s="3" t="s">
        <v>23</v>
      </c>
      <c r="AB361" s="3" t="str">
        <f>IFERROR(MID(VLOOKUP($B361,Seqs!$A:$B,2,0),AC361,1),"")</f>
        <v>H</v>
      </c>
      <c r="AC361" s="3">
        <v>183</v>
      </c>
      <c r="AD361" s="3" t="str">
        <f>IFERROR(MID(VLOOKUP($B361,Seqs!$A:$B,2,0),AE361,1),"")</f>
        <v>V</v>
      </c>
      <c r="AE361" s="3">
        <v>211</v>
      </c>
      <c r="AF361" s="3" t="str">
        <f>IFERROR(MID(VLOOKUP($B361,Seqs!$A:$B,2,0),AG361,1),"")</f>
        <v>C</v>
      </c>
      <c r="AG361" s="3">
        <v>226</v>
      </c>
      <c r="AH361" s="3" t="str">
        <f>IFERROR(MID(VLOOKUP($B361,Seqs!$A:$B,2,0),AI361,1),"")</f>
        <v>D</v>
      </c>
      <c r="AI361" s="3">
        <v>228</v>
      </c>
      <c r="AJ361" s="3" t="str">
        <f>IFERROR(MID(VLOOKUP($B361,Seqs!$A:$B,2,0),AK361,1),"")</f>
        <v>L</v>
      </c>
      <c r="AK361" s="3">
        <v>235</v>
      </c>
      <c r="AL361" s="3" t="str">
        <f>IFERROR(MID(VLOOKUP($B361,Seqs!$A:$B,2,0),AM361,1),"")</f>
        <v>L</v>
      </c>
      <c r="AM361" s="3">
        <v>269</v>
      </c>
      <c r="AN361" s="3" t="str">
        <f>IFERROR(MID(VLOOKUP($B361,Seqs!$A:$B,2,0),AO361,1),"")</f>
        <v>S</v>
      </c>
      <c r="AO361" s="3">
        <v>278</v>
      </c>
      <c r="AP361" s="3" t="str">
        <f>IFERROR(MID(VLOOKUP($B361,Seqs!$A:$B,2,0),AQ361,1),"")</f>
        <v>Q</v>
      </c>
      <c r="AQ361" s="3">
        <v>317</v>
      </c>
      <c r="AR361" s="3" t="str">
        <f>IFERROR(MID(VLOOKUP($B361,Seqs!$A:$B,2,0),AS361,1),"")</f>
        <v>V</v>
      </c>
      <c r="AS361" s="3">
        <v>322</v>
      </c>
      <c r="AT361" s="3" t="str">
        <f>IFERROR(MID(VLOOKUP($B361,Seqs!$A:$B,2,0),AU361,1),"")</f>
        <v>V</v>
      </c>
      <c r="AU361" s="3">
        <v>347</v>
      </c>
      <c r="AV361" s="3" t="str">
        <f>IFERROR(MID(VLOOKUP($B361,Seqs!$A:$B,2,0),AW361,1),"")</f>
        <v>S</v>
      </c>
      <c r="AW361" s="3">
        <v>348</v>
      </c>
      <c r="AX361" s="3" t="str">
        <f>IFERROR(MID(VLOOKUP($B361,Seqs!$A:$B,2,0),AY361,1),"")</f>
        <v>L</v>
      </c>
      <c r="AY361" s="3">
        <v>359</v>
      </c>
      <c r="AZ361" s="77" t="str">
        <f>VLOOKUP(B361,Classification!A:D,2,0)</f>
        <v>A</v>
      </c>
      <c r="BA361" s="94" t="str">
        <f>VLOOKUP(B361,Classification!A:D,4,0)</f>
        <v>Proteinase-activated</v>
      </c>
      <c r="BB361" s="27" t="b">
        <f t="shared" si="3048"/>
        <v>1</v>
      </c>
      <c r="BC361" s="23">
        <f t="shared" si="3049"/>
        <v>252</v>
      </c>
      <c r="BD361" s="2" t="s">
        <v>1429</v>
      </c>
      <c r="BE361" s="3" t="s">
        <v>1428</v>
      </c>
      <c r="BF361" s="118">
        <v>2.8</v>
      </c>
      <c r="BG361" s="49" t="s">
        <v>1</v>
      </c>
      <c r="BH361" s="49" t="s">
        <v>1377</v>
      </c>
      <c r="BI361" s="1"/>
      <c r="BJ361" s="70" t="s">
        <v>1287</v>
      </c>
      <c r="BK361" s="57" t="s">
        <v>1287</v>
      </c>
      <c r="BL361" s="57" t="s">
        <v>1287</v>
      </c>
      <c r="BM361" s="57" t="s">
        <v>1287</v>
      </c>
      <c r="BN361" s="57" t="s">
        <v>1287</v>
      </c>
      <c r="BO361" s="57" t="s">
        <v>1287</v>
      </c>
      <c r="BP361" s="57" t="s">
        <v>1287</v>
      </c>
      <c r="BQ361" s="57" t="s">
        <v>1287</v>
      </c>
      <c r="BR361" s="57" t="s">
        <v>1287</v>
      </c>
      <c r="BS361" s="57" t="s">
        <v>1287</v>
      </c>
      <c r="BT361" s="57" t="s">
        <v>1287</v>
      </c>
      <c r="BU361" s="57" t="s">
        <v>1287</v>
      </c>
      <c r="BV361" s="70">
        <f t="shared" si="3050"/>
        <v>71</v>
      </c>
      <c r="BW361" s="71" t="str">
        <f t="shared" si="3051"/>
        <v>-</v>
      </c>
      <c r="BX361" s="72">
        <f t="shared" si="3052"/>
        <v>108</v>
      </c>
      <c r="BY361" s="71">
        <f t="shared" si="3053"/>
        <v>138</v>
      </c>
      <c r="BZ361" s="72">
        <f t="shared" si="3054"/>
        <v>144</v>
      </c>
      <c r="CA361" s="71" t="str">
        <f t="shared" si="3055"/>
        <v>-</v>
      </c>
      <c r="CB361" s="72">
        <f t="shared" si="3056"/>
        <v>183</v>
      </c>
      <c r="CC361" s="71">
        <f t="shared" si="3057"/>
        <v>226</v>
      </c>
      <c r="CD361" s="72">
        <f t="shared" si="3058"/>
        <v>235</v>
      </c>
      <c r="CE361" s="71">
        <f t="shared" si="3059"/>
        <v>278</v>
      </c>
      <c r="CF361" s="72">
        <f t="shared" si="3060"/>
        <v>322</v>
      </c>
      <c r="CG361" s="71">
        <f t="shared" si="3061"/>
        <v>348</v>
      </c>
      <c r="CH361" s="70">
        <f t="shared" si="3062"/>
        <v>103</v>
      </c>
      <c r="CI361" s="71" t="str">
        <f t="shared" si="3063"/>
        <v>-</v>
      </c>
      <c r="CJ361" s="72">
        <f t="shared" si="3064"/>
        <v>137</v>
      </c>
      <c r="CK361" s="72">
        <f t="shared" si="3065"/>
        <v>143</v>
      </c>
      <c r="CL361" s="72">
        <f t="shared" si="3066"/>
        <v>179</v>
      </c>
      <c r="CM361" s="72" t="str">
        <f t="shared" si="3067"/>
        <v>-</v>
      </c>
      <c r="CN361" s="72">
        <f t="shared" si="3068"/>
        <v>211</v>
      </c>
      <c r="CO361" s="72">
        <f t="shared" si="3069"/>
        <v>228</v>
      </c>
      <c r="CP361" s="72">
        <f t="shared" si="3070"/>
        <v>269</v>
      </c>
      <c r="CQ361" s="72">
        <f t="shared" si="3071"/>
        <v>317</v>
      </c>
      <c r="CR361" s="72">
        <f t="shared" si="3072"/>
        <v>347</v>
      </c>
      <c r="CS361" s="72">
        <f t="shared" si="3073"/>
        <v>359</v>
      </c>
      <c r="CT361" s="23" t="e">
        <f t="shared" si="3074"/>
        <v>#VALUE!</v>
      </c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</row>
    <row r="362" spans="1:1029" x14ac:dyDescent="0.2">
      <c r="A362" s="3" t="str">
        <f t="shared" si="3047"/>
        <v>par2_human_5NDZ</v>
      </c>
      <c r="B362" s="3" t="s">
        <v>356</v>
      </c>
      <c r="C362" s="3" t="s">
        <v>1397</v>
      </c>
      <c r="D362" s="3" t="str">
        <f>IFERROR(MID(VLOOKUP($B362,Seqs!$A:$B,2,0),E362,1),"")</f>
        <v>G</v>
      </c>
      <c r="E362" s="3">
        <v>71</v>
      </c>
      <c r="F362" s="3" t="str">
        <f>IFERROR(MID(VLOOKUP($B362,Seqs!$A:$B,2,0),G362,1),"")</f>
        <v>R</v>
      </c>
      <c r="G362" s="3">
        <v>103</v>
      </c>
      <c r="H362" s="3" t="str">
        <f>IFERROR(MID(VLOOKUP($B362,Seqs!$A:$B,2,0),I362,1),"")</f>
        <v/>
      </c>
      <c r="I362" s="23" t="s">
        <v>23</v>
      </c>
      <c r="J362" s="3" t="str">
        <f>IFERROR(MID(VLOOKUP($B362,Seqs!$A:$B,2,0),K362,1),"")</f>
        <v/>
      </c>
      <c r="K362" s="23" t="s">
        <v>23</v>
      </c>
      <c r="L362" s="3" t="str">
        <f>IFERROR(MID(VLOOKUP($B362,Seqs!$A:$B,2,0),M362,1),"")</f>
        <v>H</v>
      </c>
      <c r="M362" s="3">
        <v>108</v>
      </c>
      <c r="N362" s="3" t="str">
        <f>IFERROR(MID(VLOOKUP($B362,Seqs!$A:$B,2,0),O362,1),"")</f>
        <v>H</v>
      </c>
      <c r="O362" s="3">
        <v>137</v>
      </c>
      <c r="P362" s="3" t="str">
        <f>IFERROR(MID(VLOOKUP($B362,Seqs!$A:$B,2,0),Q362,1),"")</f>
        <v>G</v>
      </c>
      <c r="Q362" s="3">
        <v>138</v>
      </c>
      <c r="R362" s="3" t="str">
        <f>IFERROR(MID(VLOOKUP($B362,Seqs!$A:$B,2,0),S362,1),"")</f>
        <v>Y</v>
      </c>
      <c r="S362" s="3">
        <v>143</v>
      </c>
      <c r="T362" s="3" t="str">
        <f>IFERROR(MID(VLOOKUP($B362,Seqs!$A:$B,2,0),U362,1),"")</f>
        <v>G</v>
      </c>
      <c r="U362" s="3">
        <v>144</v>
      </c>
      <c r="V362" s="3" t="str">
        <f>IFERROR(MID(VLOOKUP($B362,Seqs!$A:$B,2,0),W362,1),"")</f>
        <v>N</v>
      </c>
      <c r="W362" s="3">
        <v>179</v>
      </c>
      <c r="X362" s="3" t="str">
        <f>IFERROR(MID(VLOOKUP($B362,Seqs!$A:$B,2,0),Y362,1),"")</f>
        <v/>
      </c>
      <c r="Y362" s="3" t="s">
        <v>23</v>
      </c>
      <c r="Z362" s="3" t="str">
        <f>IFERROR(MID(VLOOKUP($B362,Seqs!$A:$B,2,0),AA362,1),"")</f>
        <v/>
      </c>
      <c r="AA362" s="3" t="s">
        <v>23</v>
      </c>
      <c r="AB362" s="3" t="str">
        <f>IFERROR(MID(VLOOKUP($B362,Seqs!$A:$B,2,0),AC362,1),"")</f>
        <v>H</v>
      </c>
      <c r="AC362" s="3">
        <v>183</v>
      </c>
      <c r="AD362" s="3" t="str">
        <f>IFERROR(MID(VLOOKUP($B362,Seqs!$A:$B,2,0),AE362,1),"")</f>
        <v>V</v>
      </c>
      <c r="AE362" s="3">
        <v>211</v>
      </c>
      <c r="AF362" s="3" t="str">
        <f>IFERROR(MID(VLOOKUP($B362,Seqs!$A:$B,2,0),AG362,1),"")</f>
        <v>C</v>
      </c>
      <c r="AG362" s="3">
        <v>226</v>
      </c>
      <c r="AH362" s="3" t="str">
        <f>IFERROR(MID(VLOOKUP($B362,Seqs!$A:$B,2,0),AI362,1),"")</f>
        <v>D</v>
      </c>
      <c r="AI362" s="3">
        <v>228</v>
      </c>
      <c r="AJ362" s="3" t="str">
        <f>IFERROR(MID(VLOOKUP($B362,Seqs!$A:$B,2,0),AK362,1),"")</f>
        <v>L</v>
      </c>
      <c r="AK362" s="3">
        <v>235</v>
      </c>
      <c r="AL362" s="3" t="str">
        <f>IFERROR(MID(VLOOKUP($B362,Seqs!$A:$B,2,0),AM362,1),"")</f>
        <v>L</v>
      </c>
      <c r="AM362" s="3">
        <v>269</v>
      </c>
      <c r="AN362" s="3" t="str">
        <f>IFERROR(MID(VLOOKUP($B362,Seqs!$A:$B,2,0),AO362,1),"")</f>
        <v>S</v>
      </c>
      <c r="AO362" s="3">
        <v>278</v>
      </c>
      <c r="AP362" s="3" t="str">
        <f>IFERROR(MID(VLOOKUP($B362,Seqs!$A:$B,2,0),AQ362,1),"")</f>
        <v>Q</v>
      </c>
      <c r="AQ362" s="3">
        <v>317</v>
      </c>
      <c r="AR362" s="3" t="str">
        <f>IFERROR(MID(VLOOKUP($B362,Seqs!$A:$B,2,0),AS362,1),"")</f>
        <v>V</v>
      </c>
      <c r="AS362" s="3">
        <v>322</v>
      </c>
      <c r="AT362" s="3" t="str">
        <f>IFERROR(MID(VLOOKUP($B362,Seqs!$A:$B,2,0),AU362,1),"")</f>
        <v>S</v>
      </c>
      <c r="AU362" s="3">
        <v>348</v>
      </c>
      <c r="AV362" s="3" t="str">
        <f>IFERROR(MID(VLOOKUP($B362,Seqs!$A:$B,2,0),AW362,1),"")</f>
        <v>H</v>
      </c>
      <c r="AW362" s="3">
        <v>349</v>
      </c>
      <c r="AX362" s="3" t="str">
        <f>IFERROR(MID(VLOOKUP($B362,Seqs!$A:$B,2,0),AY362,1),"")</f>
        <v>L</v>
      </c>
      <c r="AY362" s="3">
        <v>359</v>
      </c>
      <c r="AZ362" s="77" t="str">
        <f>VLOOKUP(B362,Classification!A:D,2,0)</f>
        <v>A</v>
      </c>
      <c r="BA362" s="94" t="str">
        <f>VLOOKUP(B362,Classification!A:D,4,0)</f>
        <v>Proteinase-activated</v>
      </c>
      <c r="BB362" s="27" t="b">
        <f t="shared" si="3048"/>
        <v>1</v>
      </c>
      <c r="BC362" s="23">
        <f t="shared" si="3049"/>
        <v>252</v>
      </c>
      <c r="BD362" s="2" t="s">
        <v>23</v>
      </c>
      <c r="BE362" s="3" t="s">
        <v>1428</v>
      </c>
      <c r="BF362" s="118">
        <v>3.6</v>
      </c>
      <c r="BG362" s="49" t="s">
        <v>1</v>
      </c>
      <c r="BH362" s="49" t="s">
        <v>1377</v>
      </c>
      <c r="BI362" s="1"/>
      <c r="BJ362" s="70" t="s">
        <v>1287</v>
      </c>
      <c r="BK362" s="57" t="s">
        <v>1287</v>
      </c>
      <c r="BL362" s="57" t="s">
        <v>1287</v>
      </c>
      <c r="BM362" s="57" t="s">
        <v>1287</v>
      </c>
      <c r="BN362" s="57" t="s">
        <v>1287</v>
      </c>
      <c r="BO362" s="57" t="s">
        <v>1287</v>
      </c>
      <c r="BP362" s="57" t="s">
        <v>1287</v>
      </c>
      <c r="BQ362" s="57" t="s">
        <v>1287</v>
      </c>
      <c r="BR362" s="57" t="s">
        <v>1287</v>
      </c>
      <c r="BS362" s="57" t="s">
        <v>1287</v>
      </c>
      <c r="BT362" s="57" t="s">
        <v>1287</v>
      </c>
      <c r="BU362" s="57" t="s">
        <v>1287</v>
      </c>
      <c r="BV362" s="70">
        <f t="shared" si="3050"/>
        <v>71</v>
      </c>
      <c r="BW362" s="71" t="str">
        <f t="shared" si="3051"/>
        <v>-</v>
      </c>
      <c r="BX362" s="72">
        <f t="shared" si="3052"/>
        <v>108</v>
      </c>
      <c r="BY362" s="71">
        <f t="shared" si="3053"/>
        <v>138</v>
      </c>
      <c r="BZ362" s="72">
        <f t="shared" si="3054"/>
        <v>144</v>
      </c>
      <c r="CA362" s="71" t="str">
        <f t="shared" si="3055"/>
        <v>-</v>
      </c>
      <c r="CB362" s="72">
        <f t="shared" si="3056"/>
        <v>183</v>
      </c>
      <c r="CC362" s="71">
        <f t="shared" si="3057"/>
        <v>226</v>
      </c>
      <c r="CD362" s="72">
        <f t="shared" si="3058"/>
        <v>235</v>
      </c>
      <c r="CE362" s="71">
        <f t="shared" si="3059"/>
        <v>278</v>
      </c>
      <c r="CF362" s="72">
        <f t="shared" si="3060"/>
        <v>322</v>
      </c>
      <c r="CG362" s="71">
        <f t="shared" si="3061"/>
        <v>349</v>
      </c>
      <c r="CH362" s="70">
        <f t="shared" si="3062"/>
        <v>103</v>
      </c>
      <c r="CI362" s="71" t="str">
        <f t="shared" si="3063"/>
        <v>-</v>
      </c>
      <c r="CJ362" s="72">
        <f t="shared" si="3064"/>
        <v>137</v>
      </c>
      <c r="CK362" s="72">
        <f t="shared" si="3065"/>
        <v>143</v>
      </c>
      <c r="CL362" s="72">
        <f t="shared" si="3066"/>
        <v>179</v>
      </c>
      <c r="CM362" s="72" t="str">
        <f t="shared" si="3067"/>
        <v>-</v>
      </c>
      <c r="CN362" s="72">
        <f t="shared" si="3068"/>
        <v>211</v>
      </c>
      <c r="CO362" s="72">
        <f t="shared" si="3069"/>
        <v>228</v>
      </c>
      <c r="CP362" s="72">
        <f t="shared" si="3070"/>
        <v>269</v>
      </c>
      <c r="CQ362" s="72">
        <f t="shared" si="3071"/>
        <v>317</v>
      </c>
      <c r="CR362" s="72">
        <f t="shared" si="3072"/>
        <v>348</v>
      </c>
      <c r="CS362" s="72">
        <f t="shared" si="3073"/>
        <v>359</v>
      </c>
      <c r="CT362" s="23" t="e">
        <f t="shared" si="3074"/>
        <v>#VALUE!</v>
      </c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</row>
    <row r="363" spans="1:1029" x14ac:dyDescent="0.2">
      <c r="A363" s="3" t="str">
        <f t="shared" si="3047"/>
        <v>par2_human_5NJ6</v>
      </c>
      <c r="B363" s="3" t="s">
        <v>356</v>
      </c>
      <c r="C363" s="3" t="s">
        <v>1398</v>
      </c>
      <c r="D363" s="3" t="str">
        <f>IFERROR(MID(VLOOKUP($B363,Seqs!$A:$B,2,0),E363,1),"")</f>
        <v>G</v>
      </c>
      <c r="E363" s="3">
        <v>71</v>
      </c>
      <c r="F363" s="3" t="str">
        <f>IFERROR(MID(VLOOKUP($B363,Seqs!$A:$B,2,0),G363,1),"")</f>
        <v>R</v>
      </c>
      <c r="G363" s="3">
        <v>103</v>
      </c>
      <c r="H363" s="3" t="str">
        <f>IFERROR(MID(VLOOKUP($B363,Seqs!$A:$B,2,0),I363,1),"")</f>
        <v/>
      </c>
      <c r="I363" s="23" t="s">
        <v>23</v>
      </c>
      <c r="J363" s="3" t="str">
        <f>IFERROR(MID(VLOOKUP($B363,Seqs!$A:$B,2,0),K363,1),"")</f>
        <v/>
      </c>
      <c r="K363" s="23" t="s">
        <v>23</v>
      </c>
      <c r="L363" s="3" t="str">
        <f>IFERROR(MID(VLOOKUP($B363,Seqs!$A:$B,2,0),M363,1),"")</f>
        <v>H</v>
      </c>
      <c r="M363" s="3">
        <v>108</v>
      </c>
      <c r="N363" s="3" t="str">
        <f>IFERROR(MID(VLOOKUP($B363,Seqs!$A:$B,2,0),O363,1),"")</f>
        <v>H</v>
      </c>
      <c r="O363" s="3">
        <v>137</v>
      </c>
      <c r="P363" s="3" t="str">
        <f>IFERROR(MID(VLOOKUP($B363,Seqs!$A:$B,2,0),Q363,1),"")</f>
        <v>G</v>
      </c>
      <c r="Q363" s="3">
        <v>138</v>
      </c>
      <c r="R363" s="3" t="str">
        <f>IFERROR(MID(VLOOKUP($B363,Seqs!$A:$B,2,0),S363,1),"")</f>
        <v>Y</v>
      </c>
      <c r="S363" s="3">
        <v>143</v>
      </c>
      <c r="T363" s="3" t="str">
        <f>IFERROR(MID(VLOOKUP($B363,Seqs!$A:$B,2,0),U363,1),"")</f>
        <v>G</v>
      </c>
      <c r="U363" s="3">
        <v>144</v>
      </c>
      <c r="V363" s="3" t="str">
        <f>IFERROR(MID(VLOOKUP($B363,Seqs!$A:$B,2,0),W363,1),"")</f>
        <v>N</v>
      </c>
      <c r="W363" s="3">
        <v>179</v>
      </c>
      <c r="X363" s="3" t="str">
        <f>IFERROR(MID(VLOOKUP($B363,Seqs!$A:$B,2,0),Y363,1),"")</f>
        <v/>
      </c>
      <c r="Y363" s="3" t="s">
        <v>23</v>
      </c>
      <c r="Z363" s="3" t="str">
        <f>IFERROR(MID(VLOOKUP($B363,Seqs!$A:$B,2,0),AA363,1),"")</f>
        <v/>
      </c>
      <c r="AA363" s="3" t="s">
        <v>23</v>
      </c>
      <c r="AB363" s="3" t="str">
        <f>IFERROR(MID(VLOOKUP($B363,Seqs!$A:$B,2,0),AC363,1),"")</f>
        <v>H</v>
      </c>
      <c r="AC363" s="3">
        <v>183</v>
      </c>
      <c r="AD363" s="3" t="str">
        <f>IFERROR(MID(VLOOKUP($B363,Seqs!$A:$B,2,0),AE363,1),"")</f>
        <v>V</v>
      </c>
      <c r="AE363" s="3">
        <v>211</v>
      </c>
      <c r="AF363" s="3" t="str">
        <f>IFERROR(MID(VLOOKUP($B363,Seqs!$A:$B,2,0),AG363,1),"")</f>
        <v>C</v>
      </c>
      <c r="AG363" s="3">
        <v>226</v>
      </c>
      <c r="AH363" s="3" t="str">
        <f>IFERROR(MID(VLOOKUP($B363,Seqs!$A:$B,2,0),AI363,1),"")</f>
        <v>D</v>
      </c>
      <c r="AI363" s="3">
        <v>228</v>
      </c>
      <c r="AJ363" s="3" t="str">
        <f>IFERROR(MID(VLOOKUP($B363,Seqs!$A:$B,2,0),AK363,1),"")</f>
        <v>L</v>
      </c>
      <c r="AK363" s="3">
        <v>235</v>
      </c>
      <c r="AL363" s="3" t="str">
        <f>IFERROR(MID(VLOOKUP($B363,Seqs!$A:$B,2,0),AM363,1),"")</f>
        <v>L</v>
      </c>
      <c r="AM363" s="3">
        <v>269</v>
      </c>
      <c r="AN363" s="3" t="str">
        <f>IFERROR(MID(VLOOKUP($B363,Seqs!$A:$B,2,0),AO363,1),"")</f>
        <v>S</v>
      </c>
      <c r="AO363" s="3">
        <v>278</v>
      </c>
      <c r="AP363" s="3" t="str">
        <f>IFERROR(MID(VLOOKUP($B363,Seqs!$A:$B,2,0),AQ363,1),"")</f>
        <v>Q</v>
      </c>
      <c r="AQ363" s="3">
        <v>317</v>
      </c>
      <c r="AR363" s="3" t="str">
        <f>IFERROR(MID(VLOOKUP($B363,Seqs!$A:$B,2,0),AS363,1),"")</f>
        <v>V</v>
      </c>
      <c r="AS363" s="3">
        <v>322</v>
      </c>
      <c r="AT363" s="3" t="str">
        <f>IFERROR(MID(VLOOKUP($B363,Seqs!$A:$B,2,0),AU363,1),"")</f>
        <v>S</v>
      </c>
      <c r="AU363" s="3">
        <v>348</v>
      </c>
      <c r="AV363" s="3" t="str">
        <f>IFERROR(MID(VLOOKUP($B363,Seqs!$A:$B,2,0),AW363,1),"")</f>
        <v>H</v>
      </c>
      <c r="AW363" s="3">
        <v>349</v>
      </c>
      <c r="AX363" s="3" t="str">
        <f>IFERROR(MID(VLOOKUP($B363,Seqs!$A:$B,2,0),AY363,1),"")</f>
        <v>L</v>
      </c>
      <c r="AY363" s="3">
        <v>359</v>
      </c>
      <c r="AZ363" s="77" t="str">
        <f>VLOOKUP(B363,Classification!A:D,2,0)</f>
        <v>A</v>
      </c>
      <c r="BA363" s="94" t="str">
        <f>VLOOKUP(B363,Classification!A:D,4,0)</f>
        <v>Proteinase-activated</v>
      </c>
      <c r="BB363" s="27" t="b">
        <f t="shared" si="3048"/>
        <v>1</v>
      </c>
      <c r="BC363" s="23">
        <f t="shared" si="3049"/>
        <v>252</v>
      </c>
      <c r="BD363" s="2" t="s">
        <v>23</v>
      </c>
      <c r="BE363" s="3" t="s">
        <v>1428</v>
      </c>
      <c r="BF363" s="118">
        <v>4</v>
      </c>
      <c r="BG363" s="49" t="s">
        <v>1</v>
      </c>
      <c r="BH363" s="49" t="s">
        <v>1377</v>
      </c>
      <c r="BI363" s="1"/>
      <c r="BJ363" s="70" t="s">
        <v>1287</v>
      </c>
      <c r="BK363" s="57" t="s">
        <v>1287</v>
      </c>
      <c r="BL363" s="57" t="s">
        <v>1287</v>
      </c>
      <c r="BM363" s="57" t="s">
        <v>1287</v>
      </c>
      <c r="BN363" s="57" t="s">
        <v>1287</v>
      </c>
      <c r="BO363" s="57" t="s">
        <v>1287</v>
      </c>
      <c r="BP363" s="57" t="s">
        <v>1287</v>
      </c>
      <c r="BQ363" s="57" t="s">
        <v>1287</v>
      </c>
      <c r="BR363" s="57" t="s">
        <v>1287</v>
      </c>
      <c r="BS363" s="57" t="s">
        <v>1287</v>
      </c>
      <c r="BT363" s="57" t="s">
        <v>1287</v>
      </c>
      <c r="BU363" s="57" t="s">
        <v>1287</v>
      </c>
      <c r="BV363" s="70">
        <f t="shared" si="3050"/>
        <v>71</v>
      </c>
      <c r="BW363" s="71" t="str">
        <f t="shared" si="3051"/>
        <v>-</v>
      </c>
      <c r="BX363" s="72">
        <f t="shared" si="3052"/>
        <v>108</v>
      </c>
      <c r="BY363" s="71">
        <f t="shared" si="3053"/>
        <v>138</v>
      </c>
      <c r="BZ363" s="72">
        <f t="shared" si="3054"/>
        <v>144</v>
      </c>
      <c r="CA363" s="71" t="str">
        <f t="shared" si="3055"/>
        <v>-</v>
      </c>
      <c r="CB363" s="72">
        <f t="shared" si="3056"/>
        <v>183</v>
      </c>
      <c r="CC363" s="71">
        <f t="shared" si="3057"/>
        <v>226</v>
      </c>
      <c r="CD363" s="72">
        <f t="shared" si="3058"/>
        <v>235</v>
      </c>
      <c r="CE363" s="71">
        <f t="shared" si="3059"/>
        <v>278</v>
      </c>
      <c r="CF363" s="72">
        <f t="shared" si="3060"/>
        <v>322</v>
      </c>
      <c r="CG363" s="71">
        <f t="shared" si="3061"/>
        <v>349</v>
      </c>
      <c r="CH363" s="70">
        <f t="shared" si="3062"/>
        <v>103</v>
      </c>
      <c r="CI363" s="71" t="str">
        <f t="shared" si="3063"/>
        <v>-</v>
      </c>
      <c r="CJ363" s="72">
        <f t="shared" si="3064"/>
        <v>137</v>
      </c>
      <c r="CK363" s="72">
        <f t="shared" si="3065"/>
        <v>143</v>
      </c>
      <c r="CL363" s="72">
        <f t="shared" si="3066"/>
        <v>179</v>
      </c>
      <c r="CM363" s="72" t="str">
        <f t="shared" si="3067"/>
        <v>-</v>
      </c>
      <c r="CN363" s="72">
        <f t="shared" si="3068"/>
        <v>211</v>
      </c>
      <c r="CO363" s="72">
        <f t="shared" si="3069"/>
        <v>228</v>
      </c>
      <c r="CP363" s="72">
        <f t="shared" si="3070"/>
        <v>269</v>
      </c>
      <c r="CQ363" s="72">
        <f t="shared" si="3071"/>
        <v>317</v>
      </c>
      <c r="CR363" s="72">
        <f t="shared" si="3072"/>
        <v>348</v>
      </c>
      <c r="CS363" s="72">
        <f t="shared" si="3073"/>
        <v>359</v>
      </c>
      <c r="CT363" s="23" t="e">
        <f t="shared" si="3074"/>
        <v>#VALUE!</v>
      </c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  <c r="AMO363" s="1"/>
    </row>
    <row r="364" spans="1:1029" x14ac:dyDescent="0.2">
      <c r="A364" s="3" t="str">
        <f t="shared" ref="A364" si="3075">CONCATENATE(B364,"_",C364)</f>
        <v>pd2r2_human__wt</v>
      </c>
      <c r="B364" s="3" t="s">
        <v>360</v>
      </c>
      <c r="C364" s="3" t="s">
        <v>100</v>
      </c>
      <c r="D364" s="3" t="str">
        <f>IFERROR(MID(VLOOKUP($B364,Seqs!$A:$B,2,0),E364,1),"")</f>
        <v>D</v>
      </c>
      <c r="E364" s="3">
        <v>32</v>
      </c>
      <c r="F364" s="3" t="str">
        <f>IFERROR(MID(VLOOKUP($B364,Seqs!$A:$B,2,0),G364,1),"")</f>
        <v>R</v>
      </c>
      <c r="G364" s="3">
        <v>60</v>
      </c>
      <c r="H364" s="3" t="str">
        <f>IFERROR(MID(VLOOKUP($B364,Seqs!$A:$B,2,0),I364,1),"")</f>
        <v/>
      </c>
      <c r="I364" s="23" t="s">
        <v>23</v>
      </c>
      <c r="J364" s="3" t="str">
        <f>IFERROR(MID(VLOOKUP($B364,Seqs!$A:$B,2,0),K364,1),"")</f>
        <v/>
      </c>
      <c r="K364" s="23" t="s">
        <v>23</v>
      </c>
      <c r="L364" s="3" t="str">
        <f>IFERROR(MID(VLOOKUP($B364,Seqs!$A:$B,2,0),M364,1),"")</f>
        <v>T</v>
      </c>
      <c r="M364" s="3">
        <v>64</v>
      </c>
      <c r="N364" s="3" t="str">
        <f>IFERROR(MID(VLOOKUP($B364,Seqs!$A:$B,2,0),O364,1),"")</f>
        <v>G</v>
      </c>
      <c r="O364" s="3">
        <v>94</v>
      </c>
      <c r="P364" s="3" t="str">
        <f>IFERROR(MID(VLOOKUP($B364,Seqs!$A:$B,2,0),Q364,1),"")</f>
        <v>S</v>
      </c>
      <c r="Q364" s="3">
        <v>96</v>
      </c>
      <c r="R364" s="3" t="str">
        <f>IFERROR(MID(VLOOKUP($B364,Seqs!$A:$B,2,0),S364,1),"")</f>
        <v>L</v>
      </c>
      <c r="S364" s="3">
        <v>99</v>
      </c>
      <c r="T364" s="3" t="str">
        <f>IFERROR(MID(VLOOKUP($B364,Seqs!$A:$B,2,0),U364,1),"")</f>
        <v>G</v>
      </c>
      <c r="U364" s="3">
        <v>100</v>
      </c>
      <c r="V364" s="3" t="str">
        <f>IFERROR(MID(VLOOKUP($B364,Seqs!$A:$B,2,0),W364,1),"")</f>
        <v>R</v>
      </c>
      <c r="W364" s="3">
        <v>135</v>
      </c>
      <c r="X364" s="3" t="str">
        <f>IFERROR(MID(VLOOKUP($B364,Seqs!$A:$B,2,0),Y364,1),"")</f>
        <v>P</v>
      </c>
      <c r="Y364" s="3">
        <v>136</v>
      </c>
      <c r="Z364" s="3" t="str">
        <f>IFERROR(MID(VLOOKUP($B364,Seqs!$A:$B,2,0),AA364,1),"")</f>
        <v>R</v>
      </c>
      <c r="AA364" s="3">
        <v>143</v>
      </c>
      <c r="AB364" s="3" t="str">
        <f>IFERROR(MID(VLOOKUP($B364,Seqs!$A:$B,2,0),AC364,1),"")</f>
        <v>T</v>
      </c>
      <c r="AC364" s="3">
        <v>144</v>
      </c>
      <c r="AD364" s="3" t="str">
        <f>IFERROR(MID(VLOOKUP($B364,Seqs!$A:$B,2,0),AE364,1),"")</f>
        <v>R</v>
      </c>
      <c r="AE364" s="3">
        <v>170</v>
      </c>
      <c r="AF364" s="3" t="str">
        <f>IFERROR(MID(VLOOKUP($B364,Seqs!$A:$B,2,0),AG364,1),"")</f>
        <v>C</v>
      </c>
      <c r="AG364" s="3">
        <v>182</v>
      </c>
      <c r="AH364" s="3" t="str">
        <f>IFERROR(MID(VLOOKUP($B364,Seqs!$A:$B,2,0),AI364,1),"")</f>
        <v>Y</v>
      </c>
      <c r="AI364" s="3">
        <v>184</v>
      </c>
      <c r="AJ364" s="3" t="str">
        <f>IFERROR(MID(VLOOKUP($B364,Seqs!$A:$B,2,0),AK364,1),"")</f>
        <v>D</v>
      </c>
      <c r="AK364" s="3">
        <v>194</v>
      </c>
      <c r="AL364" s="3" t="str">
        <f>IFERROR(MID(VLOOKUP($B364,Seqs!$A:$B,2,0),AM364,1),"")</f>
        <v>R</v>
      </c>
      <c r="AM364" s="3">
        <v>236</v>
      </c>
      <c r="AN364" s="3" t="str">
        <f>IFERROR(MID(VLOOKUP($B364,Seqs!$A:$B,2,0),AO364,1),"")</f>
        <v>P</v>
      </c>
      <c r="AO364" s="3">
        <v>241</v>
      </c>
      <c r="AP364" s="3" t="str">
        <f>IFERROR(MID(VLOOKUP($B364,Seqs!$A:$B,2,0),AQ364,1),"")</f>
        <v>A</v>
      </c>
      <c r="AQ364" s="3">
        <v>272</v>
      </c>
      <c r="AR364" s="3" t="str">
        <f>IFERROR(MID(VLOOKUP($B364,Seqs!$A:$B,2,0),AS364,1),"")</f>
        <v>L</v>
      </c>
      <c r="AS364" s="3">
        <v>278</v>
      </c>
      <c r="AT364" s="3" t="str">
        <f>IFERROR(MID(VLOOKUP($B364,Seqs!$A:$B,2,0),AU364,1),"")</f>
        <v>T</v>
      </c>
      <c r="AU364" s="3">
        <v>307</v>
      </c>
      <c r="AV364" s="3" t="str">
        <f>IFERROR(MID(VLOOKUP($B364,Seqs!$A:$B,2,0),AW364,1),"")</f>
        <v>C</v>
      </c>
      <c r="AW364" s="3">
        <v>308</v>
      </c>
      <c r="AX364" s="3" t="str">
        <f>IFERROR(MID(VLOOKUP($B364,Seqs!$A:$B,2,0),AY364,1),"")</f>
        <v>S</v>
      </c>
      <c r="AY364" s="3">
        <v>325</v>
      </c>
      <c r="AZ364" s="77" t="str">
        <f>VLOOKUP(B364,Classification!A:D,2,0)</f>
        <v>A</v>
      </c>
      <c r="BA364" s="94" t="str">
        <f>VLOOKUP(B364,Classification!A:D,4,0)</f>
        <v>Prostanoid</v>
      </c>
      <c r="BB364" s="27" t="b">
        <f t="shared" ref="BB364" si="3076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23">
        <f t="shared" ref="BC364" si="3077">_xlfn.AGGREGATE(9,6,CH364:CS364)-_xlfn.AGGREGATE(9,6,BV364:CG364)+12</f>
        <v>262</v>
      </c>
      <c r="BD364" s="2" t="s">
        <v>23</v>
      </c>
      <c r="BE364" s="3" t="s">
        <v>23</v>
      </c>
      <c r="BF364" s="118" t="s">
        <v>23</v>
      </c>
      <c r="BG364" s="49" t="s">
        <v>23</v>
      </c>
      <c r="BH364" s="49" t="s">
        <v>23</v>
      </c>
      <c r="BI364" s="1"/>
      <c r="BJ364" s="70" t="s">
        <v>1287</v>
      </c>
      <c r="BK364" s="57" t="s">
        <v>1287</v>
      </c>
      <c r="BL364" s="57" t="s">
        <v>1287</v>
      </c>
      <c r="BM364" s="57" t="s">
        <v>1287</v>
      </c>
      <c r="BN364" s="57" t="s">
        <v>1287</v>
      </c>
      <c r="BO364" s="57" t="s">
        <v>1287</v>
      </c>
      <c r="BP364" s="57" t="s">
        <v>1287</v>
      </c>
      <c r="BQ364" s="57" t="s">
        <v>1287</v>
      </c>
      <c r="BR364" s="57" t="s">
        <v>1287</v>
      </c>
      <c r="BS364" s="57" t="s">
        <v>1287</v>
      </c>
      <c r="BT364" s="57" t="s">
        <v>1287</v>
      </c>
      <c r="BU364" s="57" t="s">
        <v>1287</v>
      </c>
      <c r="BV364" s="70">
        <f t="shared" ref="BV364" si="3078">E364</f>
        <v>32</v>
      </c>
      <c r="BW364" s="71" t="str">
        <f t="shared" ref="BW364" si="3079">I364</f>
        <v>-</v>
      </c>
      <c r="BX364" s="72">
        <f t="shared" ref="BX364" si="3080">M364</f>
        <v>64</v>
      </c>
      <c r="BY364" s="71">
        <f t="shared" ref="BY364" si="3081">Q364</f>
        <v>96</v>
      </c>
      <c r="BZ364" s="72">
        <f t="shared" ref="BZ364" si="3082">U364</f>
        <v>100</v>
      </c>
      <c r="CA364" s="71">
        <f t="shared" ref="CA364" si="3083">Y364</f>
        <v>136</v>
      </c>
      <c r="CB364" s="72">
        <f t="shared" ref="CB364" si="3084">AC364</f>
        <v>144</v>
      </c>
      <c r="CC364" s="71">
        <f t="shared" ref="CC364" si="3085">AG364</f>
        <v>182</v>
      </c>
      <c r="CD364" s="72">
        <f t="shared" ref="CD364" si="3086">AK364</f>
        <v>194</v>
      </c>
      <c r="CE364" s="71">
        <f t="shared" ref="CE364" si="3087">AO364</f>
        <v>241</v>
      </c>
      <c r="CF364" s="72">
        <f t="shared" ref="CF364" si="3088">AS364</f>
        <v>278</v>
      </c>
      <c r="CG364" s="71">
        <f t="shared" ref="CG364" si="3089">AW364</f>
        <v>308</v>
      </c>
      <c r="CH364" s="70">
        <f t="shared" ref="CH364" si="3090">G364</f>
        <v>60</v>
      </c>
      <c r="CI364" s="71" t="str">
        <f t="shared" ref="CI364" si="3091">K364</f>
        <v>-</v>
      </c>
      <c r="CJ364" s="72">
        <f t="shared" ref="CJ364" si="3092">O364</f>
        <v>94</v>
      </c>
      <c r="CK364" s="72">
        <f t="shared" ref="CK364" si="3093">S364</f>
        <v>99</v>
      </c>
      <c r="CL364" s="72">
        <f t="shared" ref="CL364" si="3094">W364</f>
        <v>135</v>
      </c>
      <c r="CM364" s="72">
        <f t="shared" ref="CM364" si="3095">AA364</f>
        <v>143</v>
      </c>
      <c r="CN364" s="72">
        <f t="shared" ref="CN364" si="3096">AE364</f>
        <v>170</v>
      </c>
      <c r="CO364" s="72">
        <f t="shared" ref="CO364" si="3097">AI364</f>
        <v>184</v>
      </c>
      <c r="CP364" s="72">
        <f t="shared" ref="CP364" si="3098">AM364</f>
        <v>236</v>
      </c>
      <c r="CQ364" s="72">
        <f t="shared" ref="CQ364" si="3099">AQ364</f>
        <v>272</v>
      </c>
      <c r="CR364" s="72">
        <f t="shared" ref="CR364" si="3100">AU364</f>
        <v>307</v>
      </c>
      <c r="CS364" s="72">
        <f t="shared" ref="CS364" si="3101">AY364</f>
        <v>325</v>
      </c>
      <c r="CT364" s="23" t="e">
        <f t="shared" ref="CT364" si="3102">M364-K364</f>
        <v>#VALUE!</v>
      </c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</row>
    <row r="365" spans="1:1029" x14ac:dyDescent="0.2">
      <c r="A365" s="3" t="str">
        <f t="shared" ref="A365" si="3103">CONCATENATE(B365,"_",C365)</f>
        <v>pd2r2_human_6D26</v>
      </c>
      <c r="B365" s="3" t="s">
        <v>360</v>
      </c>
      <c r="C365" s="3" t="s">
        <v>1517</v>
      </c>
      <c r="D365" s="3" t="str">
        <f>IFERROR(MID(VLOOKUP($B365,Seqs!$A:$B,2,0),E365,1),"")</f>
        <v>D</v>
      </c>
      <c r="E365" s="3">
        <v>32</v>
      </c>
      <c r="F365" s="3" t="str">
        <f>IFERROR(MID(VLOOKUP($B365,Seqs!$A:$B,2,0),G365,1),"")</f>
        <v>R</v>
      </c>
      <c r="G365" s="3">
        <v>60</v>
      </c>
      <c r="H365" s="3" t="str">
        <f>IFERROR(MID(VLOOKUP($B365,Seqs!$A:$B,2,0),I365,1),"")</f>
        <v/>
      </c>
      <c r="I365" s="23" t="s">
        <v>23</v>
      </c>
      <c r="J365" s="3" t="str">
        <f>IFERROR(MID(VLOOKUP($B365,Seqs!$A:$B,2,0),K365,1),"")</f>
        <v/>
      </c>
      <c r="K365" s="23" t="s">
        <v>23</v>
      </c>
      <c r="L365" s="3" t="str">
        <f>IFERROR(MID(VLOOKUP($B365,Seqs!$A:$B,2,0),M365,1),"")</f>
        <v>T</v>
      </c>
      <c r="M365" s="3">
        <v>64</v>
      </c>
      <c r="N365" s="3" t="str">
        <f>IFERROR(MID(VLOOKUP($B365,Seqs!$A:$B,2,0),O365,1),"")</f>
        <v>G</v>
      </c>
      <c r="O365" s="3">
        <v>94</v>
      </c>
      <c r="P365" s="3" t="str">
        <f>IFERROR(MID(VLOOKUP($B365,Seqs!$A:$B,2,0),Q365,1),"")</f>
        <v>S</v>
      </c>
      <c r="Q365" s="3">
        <v>96</v>
      </c>
      <c r="R365" s="3" t="str">
        <f>IFERROR(MID(VLOOKUP($B365,Seqs!$A:$B,2,0),S365,1),"")</f>
        <v>L</v>
      </c>
      <c r="S365" s="3">
        <v>99</v>
      </c>
      <c r="T365" s="3" t="str">
        <f>IFERROR(MID(VLOOKUP($B365,Seqs!$A:$B,2,0),U365,1),"")</f>
        <v>T</v>
      </c>
      <c r="U365" s="3">
        <v>101</v>
      </c>
      <c r="V365" s="3" t="str">
        <f>IFERROR(MID(VLOOKUP($B365,Seqs!$A:$B,2,0),W365,1),"")</f>
        <v>R</v>
      </c>
      <c r="W365" s="3">
        <v>135</v>
      </c>
      <c r="X365" s="3" t="str">
        <f>IFERROR(MID(VLOOKUP($B365,Seqs!$A:$B,2,0),Y365,1),"")</f>
        <v>P</v>
      </c>
      <c r="Y365" s="3">
        <v>136</v>
      </c>
      <c r="Z365" s="3" t="str">
        <f>IFERROR(MID(VLOOKUP($B365,Seqs!$A:$B,2,0),AA365,1),"")</f>
        <v>R</v>
      </c>
      <c r="AA365" s="3">
        <v>143</v>
      </c>
      <c r="AB365" s="3" t="str">
        <f>IFERROR(MID(VLOOKUP($B365,Seqs!$A:$B,2,0),AC365,1),"")</f>
        <v>T</v>
      </c>
      <c r="AC365" s="3">
        <v>144</v>
      </c>
      <c r="AD365" s="3" t="str">
        <f>IFERROR(MID(VLOOKUP($B365,Seqs!$A:$B,2,0),AE365,1),"")</f>
        <v>R</v>
      </c>
      <c r="AE365" s="3">
        <v>170</v>
      </c>
      <c r="AF365" s="3" t="str">
        <f>IFERROR(MID(VLOOKUP($B365,Seqs!$A:$B,2,0),AG365,1),"")</f>
        <v>C</v>
      </c>
      <c r="AG365" s="3">
        <v>182</v>
      </c>
      <c r="AH365" s="3" t="str">
        <f>IFERROR(MID(VLOOKUP($B365,Seqs!$A:$B,2,0),AI365,1),"")</f>
        <v>Y</v>
      </c>
      <c r="AI365" s="3">
        <v>184</v>
      </c>
      <c r="AJ365" s="3" t="str">
        <f>IFERROR(MID(VLOOKUP($B365,Seqs!$A:$B,2,0),AK365,1),"")</f>
        <v>D</v>
      </c>
      <c r="AK365" s="3">
        <v>194</v>
      </c>
      <c r="AL365" s="3" t="str">
        <f>IFERROR(MID(VLOOKUP($B365,Seqs!$A:$B,2,0),AM365,1),"")</f>
        <v>R</v>
      </c>
      <c r="AM365" s="3">
        <v>236</v>
      </c>
      <c r="AN365" s="3" t="str">
        <f>IFERROR(MID(VLOOKUP($B365,Seqs!$A:$B,2,0),AO365,1),"")</f>
        <v/>
      </c>
      <c r="AO365" s="3">
        <v>2244</v>
      </c>
      <c r="AP365" s="3" t="str">
        <f>IFERROR(MID(VLOOKUP($B365,Seqs!$A:$B,2,0),AQ365,1),"")</f>
        <v/>
      </c>
      <c r="AQ365" s="3">
        <v>2271</v>
      </c>
      <c r="AR365" s="3" t="str">
        <f>IFERROR(MID(VLOOKUP($B365,Seqs!$A:$B,2,0),AS365,1),"")</f>
        <v/>
      </c>
      <c r="AS365" s="3">
        <v>2278</v>
      </c>
      <c r="AT365" s="3" t="str">
        <f>IFERROR(MID(VLOOKUP($B365,Seqs!$A:$B,2,0),AU365,1),"")</f>
        <v/>
      </c>
      <c r="AU365" s="3">
        <v>2307</v>
      </c>
      <c r="AV365" s="3" t="str">
        <f>IFERROR(MID(VLOOKUP($B365,Seqs!$A:$B,2,0),AW365,1),"")</f>
        <v/>
      </c>
      <c r="AW365" s="3">
        <v>2308</v>
      </c>
      <c r="AX365" s="3" t="str">
        <f>IFERROR(MID(VLOOKUP($B365,Seqs!$A:$B,2,0),AY365,1),"")</f>
        <v/>
      </c>
      <c r="AY365" s="3">
        <v>2325</v>
      </c>
      <c r="AZ365" s="77" t="str">
        <f>VLOOKUP(B365,Classification!A:D,2,0)</f>
        <v>A</v>
      </c>
      <c r="BA365" s="94" t="str">
        <f>VLOOKUP(B365,Classification!A:D,4,0)</f>
        <v>Prostanoid</v>
      </c>
      <c r="BB365" s="27" t="b">
        <f t="shared" ref="BB365" si="3104">AND(E365&lt;G365,OR(G365&lt;I365,I365="-"),OR(I365&lt;K365,I365="-"),OR(K365&lt;M365,K365="-"),M365&lt;O365,OR(O365&lt;Q365,Q365="-"),OR(Q365&lt;S365,Q365="-"),OR(S365&lt;U365,S365="-"),U365&lt;W365,OR(W365&lt;Y365,Y365="-"),OR(Y365&lt;AA365,Y365="-"),OR(AA365&lt;AC365,AA365="-"),AC365&lt;AE365,OR(AE365&lt;AG365,AG365="-"),OR(AG365&lt;AI365,AG365="-"),OR(AI365&lt;AK365,AI365="-"),AK365&lt;AM365,AM365&lt;AO365,AO365&lt;AQ365,AQ365&lt;AS365,AS365&lt;AU365,OR(AU365&lt;AW365,AW365="-"),OR(AW365&lt;AY365,AW365="-"))</f>
        <v>1</v>
      </c>
      <c r="BC365" s="23">
        <f t="shared" ref="BC365" si="3105">_xlfn.AGGREGATE(9,6,CH365:CS365)-_xlfn.AGGREGATE(9,6,BV365:CG365)+12</f>
        <v>257</v>
      </c>
      <c r="BD365" s="2" t="s">
        <v>23</v>
      </c>
      <c r="BE365" s="3" t="s">
        <v>1374</v>
      </c>
      <c r="BF365" s="118">
        <v>2.8</v>
      </c>
      <c r="BG365" s="49" t="s">
        <v>1</v>
      </c>
      <c r="BH365" s="49" t="s">
        <v>1</v>
      </c>
      <c r="BI365" s="1"/>
      <c r="BJ365" s="70" t="s">
        <v>1287</v>
      </c>
      <c r="BK365" s="57" t="s">
        <v>1287</v>
      </c>
      <c r="BL365" s="57" t="s">
        <v>1287</v>
      </c>
      <c r="BM365" s="57" t="s">
        <v>1287</v>
      </c>
      <c r="BN365" s="57" t="s">
        <v>1287</v>
      </c>
      <c r="BO365" s="57" t="s">
        <v>1287</v>
      </c>
      <c r="BP365" s="57" t="s">
        <v>1287</v>
      </c>
      <c r="BQ365" s="57" t="s">
        <v>1287</v>
      </c>
      <c r="BR365" s="57" t="s">
        <v>1287</v>
      </c>
      <c r="BS365" s="57" t="s">
        <v>1287</v>
      </c>
      <c r="BT365" s="57" t="s">
        <v>1287</v>
      </c>
      <c r="BU365" s="57" t="s">
        <v>1287</v>
      </c>
      <c r="BV365" s="70">
        <f t="shared" ref="BV365" si="3106">E365</f>
        <v>32</v>
      </c>
      <c r="BW365" s="71" t="str">
        <f t="shared" ref="BW365" si="3107">I365</f>
        <v>-</v>
      </c>
      <c r="BX365" s="72">
        <f t="shared" ref="BX365" si="3108">M365</f>
        <v>64</v>
      </c>
      <c r="BY365" s="71">
        <f t="shared" ref="BY365" si="3109">Q365</f>
        <v>96</v>
      </c>
      <c r="BZ365" s="72">
        <f t="shared" ref="BZ365" si="3110">U365</f>
        <v>101</v>
      </c>
      <c r="CA365" s="71">
        <f t="shared" ref="CA365" si="3111">Y365</f>
        <v>136</v>
      </c>
      <c r="CB365" s="72">
        <f t="shared" ref="CB365" si="3112">AC365</f>
        <v>144</v>
      </c>
      <c r="CC365" s="71">
        <f t="shared" ref="CC365" si="3113">AG365</f>
        <v>182</v>
      </c>
      <c r="CD365" s="72">
        <f t="shared" ref="CD365" si="3114">AK365</f>
        <v>194</v>
      </c>
      <c r="CE365" s="71">
        <f t="shared" ref="CE365" si="3115">AO365</f>
        <v>2244</v>
      </c>
      <c r="CF365" s="72">
        <f t="shared" ref="CF365" si="3116">AS365</f>
        <v>2278</v>
      </c>
      <c r="CG365" s="71">
        <f t="shared" ref="CG365" si="3117">AW365</f>
        <v>2308</v>
      </c>
      <c r="CH365" s="70">
        <f t="shared" ref="CH365" si="3118">G365</f>
        <v>60</v>
      </c>
      <c r="CI365" s="71" t="str">
        <f t="shared" ref="CI365" si="3119">K365</f>
        <v>-</v>
      </c>
      <c r="CJ365" s="72">
        <f t="shared" ref="CJ365" si="3120">O365</f>
        <v>94</v>
      </c>
      <c r="CK365" s="72">
        <f t="shared" ref="CK365" si="3121">S365</f>
        <v>99</v>
      </c>
      <c r="CL365" s="72">
        <f t="shared" ref="CL365" si="3122">W365</f>
        <v>135</v>
      </c>
      <c r="CM365" s="72">
        <f t="shared" ref="CM365" si="3123">AA365</f>
        <v>143</v>
      </c>
      <c r="CN365" s="72">
        <f t="shared" ref="CN365" si="3124">AE365</f>
        <v>170</v>
      </c>
      <c r="CO365" s="72">
        <f t="shared" ref="CO365" si="3125">AI365</f>
        <v>184</v>
      </c>
      <c r="CP365" s="72">
        <f t="shared" ref="CP365" si="3126">AM365</f>
        <v>236</v>
      </c>
      <c r="CQ365" s="72">
        <f t="shared" ref="CQ365" si="3127">AQ365</f>
        <v>2271</v>
      </c>
      <c r="CR365" s="72">
        <f t="shared" ref="CR365" si="3128">AU365</f>
        <v>2307</v>
      </c>
      <c r="CS365" s="72">
        <f t="shared" ref="CS365" si="3129">AY365</f>
        <v>2325</v>
      </c>
      <c r="CT365" s="23" t="e">
        <f t="shared" ref="CT365" si="3130">M365-K365</f>
        <v>#VALUE!</v>
      </c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</row>
    <row r="366" spans="1:1029" x14ac:dyDescent="0.2">
      <c r="A366" s="3" t="str">
        <f t="shared" ref="A366" si="3131">CONCATENATE(B366,"_",C366)</f>
        <v>pd2r2_human_6D27</v>
      </c>
      <c r="B366" s="3" t="s">
        <v>360</v>
      </c>
      <c r="C366" s="3" t="s">
        <v>1542</v>
      </c>
      <c r="D366" s="3" t="str">
        <f>IFERROR(MID(VLOOKUP($B366,Seqs!$A:$B,2,0),E366,1),"")</f>
        <v>D</v>
      </c>
      <c r="E366" s="3">
        <v>32</v>
      </c>
      <c r="F366" s="3" t="str">
        <f>IFERROR(MID(VLOOKUP($B366,Seqs!$A:$B,2,0),G366,1),"")</f>
        <v>R</v>
      </c>
      <c r="G366" s="3">
        <v>60</v>
      </c>
      <c r="H366" s="3" t="str">
        <f>IFERROR(MID(VLOOKUP($B366,Seqs!$A:$B,2,0),I366,1),"")</f>
        <v/>
      </c>
      <c r="I366" s="23" t="s">
        <v>23</v>
      </c>
      <c r="J366" s="3" t="str">
        <f>IFERROR(MID(VLOOKUP($B366,Seqs!$A:$B,2,0),K366,1),"")</f>
        <v/>
      </c>
      <c r="K366" s="23" t="s">
        <v>23</v>
      </c>
      <c r="L366" s="3" t="str">
        <f>IFERROR(MID(VLOOKUP($B366,Seqs!$A:$B,2,0),M366,1),"")</f>
        <v>T</v>
      </c>
      <c r="M366" s="3">
        <v>64</v>
      </c>
      <c r="N366" s="3" t="str">
        <f>IFERROR(MID(VLOOKUP($B366,Seqs!$A:$B,2,0),O366,1),"")</f>
        <v>G</v>
      </c>
      <c r="O366" s="3">
        <v>94</v>
      </c>
      <c r="P366" s="3" t="str">
        <f>IFERROR(MID(VLOOKUP($B366,Seqs!$A:$B,2,0),Q366,1),"")</f>
        <v>S</v>
      </c>
      <c r="Q366" s="3">
        <v>96</v>
      </c>
      <c r="R366" s="3" t="str">
        <f>IFERROR(MID(VLOOKUP($B366,Seqs!$A:$B,2,0),S366,1),"")</f>
        <v>L</v>
      </c>
      <c r="S366" s="3">
        <v>99</v>
      </c>
      <c r="T366" s="3" t="str">
        <f>IFERROR(MID(VLOOKUP($B366,Seqs!$A:$B,2,0),U366,1),"")</f>
        <v>T</v>
      </c>
      <c r="U366" s="3">
        <v>101</v>
      </c>
      <c r="V366" s="3" t="str">
        <f>IFERROR(MID(VLOOKUP($B366,Seqs!$A:$B,2,0),W366,1),"")</f>
        <v>R</v>
      </c>
      <c r="W366" s="3">
        <v>135</v>
      </c>
      <c r="X366" s="3" t="str">
        <f>IFERROR(MID(VLOOKUP($B366,Seqs!$A:$B,2,0),Y366,1),"")</f>
        <v>P</v>
      </c>
      <c r="Y366" s="3">
        <v>136</v>
      </c>
      <c r="Z366" s="3" t="str">
        <f>IFERROR(MID(VLOOKUP($B366,Seqs!$A:$B,2,0),AA366,1),"")</f>
        <v>R</v>
      </c>
      <c r="AA366" s="3">
        <v>143</v>
      </c>
      <c r="AB366" s="3" t="str">
        <f>IFERROR(MID(VLOOKUP($B366,Seqs!$A:$B,2,0),AC366,1),"")</f>
        <v>T</v>
      </c>
      <c r="AC366" s="3">
        <v>144</v>
      </c>
      <c r="AD366" s="3" t="str">
        <f>IFERROR(MID(VLOOKUP($B366,Seqs!$A:$B,2,0),AE366,1),"")</f>
        <v>R</v>
      </c>
      <c r="AE366" s="3">
        <v>170</v>
      </c>
      <c r="AF366" s="3" t="str">
        <f>IFERROR(MID(VLOOKUP($B366,Seqs!$A:$B,2,0),AG366,1),"")</f>
        <v>C</v>
      </c>
      <c r="AG366" s="3">
        <v>182</v>
      </c>
      <c r="AH366" s="3" t="str">
        <f>IFERROR(MID(VLOOKUP($B366,Seqs!$A:$B,2,0),AI366,1),"")</f>
        <v>Y</v>
      </c>
      <c r="AI366" s="3">
        <v>184</v>
      </c>
      <c r="AJ366" s="3" t="str">
        <f>IFERROR(MID(VLOOKUP($B366,Seqs!$A:$B,2,0),AK366,1),"")</f>
        <v>D</v>
      </c>
      <c r="AK366" s="3">
        <v>194</v>
      </c>
      <c r="AL366" s="3" t="str">
        <f>IFERROR(MID(VLOOKUP($B366,Seqs!$A:$B,2,0),AM366,1),"")</f>
        <v>R</v>
      </c>
      <c r="AM366" s="3">
        <v>236</v>
      </c>
      <c r="AN366" s="3" t="str">
        <f>IFERROR(MID(VLOOKUP($B366,Seqs!$A:$B,2,0),AO366,1),"")</f>
        <v/>
      </c>
      <c r="AO366" s="3">
        <v>2244</v>
      </c>
      <c r="AP366" s="3" t="str">
        <f>IFERROR(MID(VLOOKUP($B366,Seqs!$A:$B,2,0),AQ366,1),"")</f>
        <v/>
      </c>
      <c r="AQ366" s="3">
        <v>2271</v>
      </c>
      <c r="AR366" s="3" t="str">
        <f>IFERROR(MID(VLOOKUP($B366,Seqs!$A:$B,2,0),AS366,1),"")</f>
        <v/>
      </c>
      <c r="AS366" s="3">
        <v>2278</v>
      </c>
      <c r="AT366" s="3" t="str">
        <f>IFERROR(MID(VLOOKUP($B366,Seqs!$A:$B,2,0),AU366,1),"")</f>
        <v/>
      </c>
      <c r="AU366" s="3">
        <v>2307</v>
      </c>
      <c r="AV366" s="3" t="str">
        <f>IFERROR(MID(VLOOKUP($B366,Seqs!$A:$B,2,0),AW366,1),"")</f>
        <v/>
      </c>
      <c r="AW366" s="3">
        <v>2308</v>
      </c>
      <c r="AX366" s="3" t="str">
        <f>IFERROR(MID(VLOOKUP($B366,Seqs!$A:$B,2,0),AY366,1),"")</f>
        <v/>
      </c>
      <c r="AY366" s="3">
        <v>2325</v>
      </c>
      <c r="AZ366" s="77" t="str">
        <f>VLOOKUP(B366,Classification!A:D,2,0)</f>
        <v>A</v>
      </c>
      <c r="BA366" s="94" t="str">
        <f>VLOOKUP(B366,Classification!A:D,4,0)</f>
        <v>Prostanoid</v>
      </c>
      <c r="BB366" s="27" t="b">
        <f t="shared" ref="BB366" si="3132">AND(E366&lt;G366,OR(G366&lt;I366,I366="-"),OR(I366&lt;K366,I366="-"),OR(K366&lt;M366,K366="-"),M366&lt;O366,OR(O366&lt;Q366,Q366="-"),OR(Q366&lt;S366,Q366="-"),OR(S366&lt;U366,S366="-"),U366&lt;W366,OR(W366&lt;Y366,Y366="-"),OR(Y366&lt;AA366,Y366="-"),OR(AA366&lt;AC366,AA366="-"),AC366&lt;AE366,OR(AE366&lt;AG366,AG366="-"),OR(AG366&lt;AI366,AG366="-"),OR(AI366&lt;AK366,AI366="-"),AK366&lt;AM366,AM366&lt;AO366,AO366&lt;AQ366,AQ366&lt;AS366,AS366&lt;AU366,OR(AU366&lt;AW366,AW366="-"),OR(AW366&lt;AY366,AW366="-"))</f>
        <v>1</v>
      </c>
      <c r="BC366" s="23">
        <f t="shared" ref="BC366" si="3133">_xlfn.AGGREGATE(9,6,CH366:CS366)-_xlfn.AGGREGATE(9,6,BV366:CG366)+12</f>
        <v>257</v>
      </c>
      <c r="BD366" s="2" t="s">
        <v>1376</v>
      </c>
      <c r="BE366" s="3" t="s">
        <v>1374</v>
      </c>
      <c r="BF366" s="118">
        <v>4.74</v>
      </c>
      <c r="BG366" s="49" t="s">
        <v>1</v>
      </c>
      <c r="BH366" s="49" t="s">
        <v>1</v>
      </c>
      <c r="BI366" s="1"/>
      <c r="BJ366" s="70" t="s">
        <v>1287</v>
      </c>
      <c r="BK366" s="57" t="s">
        <v>1287</v>
      </c>
      <c r="BL366" s="57" t="s">
        <v>1287</v>
      </c>
      <c r="BM366" s="57" t="s">
        <v>1287</v>
      </c>
      <c r="BN366" s="57" t="s">
        <v>1287</v>
      </c>
      <c r="BO366" s="57" t="s">
        <v>1287</v>
      </c>
      <c r="BP366" s="57" t="s">
        <v>1287</v>
      </c>
      <c r="BQ366" s="57" t="s">
        <v>1287</v>
      </c>
      <c r="BR366" s="57" t="s">
        <v>1287</v>
      </c>
      <c r="BS366" s="57" t="s">
        <v>1287</v>
      </c>
      <c r="BT366" s="57" t="s">
        <v>1287</v>
      </c>
      <c r="BU366" s="57" t="s">
        <v>1287</v>
      </c>
      <c r="BV366" s="70">
        <f t="shared" ref="BV366" si="3134">E366</f>
        <v>32</v>
      </c>
      <c r="BW366" s="71" t="str">
        <f t="shared" ref="BW366" si="3135">I366</f>
        <v>-</v>
      </c>
      <c r="BX366" s="72">
        <f t="shared" ref="BX366" si="3136">M366</f>
        <v>64</v>
      </c>
      <c r="BY366" s="71">
        <f t="shared" ref="BY366" si="3137">Q366</f>
        <v>96</v>
      </c>
      <c r="BZ366" s="72">
        <f t="shared" ref="BZ366" si="3138">U366</f>
        <v>101</v>
      </c>
      <c r="CA366" s="71">
        <f t="shared" ref="CA366" si="3139">Y366</f>
        <v>136</v>
      </c>
      <c r="CB366" s="72">
        <f t="shared" ref="CB366" si="3140">AC366</f>
        <v>144</v>
      </c>
      <c r="CC366" s="71">
        <f t="shared" ref="CC366" si="3141">AG366</f>
        <v>182</v>
      </c>
      <c r="CD366" s="72">
        <f t="shared" ref="CD366" si="3142">AK366</f>
        <v>194</v>
      </c>
      <c r="CE366" s="71">
        <f t="shared" ref="CE366" si="3143">AO366</f>
        <v>2244</v>
      </c>
      <c r="CF366" s="72">
        <f t="shared" ref="CF366" si="3144">AS366</f>
        <v>2278</v>
      </c>
      <c r="CG366" s="71">
        <f t="shared" ref="CG366" si="3145">AW366</f>
        <v>2308</v>
      </c>
      <c r="CH366" s="70">
        <f t="shared" ref="CH366" si="3146">G366</f>
        <v>60</v>
      </c>
      <c r="CI366" s="71" t="str">
        <f t="shared" ref="CI366" si="3147">K366</f>
        <v>-</v>
      </c>
      <c r="CJ366" s="72">
        <f t="shared" ref="CJ366" si="3148">O366</f>
        <v>94</v>
      </c>
      <c r="CK366" s="72">
        <f t="shared" ref="CK366" si="3149">S366</f>
        <v>99</v>
      </c>
      <c r="CL366" s="72">
        <f t="shared" ref="CL366" si="3150">W366</f>
        <v>135</v>
      </c>
      <c r="CM366" s="72">
        <f t="shared" ref="CM366" si="3151">AA366</f>
        <v>143</v>
      </c>
      <c r="CN366" s="72">
        <f t="shared" ref="CN366" si="3152">AE366</f>
        <v>170</v>
      </c>
      <c r="CO366" s="72">
        <f t="shared" ref="CO366" si="3153">AI366</f>
        <v>184</v>
      </c>
      <c r="CP366" s="72">
        <f t="shared" ref="CP366" si="3154">AM366</f>
        <v>236</v>
      </c>
      <c r="CQ366" s="72">
        <f t="shared" ref="CQ366" si="3155">AQ366</f>
        <v>2271</v>
      </c>
      <c r="CR366" s="72">
        <f t="shared" ref="CR366" si="3156">AU366</f>
        <v>2307</v>
      </c>
      <c r="CS366" s="72">
        <f t="shared" ref="CS366" si="3157">AY366</f>
        <v>2325</v>
      </c>
      <c r="CT366" s="23" t="e">
        <f t="shared" ref="CT366" si="3158">M366-K366</f>
        <v>#VALUE!</v>
      </c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</row>
    <row r="367" spans="1:1029" s="12" customFormat="1" x14ac:dyDescent="0.2">
      <c r="A367" s="9" t="str">
        <f t="shared" ref="A367:A369" si="3159">CONCATENATE(B367,"_",C367)</f>
        <v>pe2r3_human__wt</v>
      </c>
      <c r="B367" s="9" t="s">
        <v>363</v>
      </c>
      <c r="C367" s="9" t="s">
        <v>100</v>
      </c>
      <c r="D367" s="9" t="str">
        <f>IFERROR(MID(VLOOKUP($B367,Seqs!$A:$B,2,0),E367,1),"")</f>
        <v>V</v>
      </c>
      <c r="E367" s="9">
        <v>52</v>
      </c>
      <c r="F367" s="9" t="str">
        <f>IFERROR(MID(VLOOKUP($B367,Seqs!$A:$B,2,0),G367,1),"")</f>
        <v>R</v>
      </c>
      <c r="G367" s="9">
        <v>78</v>
      </c>
      <c r="H367" s="9" t="str">
        <f>IFERROR(MID(VLOOKUP($B367,Seqs!$A:$B,2,0),I367,1),"")</f>
        <v/>
      </c>
      <c r="I367" s="109" t="s">
        <v>23</v>
      </c>
      <c r="J367" s="9" t="str">
        <f>IFERROR(MID(VLOOKUP($B367,Seqs!$A:$B,2,0),K367,1),"")</f>
        <v/>
      </c>
      <c r="K367" s="109" t="s">
        <v>23</v>
      </c>
      <c r="L367" s="9" t="str">
        <f>IFERROR(MID(VLOOKUP($B367,Seqs!$A:$B,2,0),M367,1),"")</f>
        <v>K</v>
      </c>
      <c r="M367" s="9">
        <v>85</v>
      </c>
      <c r="N367" s="9" t="str">
        <f>IFERROR(MID(VLOOKUP($B367,Seqs!$A:$B,2,0),O367,1),"")</f>
        <v>K</v>
      </c>
      <c r="O367" s="9">
        <v>117</v>
      </c>
      <c r="P367" s="9" t="str">
        <f>IFERROR(MID(VLOOKUP($B367,Seqs!$A:$B,2,0),Q367,1),"")</f>
        <v>Q</v>
      </c>
      <c r="Q367" s="9">
        <v>118</v>
      </c>
      <c r="R367" s="9" t="str">
        <f>IFERROR(MID(VLOOKUP($B367,Seqs!$A:$B,2,0),S367,1),"")</f>
        <v>S</v>
      </c>
      <c r="S367" s="9">
        <v>126</v>
      </c>
      <c r="T367" s="9" t="str">
        <f>IFERROR(MID(VLOOKUP($B367,Seqs!$A:$B,2,0),U367,1),"")</f>
        <v>G</v>
      </c>
      <c r="U367" s="9">
        <v>127</v>
      </c>
      <c r="V367" s="9" t="str">
        <f>IFERROR(MID(VLOOKUP($B367,Seqs!$A:$B,2,0),W367,1),"")</f>
        <v>A</v>
      </c>
      <c r="W367" s="9">
        <v>161</v>
      </c>
      <c r="X367" s="9" t="str">
        <f>IFERROR(MID(VLOOKUP($B367,Seqs!$A:$B,2,0),Y367,1),"")</f>
        <v>P</v>
      </c>
      <c r="Y367" s="9">
        <v>162</v>
      </c>
      <c r="Z367" s="9" t="str">
        <f>IFERROR(MID(VLOOKUP($B367,Seqs!$A:$B,2,0),AA367,1),"")</f>
        <v>M</v>
      </c>
      <c r="AA367" s="9">
        <v>169</v>
      </c>
      <c r="AB367" s="9" t="str">
        <f>IFERROR(MID(VLOOKUP($B367,Seqs!$A:$B,2,0),AC367,1),"")</f>
        <v>K</v>
      </c>
      <c r="AC367" s="9">
        <v>170</v>
      </c>
      <c r="AD367" s="9" t="str">
        <f>IFERROR(MID(VLOOKUP($B367,Seqs!$A:$B,2,0),AE367,1),"")</f>
        <v>G</v>
      </c>
      <c r="AE367" s="9">
        <v>195</v>
      </c>
      <c r="AF367" s="9" t="str">
        <f>IFERROR(MID(VLOOKUP($B367,Seqs!$A:$B,2,0),AG367,1),"")</f>
        <v>C</v>
      </c>
      <c r="AG367" s="9">
        <v>208</v>
      </c>
      <c r="AH367" s="9" t="str">
        <f>IFERROR(MID(VLOOKUP($B367,Seqs!$A:$B,2,0),AI367,1),"")</f>
        <v>I</v>
      </c>
      <c r="AI367" s="9">
        <v>210</v>
      </c>
      <c r="AJ367" s="9" t="str">
        <f>IFERROR(MID(VLOOKUP($B367,Seqs!$A:$B,2,0),AK367,1),"")</f>
        <v>W</v>
      </c>
      <c r="AK367" s="9">
        <v>225</v>
      </c>
      <c r="AL367" s="9" t="str">
        <f>IFERROR(MID(VLOOKUP($B367,Seqs!$A:$B,2,0),AM367,1),"")</f>
        <v>T</v>
      </c>
      <c r="AM367" s="9">
        <v>265</v>
      </c>
      <c r="AN367" s="9" t="str">
        <f>IFERROR(MID(VLOOKUP($B367,Seqs!$A:$B,2,0),AO367,1),"")</f>
        <v>A</v>
      </c>
      <c r="AO367" s="9">
        <v>271</v>
      </c>
      <c r="AP367" s="9" t="str">
        <f>IFERROR(MID(VLOOKUP($B367,Seqs!$A:$B,2,0),AQ367,1),"")</f>
        <v>S</v>
      </c>
      <c r="AQ367" s="9">
        <v>311</v>
      </c>
      <c r="AR367" s="9" t="str">
        <f>IFERROR(MID(VLOOKUP($B367,Seqs!$A:$B,2,0),AS367,1),"")</f>
        <v>T</v>
      </c>
      <c r="AS367" s="9">
        <v>317</v>
      </c>
      <c r="AT367" s="9" t="str">
        <f>IFERROR(MID(VLOOKUP($B367,Seqs!$A:$B,2,0),AU367,1),"")</f>
        <v>Y</v>
      </c>
      <c r="AU367" s="9">
        <v>346</v>
      </c>
      <c r="AV367" s="9" t="str">
        <f>IFERROR(MID(VLOOKUP($B367,Seqs!$A:$B,2,0),AW367,1),"")</f>
        <v>L</v>
      </c>
      <c r="AW367" s="9">
        <v>347</v>
      </c>
      <c r="AX367" s="9" t="str">
        <f>IFERROR(MID(VLOOKUP($B367,Seqs!$A:$B,2,0),AY367,1),"")</f>
        <v>S</v>
      </c>
      <c r="AY367" s="9">
        <v>369</v>
      </c>
      <c r="AZ367" s="110" t="str">
        <f>VLOOKUP(B367,Classification!A:D,2,0)</f>
        <v>A</v>
      </c>
      <c r="BA367" s="98" t="str">
        <f>VLOOKUP(B367,Classification!A:D,4,0)</f>
        <v>Prostanoid</v>
      </c>
      <c r="BB367" s="36" t="b">
        <f t="shared" ref="BB367:BB369" si="3160">AND(E367&lt;G367,OR(G367&lt;I367,I367="-"),OR(I367&lt;K367,I367="-"),OR(K367&lt;M367,K367="-"),M367&lt;O367,OR(O367&lt;Q367,Q367="-"),OR(Q367&lt;S367,Q367="-"),OR(S367&lt;U367,S367="-"),U367&lt;W367,OR(W367&lt;Y367,Y367="-"),OR(Y367&lt;AA367,Y367="-"),OR(AA367&lt;AC367,AA367="-"),AC367&lt;AE367,OR(AE367&lt;AG367,AG367="-"),OR(AG367&lt;AI367,AG367="-"),OR(AI367&lt;AK367,AI367="-"),AK367&lt;AM367,AM367&lt;AO367,AO367&lt;AQ367,AQ367&lt;AS367,AS367&lt;AU367,OR(AU367&lt;AW367,AW367="-"),OR(AW367&lt;AY367,AW367="-"))</f>
        <v>1</v>
      </c>
      <c r="BC367" s="109">
        <f t="shared" ref="BC367:BC369" si="3161">_xlfn.AGGREGATE(9,6,CH367:CS367)-_xlfn.AGGREGATE(9,6,BV367:CG367)+12</f>
        <v>277</v>
      </c>
      <c r="BD367" s="40" t="s">
        <v>23</v>
      </c>
      <c r="BE367" s="9" t="s">
        <v>23</v>
      </c>
      <c r="BF367" s="119" t="s">
        <v>23</v>
      </c>
      <c r="BG367" s="51" t="s">
        <v>23</v>
      </c>
      <c r="BH367" s="51" t="s">
        <v>23</v>
      </c>
      <c r="BJ367" s="111" t="s">
        <v>1287</v>
      </c>
      <c r="BK367" s="112" t="s">
        <v>1287</v>
      </c>
      <c r="BL367" s="112" t="s">
        <v>1287</v>
      </c>
      <c r="BM367" s="112" t="s">
        <v>1287</v>
      </c>
      <c r="BN367" s="112" t="s">
        <v>1287</v>
      </c>
      <c r="BO367" s="112" t="s">
        <v>1287</v>
      </c>
      <c r="BP367" s="112" t="s">
        <v>1287</v>
      </c>
      <c r="BQ367" s="112" t="s">
        <v>1287</v>
      </c>
      <c r="BR367" s="112" t="s">
        <v>1287</v>
      </c>
      <c r="BS367" s="112" t="s">
        <v>1287</v>
      </c>
      <c r="BT367" s="112" t="s">
        <v>1287</v>
      </c>
      <c r="BU367" s="112" t="s">
        <v>1287</v>
      </c>
      <c r="BV367" s="111">
        <f t="shared" ref="BV367:BV369" si="3162">E367</f>
        <v>52</v>
      </c>
      <c r="BW367" s="113" t="str">
        <f t="shared" ref="BW367:BW369" si="3163">I367</f>
        <v>-</v>
      </c>
      <c r="BX367" s="114">
        <f t="shared" ref="BX367:BX369" si="3164">M367</f>
        <v>85</v>
      </c>
      <c r="BY367" s="113">
        <f t="shared" ref="BY367:BY369" si="3165">Q367</f>
        <v>118</v>
      </c>
      <c r="BZ367" s="114">
        <f t="shared" ref="BZ367:BZ369" si="3166">U367</f>
        <v>127</v>
      </c>
      <c r="CA367" s="113">
        <f t="shared" ref="CA367:CA369" si="3167">Y367</f>
        <v>162</v>
      </c>
      <c r="CB367" s="114">
        <f t="shared" ref="CB367:CB369" si="3168">AC367</f>
        <v>170</v>
      </c>
      <c r="CC367" s="113">
        <f t="shared" ref="CC367:CC369" si="3169">AG367</f>
        <v>208</v>
      </c>
      <c r="CD367" s="114">
        <f t="shared" ref="CD367:CD369" si="3170">AK367</f>
        <v>225</v>
      </c>
      <c r="CE367" s="113">
        <f t="shared" ref="CE367:CE369" si="3171">AO367</f>
        <v>271</v>
      </c>
      <c r="CF367" s="114">
        <f t="shared" ref="CF367:CF369" si="3172">AS367</f>
        <v>317</v>
      </c>
      <c r="CG367" s="113">
        <f t="shared" ref="CG367:CG369" si="3173">AW367</f>
        <v>347</v>
      </c>
      <c r="CH367" s="111">
        <f t="shared" ref="CH367:CH369" si="3174">G367</f>
        <v>78</v>
      </c>
      <c r="CI367" s="113" t="str">
        <f t="shared" ref="CI367:CI369" si="3175">K367</f>
        <v>-</v>
      </c>
      <c r="CJ367" s="114">
        <f t="shared" ref="CJ367:CJ369" si="3176">O367</f>
        <v>117</v>
      </c>
      <c r="CK367" s="114">
        <f t="shared" ref="CK367:CK369" si="3177">S367</f>
        <v>126</v>
      </c>
      <c r="CL367" s="114">
        <f t="shared" ref="CL367:CL369" si="3178">W367</f>
        <v>161</v>
      </c>
      <c r="CM367" s="114">
        <f t="shared" ref="CM367:CM369" si="3179">AA367</f>
        <v>169</v>
      </c>
      <c r="CN367" s="114">
        <f t="shared" ref="CN367:CN369" si="3180">AE367</f>
        <v>195</v>
      </c>
      <c r="CO367" s="114">
        <f t="shared" ref="CO367:CO369" si="3181">AI367</f>
        <v>210</v>
      </c>
      <c r="CP367" s="114">
        <f t="shared" ref="CP367:CP369" si="3182">AM367</f>
        <v>265</v>
      </c>
      <c r="CQ367" s="114">
        <f t="shared" ref="CQ367:CQ369" si="3183">AQ367</f>
        <v>311</v>
      </c>
      <c r="CR367" s="114">
        <f t="shared" ref="CR367:CR369" si="3184">AU367</f>
        <v>346</v>
      </c>
      <c r="CS367" s="114">
        <f t="shared" ref="CS367:CS369" si="3185">AY367</f>
        <v>369</v>
      </c>
      <c r="CT367" s="109" t="e">
        <f t="shared" ref="CT367:CT369" si="3186">M367-K367</f>
        <v>#VALUE!</v>
      </c>
    </row>
    <row r="368" spans="1:1029" s="12" customFormat="1" x14ac:dyDescent="0.2">
      <c r="A368" s="9" t="str">
        <f t="shared" ref="A368" si="3187">CONCATENATE(B368,"_",C368)</f>
        <v>pe2r3_human_6AK3</v>
      </c>
      <c r="B368" s="9" t="s">
        <v>363</v>
      </c>
      <c r="C368" s="9" t="s">
        <v>1539</v>
      </c>
      <c r="D368" s="9" t="str">
        <f>IFERROR(MID(VLOOKUP($B368,Seqs!$A:$B,2,0),E368,1),"")</f>
        <v>V</v>
      </c>
      <c r="E368" s="9">
        <v>52</v>
      </c>
      <c r="F368" s="9" t="str">
        <f>IFERROR(MID(VLOOKUP($B368,Seqs!$A:$B,2,0),G368,1),"")</f>
        <v>Y</v>
      </c>
      <c r="G368" s="9">
        <v>77</v>
      </c>
      <c r="H368" s="9" t="str">
        <f>IFERROR(MID(VLOOKUP($B368,Seqs!$A:$B,2,0),I368,1),"")</f>
        <v/>
      </c>
      <c r="I368" s="109" t="s">
        <v>23</v>
      </c>
      <c r="J368" s="9" t="str">
        <f>IFERROR(MID(VLOOKUP($B368,Seqs!$A:$B,2,0),K368,1),"")</f>
        <v/>
      </c>
      <c r="K368" s="109" t="s">
        <v>23</v>
      </c>
      <c r="L368" s="9" t="str">
        <f>IFERROR(MID(VLOOKUP($B368,Seqs!$A:$B,2,0),M368,1),"")</f>
        <v>K</v>
      </c>
      <c r="M368" s="9">
        <v>86</v>
      </c>
      <c r="N368" s="9" t="str">
        <f>IFERROR(MID(VLOOKUP($B368,Seqs!$A:$B,2,0),O368,1),"")</f>
        <v>K</v>
      </c>
      <c r="O368" s="9">
        <v>117</v>
      </c>
      <c r="P368" s="9" t="str">
        <f>IFERROR(MID(VLOOKUP($B368,Seqs!$A:$B,2,0),Q368,1),"")</f>
        <v/>
      </c>
      <c r="Q368" s="9" t="s">
        <v>23</v>
      </c>
      <c r="R368" s="9" t="str">
        <f>IFERROR(MID(VLOOKUP($B368,Seqs!$A:$B,2,0),S368,1),"")</f>
        <v/>
      </c>
      <c r="S368" s="9" t="s">
        <v>23</v>
      </c>
      <c r="T368" s="9" t="str">
        <f>IFERROR(MID(VLOOKUP($B368,Seqs!$A:$B,2,0),U368,1),"")</f>
        <v>G</v>
      </c>
      <c r="U368" s="9">
        <v>127</v>
      </c>
      <c r="V368" s="9" t="str">
        <f>IFERROR(MID(VLOOKUP($B368,Seqs!$A:$B,2,0),W368,1),"")</f>
        <v>A</v>
      </c>
      <c r="W368" s="9">
        <v>161</v>
      </c>
      <c r="X368" s="9" t="str">
        <f>IFERROR(MID(VLOOKUP($B368,Seqs!$A:$B,2,0),Y368,1),"")</f>
        <v>P</v>
      </c>
      <c r="Y368" s="9">
        <v>162</v>
      </c>
      <c r="Z368" s="9" t="str">
        <f>IFERROR(MID(VLOOKUP($B368,Seqs!$A:$B,2,0),AA368,1),"")</f>
        <v>M</v>
      </c>
      <c r="AA368" s="9">
        <v>169</v>
      </c>
      <c r="AB368" s="9" t="str">
        <f>IFERROR(MID(VLOOKUP($B368,Seqs!$A:$B,2,0),AC368,1),"")</f>
        <v>K</v>
      </c>
      <c r="AC368" s="9">
        <v>170</v>
      </c>
      <c r="AD368" s="9" t="str">
        <f>IFERROR(MID(VLOOKUP($B368,Seqs!$A:$B,2,0),AE368,1),"")</f>
        <v>G</v>
      </c>
      <c r="AE368" s="9">
        <v>195</v>
      </c>
      <c r="AF368" s="9" t="str">
        <f>IFERROR(MID(VLOOKUP($B368,Seqs!$A:$B,2,0),AG368,1),"")</f>
        <v>C</v>
      </c>
      <c r="AG368" s="9">
        <v>208</v>
      </c>
      <c r="AH368" s="9" t="str">
        <f>IFERROR(MID(VLOOKUP($B368,Seqs!$A:$B,2,0),AI368,1),"")</f>
        <v>I</v>
      </c>
      <c r="AI368" s="9">
        <v>210</v>
      </c>
      <c r="AJ368" s="9" t="str">
        <f>IFERROR(MID(VLOOKUP($B368,Seqs!$A:$B,2,0),AK368,1),"")</f>
        <v>G</v>
      </c>
      <c r="AK368" s="9">
        <v>226</v>
      </c>
      <c r="AL368" s="9" t="str">
        <f>IFERROR(MID(VLOOKUP($B368,Seqs!$A:$B,2,0),AM368,1),"")</f>
        <v>A</v>
      </c>
      <c r="AM368" s="9">
        <v>264</v>
      </c>
      <c r="AN368" s="9" t="str">
        <f>IFERROR(MID(VLOOKUP($B368,Seqs!$A:$B,2,0),AO368,1),"")</f>
        <v>A</v>
      </c>
      <c r="AO368" s="9">
        <v>271</v>
      </c>
      <c r="AP368" s="9" t="str">
        <f>IFERROR(MID(VLOOKUP($B368,Seqs!$A:$B,2,0),AQ368,1),"")</f>
        <v>F</v>
      </c>
      <c r="AQ368" s="9">
        <v>307</v>
      </c>
      <c r="AR368" s="9" t="str">
        <f>IFERROR(MID(VLOOKUP($B368,Seqs!$A:$B,2,0),AS368,1),"")</f>
        <v>K</v>
      </c>
      <c r="AS368" s="9">
        <v>323</v>
      </c>
      <c r="AT368" s="9" t="str">
        <f>IFERROR(MID(VLOOKUP($B368,Seqs!$A:$B,2,0),AU368,1),"")</f>
        <v>Y</v>
      </c>
      <c r="AU368" s="9">
        <v>346</v>
      </c>
      <c r="AV368" s="9" t="str">
        <f>IFERROR(MID(VLOOKUP($B368,Seqs!$A:$B,2,0),AW368,1),"")</f>
        <v>L</v>
      </c>
      <c r="AW368" s="9">
        <v>347</v>
      </c>
      <c r="AX368" s="9" t="str">
        <f>IFERROR(MID(VLOOKUP($B368,Seqs!$A:$B,2,0),AY368,1),"")</f>
        <v>L</v>
      </c>
      <c r="AY368" s="9">
        <v>353</v>
      </c>
      <c r="AZ368" s="110" t="str">
        <f>VLOOKUP(B368,Classification!A:D,2,0)</f>
        <v>A</v>
      </c>
      <c r="BA368" s="98" t="str">
        <f>VLOOKUP(B368,Classification!A:D,4,0)</f>
        <v>Prostanoid</v>
      </c>
      <c r="BB368" s="36" t="b">
        <f t="shared" ref="BB368" si="3188"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109">
        <f t="shared" ref="BC368" si="3189">_xlfn.AGGREGATE(9,6,CH368:CS368)-_xlfn.AGGREGATE(9,6,BV368:CG368)+12</f>
        <v>239</v>
      </c>
      <c r="BD368" s="40" t="s">
        <v>1375</v>
      </c>
      <c r="BE368" s="9" t="s">
        <v>1291</v>
      </c>
      <c r="BF368" s="119">
        <v>2.9</v>
      </c>
      <c r="BG368" s="51" t="s">
        <v>1281</v>
      </c>
      <c r="BH368" s="51" t="s">
        <v>1281</v>
      </c>
      <c r="BJ368" s="111" t="s">
        <v>1287</v>
      </c>
      <c r="BK368" s="112" t="s">
        <v>1287</v>
      </c>
      <c r="BL368" s="112" t="s">
        <v>1287</v>
      </c>
      <c r="BM368" s="112" t="s">
        <v>1287</v>
      </c>
      <c r="BN368" s="112" t="s">
        <v>1287</v>
      </c>
      <c r="BO368" s="112" t="s">
        <v>1287</v>
      </c>
      <c r="BP368" s="112" t="s">
        <v>1287</v>
      </c>
      <c r="BQ368" s="112" t="s">
        <v>1287</v>
      </c>
      <c r="BR368" s="112" t="s">
        <v>1287</v>
      </c>
      <c r="BS368" s="112" t="s">
        <v>1287</v>
      </c>
      <c r="BT368" s="112" t="s">
        <v>1287</v>
      </c>
      <c r="BU368" s="112" t="s">
        <v>1287</v>
      </c>
      <c r="BV368" s="111">
        <f t="shared" ref="BV368" si="3190">E368</f>
        <v>52</v>
      </c>
      <c r="BW368" s="113" t="str">
        <f t="shared" ref="BW368" si="3191">I368</f>
        <v>-</v>
      </c>
      <c r="BX368" s="114">
        <f t="shared" ref="BX368" si="3192">M368</f>
        <v>86</v>
      </c>
      <c r="BY368" s="113" t="str">
        <f t="shared" ref="BY368" si="3193">Q368</f>
        <v>-</v>
      </c>
      <c r="BZ368" s="114">
        <f t="shared" ref="BZ368" si="3194">U368</f>
        <v>127</v>
      </c>
      <c r="CA368" s="113">
        <f t="shared" ref="CA368" si="3195">Y368</f>
        <v>162</v>
      </c>
      <c r="CB368" s="114">
        <f t="shared" ref="CB368" si="3196">AC368</f>
        <v>170</v>
      </c>
      <c r="CC368" s="113">
        <f t="shared" ref="CC368" si="3197">AG368</f>
        <v>208</v>
      </c>
      <c r="CD368" s="114">
        <f t="shared" ref="CD368" si="3198">AK368</f>
        <v>226</v>
      </c>
      <c r="CE368" s="113">
        <f t="shared" ref="CE368" si="3199">AO368</f>
        <v>271</v>
      </c>
      <c r="CF368" s="114">
        <f t="shared" ref="CF368" si="3200">AS368</f>
        <v>323</v>
      </c>
      <c r="CG368" s="113">
        <f t="shared" ref="CG368" si="3201">AW368</f>
        <v>347</v>
      </c>
      <c r="CH368" s="111">
        <f t="shared" ref="CH368" si="3202">G368</f>
        <v>77</v>
      </c>
      <c r="CI368" s="113" t="str">
        <f t="shared" ref="CI368" si="3203">K368</f>
        <v>-</v>
      </c>
      <c r="CJ368" s="114">
        <f t="shared" ref="CJ368" si="3204">O368</f>
        <v>117</v>
      </c>
      <c r="CK368" s="114" t="str">
        <f t="shared" ref="CK368" si="3205">S368</f>
        <v>-</v>
      </c>
      <c r="CL368" s="114">
        <f t="shared" ref="CL368" si="3206">W368</f>
        <v>161</v>
      </c>
      <c r="CM368" s="114">
        <f t="shared" ref="CM368" si="3207">AA368</f>
        <v>169</v>
      </c>
      <c r="CN368" s="114">
        <f t="shared" ref="CN368" si="3208">AE368</f>
        <v>195</v>
      </c>
      <c r="CO368" s="114">
        <f t="shared" ref="CO368" si="3209">AI368</f>
        <v>210</v>
      </c>
      <c r="CP368" s="114">
        <f t="shared" ref="CP368" si="3210">AM368</f>
        <v>264</v>
      </c>
      <c r="CQ368" s="114">
        <f t="shared" ref="CQ368" si="3211">AQ368</f>
        <v>307</v>
      </c>
      <c r="CR368" s="114">
        <f t="shared" ref="CR368" si="3212">AU368</f>
        <v>346</v>
      </c>
      <c r="CS368" s="114">
        <f t="shared" ref="CS368" si="3213">AY368</f>
        <v>353</v>
      </c>
      <c r="CT368" s="109" t="e">
        <f t="shared" ref="CT368" si="3214">M368-K368</f>
        <v>#VALUE!</v>
      </c>
    </row>
    <row r="369" spans="1:1029" s="12" customFormat="1" x14ac:dyDescent="0.2">
      <c r="A369" s="9" t="str">
        <f t="shared" si="3159"/>
        <v>pe2r3_human_6M9T</v>
      </c>
      <c r="B369" s="9" t="s">
        <v>363</v>
      </c>
      <c r="C369" s="9" t="s">
        <v>1538</v>
      </c>
      <c r="D369" s="9" t="str">
        <f>IFERROR(MID(VLOOKUP($B369,Seqs!$A:$B,2,0),E369,1),"")</f>
        <v>V</v>
      </c>
      <c r="E369" s="9">
        <v>52</v>
      </c>
      <c r="F369" s="9" t="str">
        <f>IFERROR(MID(VLOOKUP($B369,Seqs!$A:$B,2,0),G369,1),"")</f>
        <v>R</v>
      </c>
      <c r="G369" s="9">
        <v>78</v>
      </c>
      <c r="H369" s="9" t="str">
        <f>IFERROR(MID(VLOOKUP($B369,Seqs!$A:$B,2,0),I369,1),"")</f>
        <v/>
      </c>
      <c r="I369" s="109" t="s">
        <v>23</v>
      </c>
      <c r="J369" s="9" t="str">
        <f>IFERROR(MID(VLOOKUP($B369,Seqs!$A:$B,2,0),K369,1),"")</f>
        <v/>
      </c>
      <c r="K369" s="109" t="s">
        <v>23</v>
      </c>
      <c r="L369" s="9" t="str">
        <f>IFERROR(MID(VLOOKUP($B369,Seqs!$A:$B,2,0),M369,1),"")</f>
        <v>K</v>
      </c>
      <c r="M369" s="9">
        <v>85</v>
      </c>
      <c r="N369" s="9" t="str">
        <f>IFERROR(MID(VLOOKUP($B369,Seqs!$A:$B,2,0),O369,1),"")</f>
        <v>K</v>
      </c>
      <c r="O369" s="9">
        <v>117</v>
      </c>
      <c r="P369" s="9" t="str">
        <f>IFERROR(MID(VLOOKUP($B369,Seqs!$A:$B,2,0),Q369,1),"")</f>
        <v>Q</v>
      </c>
      <c r="Q369" s="9">
        <v>118</v>
      </c>
      <c r="R369" s="9" t="str">
        <f>IFERROR(MID(VLOOKUP($B369,Seqs!$A:$B,2,0),S369,1),"")</f>
        <v>S</v>
      </c>
      <c r="S369" s="9">
        <v>126</v>
      </c>
      <c r="T369" s="9" t="str">
        <f>IFERROR(MID(VLOOKUP($B369,Seqs!$A:$B,2,0),U369,1),"")</f>
        <v>G</v>
      </c>
      <c r="U369" s="9">
        <v>127</v>
      </c>
      <c r="V369" s="9" t="str">
        <f>IFERROR(MID(VLOOKUP($B369,Seqs!$A:$B,2,0),W369,1),"")</f>
        <v>A</v>
      </c>
      <c r="W369" s="9">
        <v>161</v>
      </c>
      <c r="X369" s="9" t="str">
        <f>IFERROR(MID(VLOOKUP($B369,Seqs!$A:$B,2,0),Y369,1),"")</f>
        <v>P</v>
      </c>
      <c r="Y369" s="9">
        <v>162</v>
      </c>
      <c r="Z369" s="9" t="str">
        <f>IFERROR(MID(VLOOKUP($B369,Seqs!$A:$B,2,0),AA369,1),"")</f>
        <v>M</v>
      </c>
      <c r="AA369" s="9">
        <v>169</v>
      </c>
      <c r="AB369" s="9" t="str">
        <f>IFERROR(MID(VLOOKUP($B369,Seqs!$A:$B,2,0),AC369,1),"")</f>
        <v>K</v>
      </c>
      <c r="AC369" s="9">
        <v>170</v>
      </c>
      <c r="AD369" s="9" t="str">
        <f>IFERROR(MID(VLOOKUP($B369,Seqs!$A:$B,2,0),AE369,1),"")</f>
        <v>G</v>
      </c>
      <c r="AE369" s="9">
        <v>195</v>
      </c>
      <c r="AF369" s="9" t="str">
        <f>IFERROR(MID(VLOOKUP($B369,Seqs!$A:$B,2,0),AG369,1),"")</f>
        <v>C</v>
      </c>
      <c r="AG369" s="9">
        <v>208</v>
      </c>
      <c r="AH369" s="9" t="str">
        <f>IFERROR(MID(VLOOKUP($B369,Seqs!$A:$B,2,0),AI369,1),"")</f>
        <v>I</v>
      </c>
      <c r="AI369" s="9">
        <v>210</v>
      </c>
      <c r="AJ369" s="9" t="str">
        <f>IFERROR(MID(VLOOKUP($B369,Seqs!$A:$B,2,0),AK369,1),"")</f>
        <v>W</v>
      </c>
      <c r="AK369" s="9">
        <v>225</v>
      </c>
      <c r="AL369" s="9" t="str">
        <f>IFERROR(MID(VLOOKUP($B369,Seqs!$A:$B,2,0),AM369,1),"")</f>
        <v>S</v>
      </c>
      <c r="AM369" s="9">
        <v>258</v>
      </c>
      <c r="AN369" s="9" t="str">
        <f>IFERROR(MID(VLOOKUP($B369,Seqs!$A:$B,2,0),AO369,1),"")</f>
        <v>R</v>
      </c>
      <c r="AO369" s="9">
        <v>275</v>
      </c>
      <c r="AP369" s="9" t="str">
        <f>IFERROR(MID(VLOOKUP($B369,Seqs!$A:$B,2,0),AQ369,1),"")</f>
        <v>F</v>
      </c>
      <c r="AQ369" s="9">
        <v>307</v>
      </c>
      <c r="AR369" s="9" t="str">
        <f>IFERROR(MID(VLOOKUP($B369,Seqs!$A:$B,2,0),AS369,1),"")</f>
        <v>K</v>
      </c>
      <c r="AS369" s="9">
        <v>323</v>
      </c>
      <c r="AT369" s="9" t="str">
        <f>IFERROR(MID(VLOOKUP($B369,Seqs!$A:$B,2,0),AU369,1),"")</f>
        <v>Y</v>
      </c>
      <c r="AU369" s="9">
        <v>346</v>
      </c>
      <c r="AV369" s="9" t="str">
        <f>IFERROR(MID(VLOOKUP($B369,Seqs!$A:$B,2,0),AW369,1),"")</f>
        <v>L</v>
      </c>
      <c r="AW369" s="9">
        <v>347</v>
      </c>
      <c r="AX369" s="9" t="str">
        <f>IFERROR(MID(VLOOKUP($B369,Seqs!$A:$B,2,0),AY369,1),"")</f>
        <v>L</v>
      </c>
      <c r="AY369" s="9">
        <v>353</v>
      </c>
      <c r="AZ369" s="110" t="str">
        <f>VLOOKUP(B369,Classification!A:D,2,0)</f>
        <v>A</v>
      </c>
      <c r="BA369" s="98" t="str">
        <f>VLOOKUP(B369,Classification!A:D,4,0)</f>
        <v>Prostanoid</v>
      </c>
      <c r="BB369" s="36" t="b">
        <f t="shared" si="3160"/>
        <v>1</v>
      </c>
      <c r="BC369" s="109">
        <f t="shared" si="3161"/>
        <v>240</v>
      </c>
      <c r="BD369" s="40" t="s">
        <v>1429</v>
      </c>
      <c r="BE369" s="9" t="s">
        <v>1471</v>
      </c>
      <c r="BF369" s="119">
        <v>2.5</v>
      </c>
      <c r="BG369" s="51" t="s">
        <v>1</v>
      </c>
      <c r="BH369" s="51" t="s">
        <v>1</v>
      </c>
      <c r="BJ369" s="111" t="s">
        <v>1287</v>
      </c>
      <c r="BK369" s="112" t="s">
        <v>1287</v>
      </c>
      <c r="BL369" s="112" t="s">
        <v>1287</v>
      </c>
      <c r="BM369" s="112" t="s">
        <v>1287</v>
      </c>
      <c r="BN369" s="112" t="s">
        <v>1287</v>
      </c>
      <c r="BO369" s="112" t="s">
        <v>1287</v>
      </c>
      <c r="BP369" s="112" t="s">
        <v>1287</v>
      </c>
      <c r="BQ369" s="112" t="s">
        <v>1287</v>
      </c>
      <c r="BR369" s="112" t="s">
        <v>1287</v>
      </c>
      <c r="BS369" s="112" t="s">
        <v>1287</v>
      </c>
      <c r="BT369" s="112" t="s">
        <v>1287</v>
      </c>
      <c r="BU369" s="112" t="s">
        <v>1287</v>
      </c>
      <c r="BV369" s="111">
        <f t="shared" si="3162"/>
        <v>52</v>
      </c>
      <c r="BW369" s="113" t="str">
        <f t="shared" si="3163"/>
        <v>-</v>
      </c>
      <c r="BX369" s="114">
        <f t="shared" si="3164"/>
        <v>85</v>
      </c>
      <c r="BY369" s="113">
        <f t="shared" si="3165"/>
        <v>118</v>
      </c>
      <c r="BZ369" s="114">
        <f t="shared" si="3166"/>
        <v>127</v>
      </c>
      <c r="CA369" s="113">
        <f t="shared" si="3167"/>
        <v>162</v>
      </c>
      <c r="CB369" s="114">
        <f t="shared" si="3168"/>
        <v>170</v>
      </c>
      <c r="CC369" s="113">
        <f t="shared" si="3169"/>
        <v>208</v>
      </c>
      <c r="CD369" s="114">
        <f t="shared" si="3170"/>
        <v>225</v>
      </c>
      <c r="CE369" s="113">
        <f t="shared" si="3171"/>
        <v>275</v>
      </c>
      <c r="CF369" s="114">
        <f t="shared" si="3172"/>
        <v>323</v>
      </c>
      <c r="CG369" s="113">
        <f t="shared" si="3173"/>
        <v>347</v>
      </c>
      <c r="CH369" s="111">
        <f t="shared" si="3174"/>
        <v>78</v>
      </c>
      <c r="CI369" s="113" t="str">
        <f t="shared" si="3175"/>
        <v>-</v>
      </c>
      <c r="CJ369" s="114">
        <f t="shared" si="3176"/>
        <v>117</v>
      </c>
      <c r="CK369" s="114">
        <f t="shared" si="3177"/>
        <v>126</v>
      </c>
      <c r="CL369" s="114">
        <f t="shared" si="3178"/>
        <v>161</v>
      </c>
      <c r="CM369" s="114">
        <f t="shared" si="3179"/>
        <v>169</v>
      </c>
      <c r="CN369" s="114">
        <f t="shared" si="3180"/>
        <v>195</v>
      </c>
      <c r="CO369" s="114">
        <f t="shared" si="3181"/>
        <v>210</v>
      </c>
      <c r="CP369" s="114">
        <f t="shared" si="3182"/>
        <v>258</v>
      </c>
      <c r="CQ369" s="114">
        <f t="shared" si="3183"/>
        <v>307</v>
      </c>
      <c r="CR369" s="114">
        <f t="shared" si="3184"/>
        <v>346</v>
      </c>
      <c r="CS369" s="114">
        <f t="shared" si="3185"/>
        <v>353</v>
      </c>
      <c r="CT369" s="109" t="e">
        <f t="shared" si="3186"/>
        <v>#VALUE!</v>
      </c>
    </row>
    <row r="370" spans="1:1029" x14ac:dyDescent="0.2">
      <c r="A370" s="9" t="str">
        <f t="shared" ref="A370" si="3215">CONCATENATE(B370,"_",C370)</f>
        <v>pe2r4_human__wt</v>
      </c>
      <c r="B370" s="9" t="s">
        <v>364</v>
      </c>
      <c r="C370" s="9" t="s">
        <v>100</v>
      </c>
      <c r="D370" s="9" t="str">
        <f>IFERROR(MID(VLOOKUP($B370,Seqs!$A:$B,2,0),E370,1),"")</f>
        <v>N</v>
      </c>
      <c r="E370" s="9">
        <v>18</v>
      </c>
      <c r="F370" s="9" t="str">
        <f>IFERROR(MID(VLOOKUP($B370,Seqs!$A:$B,2,0),G370,1),"")</f>
        <v>C</v>
      </c>
      <c r="G370" s="9">
        <v>43</v>
      </c>
      <c r="H370" s="9" t="str">
        <f>IFERROR(MID(VLOOKUP($B370,Seqs!$A:$B,2,0),I370,1),"")</f>
        <v/>
      </c>
      <c r="I370" s="109" t="s">
        <v>23</v>
      </c>
      <c r="J370" s="9" t="str">
        <f>IFERROR(MID(VLOOKUP($B370,Seqs!$A:$B,2,0),K370,1),"")</f>
        <v/>
      </c>
      <c r="K370" s="109" t="s">
        <v>23</v>
      </c>
      <c r="L370" s="9" t="str">
        <f>IFERROR(MID(VLOOKUP($B370,Seqs!$A:$B,2,0),M370,1),"")</f>
        <v>E</v>
      </c>
      <c r="M370" s="9">
        <v>51</v>
      </c>
      <c r="N370" s="9" t="str">
        <f>IFERROR(MID(VLOOKUP($B370,Seqs!$A:$B,2,0),O370,1),"")</f>
        <v>K</v>
      </c>
      <c r="O370" s="9">
        <v>82</v>
      </c>
      <c r="P370" s="9" t="str">
        <f>IFERROR(MID(VLOOKUP($B370,Seqs!$A:$B,2,0),Q370,1),"")</f>
        <v>Q</v>
      </c>
      <c r="Q370" s="9">
        <v>84</v>
      </c>
      <c r="R370" s="9" t="str">
        <f>IFERROR(MID(VLOOKUP($B370,Seqs!$A:$B,2,0),S370,1),"")</f>
        <v>G</v>
      </c>
      <c r="S370" s="9">
        <v>87</v>
      </c>
      <c r="T370" s="9" t="str">
        <f>IFERROR(MID(VLOOKUP($B370,Seqs!$A:$B,2,0),U370,1),"")</f>
        <v>G</v>
      </c>
      <c r="U370" s="9">
        <v>88</v>
      </c>
      <c r="V370" s="9" t="str">
        <f>IFERROR(MID(VLOOKUP($B370,Seqs!$A:$B,2,0),W370,1),"")</f>
        <v>H</v>
      </c>
      <c r="W370" s="9">
        <v>123</v>
      </c>
      <c r="X370" s="9" t="str">
        <f>IFERROR(MID(VLOOKUP($B370,Seqs!$A:$B,2,0),Y370,1),"")</f>
        <v>A</v>
      </c>
      <c r="Y370" s="9">
        <v>124</v>
      </c>
      <c r="Z370" s="9" t="str">
        <f>IFERROR(MID(VLOOKUP($B370,Seqs!$A:$B,2,0),AA370,1),"")</f>
        <v>V</v>
      </c>
      <c r="AA370" s="9">
        <v>131</v>
      </c>
      <c r="AB370" s="9" t="str">
        <f>IFERROR(MID(VLOOKUP($B370,Seqs!$A:$B,2,0),AC370,1),"")</f>
        <v>D</v>
      </c>
      <c r="AC370" s="9">
        <v>132</v>
      </c>
      <c r="AD370" s="9" t="str">
        <f>IFERROR(MID(VLOOKUP($B370,Seqs!$A:$B,2,0),AE370,1),"")</f>
        <v>G</v>
      </c>
      <c r="AE370" s="9">
        <v>157</v>
      </c>
      <c r="AF370" s="9" t="str">
        <f>IFERROR(MID(VLOOKUP($B370,Seqs!$A:$B,2,0),AG370,1),"")</f>
        <v>C</v>
      </c>
      <c r="AG370" s="9">
        <v>170</v>
      </c>
      <c r="AH370" s="9" t="str">
        <f>IFERROR(MID(VLOOKUP($B370,Seqs!$A:$B,2,0),AI370,1),"")</f>
        <v>I</v>
      </c>
      <c r="AI370" s="9">
        <v>172</v>
      </c>
      <c r="AJ370" s="9" t="str">
        <f>IFERROR(MID(VLOOKUP($B370,Seqs!$A:$B,2,0),AK370,1),"")</f>
        <v>V</v>
      </c>
      <c r="AK370" s="9">
        <v>178</v>
      </c>
      <c r="AL370" s="9" t="str">
        <f>IFERROR(MID(VLOOKUP($B370,Seqs!$A:$B,2,0),AM370,1),"")</f>
        <v>L</v>
      </c>
      <c r="AM370" s="9">
        <v>223</v>
      </c>
      <c r="AN370" s="9" t="str">
        <f>IFERROR(MID(VLOOKUP($B370,Seqs!$A:$B,2,0),AO370,1),"")</f>
        <v>R</v>
      </c>
      <c r="AO370" s="9">
        <v>261</v>
      </c>
      <c r="AP370" s="9" t="str">
        <f>IFERROR(MID(VLOOKUP($B370,Seqs!$A:$B,2,0),AQ370,1),"")</f>
        <v>Y</v>
      </c>
      <c r="AQ370" s="9">
        <v>298</v>
      </c>
      <c r="AR370" s="9" t="str">
        <f>IFERROR(MID(VLOOKUP($B370,Seqs!$A:$B,2,0),AS370,1),"")</f>
        <v>N</v>
      </c>
      <c r="AS370" s="9">
        <v>309</v>
      </c>
      <c r="AT370" s="9" t="str">
        <f>IFERROR(MID(VLOOKUP($B370,Seqs!$A:$B,2,0),AU370,1),"")</f>
        <v>L</v>
      </c>
      <c r="AU370" s="9">
        <v>332</v>
      </c>
      <c r="AV370" s="9" t="str">
        <f>IFERROR(MID(VLOOKUP($B370,Seqs!$A:$B,2,0),AW370,1),"")</f>
        <v>R</v>
      </c>
      <c r="AW370" s="9">
        <v>333</v>
      </c>
      <c r="AX370" s="9" t="str">
        <f>IFERROR(MID(VLOOKUP($B370,Seqs!$A:$B,2,0),AY370,1),"")</f>
        <v>C</v>
      </c>
      <c r="AY370" s="9">
        <v>346</v>
      </c>
      <c r="AZ370" s="110" t="str">
        <f>VLOOKUP(B370,Classification!A:D,2,0)</f>
        <v>A</v>
      </c>
      <c r="BA370" s="98" t="str">
        <f>VLOOKUP(B370,Classification!A:D,4,0)</f>
        <v>Prostanoid</v>
      </c>
      <c r="BB370" s="36" t="b">
        <f t="shared" ref="BB370" si="3216">AND(E370&lt;G370,OR(G370&lt;I370,I370="-"),OR(I370&lt;K370,I370="-"),OR(K370&lt;M370,K370="-"),M370&lt;O370,OR(O370&lt;Q370,Q370="-"),OR(Q370&lt;S370,Q370="-"),OR(S370&lt;U370,S370="-"),U370&lt;W370,OR(W370&lt;Y370,Y370="-"),OR(Y370&lt;AA370,Y370="-"),OR(AA370&lt;AC370,AA370="-"),AC370&lt;AE370,OR(AE370&lt;AG370,AG370="-"),OR(AG370&lt;AI370,AG370="-"),OR(AI370&lt;AK370,AI370="-"),AK370&lt;AM370,AM370&lt;AO370,AO370&lt;AQ370,AQ370&lt;AS370,AS370&lt;AU370,OR(AU370&lt;AW370,AW370="-"),OR(AW370&lt;AY370,AW370="-"))</f>
        <v>1</v>
      </c>
      <c r="BC370" s="109">
        <f t="shared" ref="BC370" si="3217">_xlfn.AGGREGATE(9,6,CH370:CS370)-_xlfn.AGGREGATE(9,6,BV370:CG370)+12</f>
        <v>258</v>
      </c>
      <c r="BD370" s="40" t="s">
        <v>23</v>
      </c>
      <c r="BE370" s="9" t="s">
        <v>23</v>
      </c>
      <c r="BF370" s="119" t="s">
        <v>23</v>
      </c>
      <c r="BG370" s="51" t="s">
        <v>23</v>
      </c>
      <c r="BH370" s="51" t="s">
        <v>23</v>
      </c>
      <c r="BI370" s="12"/>
      <c r="BJ370" s="111" t="s">
        <v>1287</v>
      </c>
      <c r="BK370" s="112" t="s">
        <v>1287</v>
      </c>
      <c r="BL370" s="112" t="s">
        <v>1287</v>
      </c>
      <c r="BM370" s="112" t="s">
        <v>1287</v>
      </c>
      <c r="BN370" s="112" t="s">
        <v>1287</v>
      </c>
      <c r="BO370" s="112" t="s">
        <v>1287</v>
      </c>
      <c r="BP370" s="112" t="s">
        <v>1287</v>
      </c>
      <c r="BQ370" s="112" t="s">
        <v>1287</v>
      </c>
      <c r="BR370" s="112" t="s">
        <v>1287</v>
      </c>
      <c r="BS370" s="112" t="s">
        <v>1287</v>
      </c>
      <c r="BT370" s="112" t="s">
        <v>1287</v>
      </c>
      <c r="BU370" s="112" t="s">
        <v>1287</v>
      </c>
      <c r="BV370" s="111">
        <f t="shared" ref="BV370" si="3218">E370</f>
        <v>18</v>
      </c>
      <c r="BW370" s="113" t="str">
        <f t="shared" ref="BW370" si="3219">I370</f>
        <v>-</v>
      </c>
      <c r="BX370" s="114">
        <f t="shared" ref="BX370" si="3220">M370</f>
        <v>51</v>
      </c>
      <c r="BY370" s="113">
        <f t="shared" ref="BY370" si="3221">Q370</f>
        <v>84</v>
      </c>
      <c r="BZ370" s="114">
        <f t="shared" ref="BZ370" si="3222">U370</f>
        <v>88</v>
      </c>
      <c r="CA370" s="113">
        <f t="shared" ref="CA370" si="3223">Y370</f>
        <v>124</v>
      </c>
      <c r="CB370" s="114">
        <f t="shared" ref="CB370" si="3224">AC370</f>
        <v>132</v>
      </c>
      <c r="CC370" s="113">
        <f t="shared" ref="CC370" si="3225">AG370</f>
        <v>170</v>
      </c>
      <c r="CD370" s="114">
        <f t="shared" ref="CD370" si="3226">AK370</f>
        <v>178</v>
      </c>
      <c r="CE370" s="113">
        <f t="shared" ref="CE370" si="3227">AO370</f>
        <v>261</v>
      </c>
      <c r="CF370" s="114">
        <f t="shared" ref="CF370" si="3228">AS370</f>
        <v>309</v>
      </c>
      <c r="CG370" s="113">
        <f t="shared" ref="CG370" si="3229">AW370</f>
        <v>333</v>
      </c>
      <c r="CH370" s="111">
        <f t="shared" ref="CH370" si="3230">G370</f>
        <v>43</v>
      </c>
      <c r="CI370" s="113" t="str">
        <f t="shared" ref="CI370" si="3231">K370</f>
        <v>-</v>
      </c>
      <c r="CJ370" s="114">
        <f t="shared" ref="CJ370" si="3232">O370</f>
        <v>82</v>
      </c>
      <c r="CK370" s="114">
        <f t="shared" ref="CK370" si="3233">S370</f>
        <v>87</v>
      </c>
      <c r="CL370" s="114">
        <f t="shared" ref="CL370" si="3234">W370</f>
        <v>123</v>
      </c>
      <c r="CM370" s="114">
        <f t="shared" ref="CM370" si="3235">AA370</f>
        <v>131</v>
      </c>
      <c r="CN370" s="114">
        <f t="shared" ref="CN370" si="3236">AE370</f>
        <v>157</v>
      </c>
      <c r="CO370" s="114">
        <f t="shared" ref="CO370" si="3237">AI370</f>
        <v>172</v>
      </c>
      <c r="CP370" s="114">
        <f t="shared" ref="CP370" si="3238">AM370</f>
        <v>223</v>
      </c>
      <c r="CQ370" s="114">
        <f t="shared" ref="CQ370" si="3239">AQ370</f>
        <v>298</v>
      </c>
      <c r="CR370" s="114">
        <f t="shared" ref="CR370" si="3240">AU370</f>
        <v>332</v>
      </c>
      <c r="CS370" s="114">
        <f t="shared" ref="CS370" si="3241">AY370</f>
        <v>346</v>
      </c>
      <c r="CT370" s="109" t="e">
        <f t="shared" ref="CT370" si="3242">M370-K370</f>
        <v>#VALUE!</v>
      </c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</row>
    <row r="371" spans="1:1029" x14ac:dyDescent="0.2">
      <c r="A371" s="9" t="str">
        <f>CONCATENATE(B371,"_",C371)</f>
        <v>pe2r4_human_5YWY</v>
      </c>
      <c r="B371" s="9" t="s">
        <v>364</v>
      </c>
      <c r="C371" s="9" t="s">
        <v>1536</v>
      </c>
      <c r="D371" s="9" t="str">
        <f>IFERROR(MID(VLOOKUP($B371,Seqs!$A:$B,2,0),E371,1),"")</f>
        <v>N</v>
      </c>
      <c r="E371" s="9">
        <v>18</v>
      </c>
      <c r="F371" s="9" t="str">
        <f>IFERROR(MID(VLOOKUP($B371,Seqs!$A:$B,2,0),G371,1),"")</f>
        <v>C</v>
      </c>
      <c r="G371" s="9">
        <v>43</v>
      </c>
      <c r="H371" s="9" t="str">
        <f>IFERROR(MID(VLOOKUP($B371,Seqs!$A:$B,2,0),I371,1),"")</f>
        <v/>
      </c>
      <c r="I371" s="109" t="s">
        <v>23</v>
      </c>
      <c r="J371" s="9" t="str">
        <f>IFERROR(MID(VLOOKUP($B371,Seqs!$A:$B,2,0),K371,1),"")</f>
        <v/>
      </c>
      <c r="K371" s="109" t="s">
        <v>23</v>
      </c>
      <c r="L371" s="9" t="str">
        <f>IFERROR(MID(VLOOKUP($B371,Seqs!$A:$B,2,0),M371,1),"")</f>
        <v>E</v>
      </c>
      <c r="M371" s="9">
        <v>51</v>
      </c>
      <c r="N371" s="9" t="str">
        <f>IFERROR(MID(VLOOKUP($B371,Seqs!$A:$B,2,0),O371,1),"")</f>
        <v>K</v>
      </c>
      <c r="O371" s="9">
        <v>82</v>
      </c>
      <c r="P371" s="9" t="str">
        <f>IFERROR(MID(VLOOKUP($B371,Seqs!$A:$B,2,0),Q371,1),"")</f>
        <v>Q</v>
      </c>
      <c r="Q371" s="9">
        <v>84</v>
      </c>
      <c r="R371" s="9" t="str">
        <f>IFERROR(MID(VLOOKUP($B371,Seqs!$A:$B,2,0),S371,1),"")</f>
        <v>G</v>
      </c>
      <c r="S371" s="9">
        <v>87</v>
      </c>
      <c r="T371" s="9" t="str">
        <f>IFERROR(MID(VLOOKUP($B371,Seqs!$A:$B,2,0),U371,1),"")</f>
        <v>G</v>
      </c>
      <c r="U371" s="9">
        <v>88</v>
      </c>
      <c r="V371" s="9" t="str">
        <f>IFERROR(MID(VLOOKUP($B371,Seqs!$A:$B,2,0),W371,1),"")</f>
        <v>H</v>
      </c>
      <c r="W371" s="9">
        <v>123</v>
      </c>
      <c r="X371" s="9" t="str">
        <f>IFERROR(MID(VLOOKUP($B371,Seqs!$A:$B,2,0),Y371,1),"")</f>
        <v>A</v>
      </c>
      <c r="Y371" s="9">
        <v>124</v>
      </c>
      <c r="Z371" s="9" t="str">
        <f>IFERROR(MID(VLOOKUP($B371,Seqs!$A:$B,2,0),AA371,1),"")</f>
        <v>V</v>
      </c>
      <c r="AA371" s="9">
        <v>131</v>
      </c>
      <c r="AB371" s="9" t="str">
        <f>IFERROR(MID(VLOOKUP($B371,Seqs!$A:$B,2,0),AC371,1),"")</f>
        <v>D</v>
      </c>
      <c r="AC371" s="9">
        <v>132</v>
      </c>
      <c r="AD371" s="9" t="str">
        <f>IFERROR(MID(VLOOKUP($B371,Seqs!$A:$B,2,0),AE371,1),"")</f>
        <v>G</v>
      </c>
      <c r="AE371" s="9">
        <v>157</v>
      </c>
      <c r="AF371" s="9" t="str">
        <f>IFERROR(MID(VLOOKUP($B371,Seqs!$A:$B,2,0),AG371,1),"")</f>
        <v>C</v>
      </c>
      <c r="AG371" s="9">
        <v>170</v>
      </c>
      <c r="AH371" s="9" t="str">
        <f>IFERROR(MID(VLOOKUP($B371,Seqs!$A:$B,2,0),AI371,1),"")</f>
        <v>I</v>
      </c>
      <c r="AI371" s="9">
        <v>172</v>
      </c>
      <c r="AJ371" s="9" t="str">
        <f>IFERROR(MID(VLOOKUP($B371,Seqs!$A:$B,2,0),AK371,1),"")</f>
        <v>V</v>
      </c>
      <c r="AK371" s="9">
        <v>178</v>
      </c>
      <c r="AL371" s="9" t="str">
        <f>IFERROR(MID(VLOOKUP($B371,Seqs!$A:$B,2,0),AM371,1),"")</f>
        <v>H</v>
      </c>
      <c r="AM371" s="9">
        <v>214</v>
      </c>
      <c r="AN371" s="9" t="str">
        <f>IFERROR(MID(VLOOKUP($B371,Seqs!$A:$B,2,0),AO371,1),"")</f>
        <v>A</v>
      </c>
      <c r="AO371" s="9">
        <v>266</v>
      </c>
      <c r="AP371" s="9" t="str">
        <f>IFERROR(MID(VLOOKUP($B371,Seqs!$A:$B,2,0),AQ371,1),"")</f>
        <v>Y</v>
      </c>
      <c r="AQ371" s="9">
        <v>298</v>
      </c>
      <c r="AR371" s="9" t="str">
        <f>IFERROR(MID(VLOOKUP($B371,Seqs!$A:$B,2,0),AS371,1),"")</f>
        <v>N</v>
      </c>
      <c r="AS371" s="9">
        <v>309</v>
      </c>
      <c r="AT371" s="9" t="str">
        <f>IFERROR(MID(VLOOKUP($B371,Seqs!$A:$B,2,0),AU371,1),"")</f>
        <v>L</v>
      </c>
      <c r="AU371" s="9">
        <v>332</v>
      </c>
      <c r="AV371" s="9" t="str">
        <f>IFERROR(MID(VLOOKUP($B371,Seqs!$A:$B,2,0),AW371,1),"")</f>
        <v>R</v>
      </c>
      <c r="AW371" s="9">
        <v>333</v>
      </c>
      <c r="AX371" s="9" t="str">
        <f>IFERROR(MID(VLOOKUP($B371,Seqs!$A:$B,2,0),AY371,1),"")</f>
        <v>I</v>
      </c>
      <c r="AY371" s="9">
        <v>344</v>
      </c>
      <c r="AZ371" s="110" t="str">
        <f>VLOOKUP(B371,Classification!A:D,2,0)</f>
        <v>A</v>
      </c>
      <c r="BA371" s="98" t="str">
        <f>VLOOKUP(B371,Classification!A:D,4,0)</f>
        <v>Prostanoid</v>
      </c>
      <c r="BB371" s="36" t="b">
        <f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109">
        <f>_xlfn.AGGREGATE(9,6,CH371:CS371)-_xlfn.AGGREGATE(9,6,BV371:CG371)+12</f>
        <v>242</v>
      </c>
      <c r="BD371" s="40" t="s">
        <v>1376</v>
      </c>
      <c r="BE371" s="9" t="s">
        <v>1374</v>
      </c>
      <c r="BF371" s="119">
        <v>3.2</v>
      </c>
      <c r="BG371" s="51" t="s">
        <v>1</v>
      </c>
      <c r="BH371" s="51" t="s">
        <v>1</v>
      </c>
      <c r="BI371" s="12"/>
      <c r="BJ371" s="111" t="s">
        <v>1287</v>
      </c>
      <c r="BK371" s="112" t="s">
        <v>1287</v>
      </c>
      <c r="BL371" s="112" t="s">
        <v>1287</v>
      </c>
      <c r="BM371" s="112" t="s">
        <v>1287</v>
      </c>
      <c r="BN371" s="112" t="s">
        <v>1287</v>
      </c>
      <c r="BO371" s="112" t="s">
        <v>1287</v>
      </c>
      <c r="BP371" s="112" t="s">
        <v>1287</v>
      </c>
      <c r="BQ371" s="112" t="s">
        <v>1287</v>
      </c>
      <c r="BR371" s="112" t="s">
        <v>1287</v>
      </c>
      <c r="BS371" s="112" t="s">
        <v>1287</v>
      </c>
      <c r="BT371" s="112" t="s">
        <v>1287</v>
      </c>
      <c r="BU371" s="112" t="s">
        <v>1287</v>
      </c>
      <c r="BV371" s="111">
        <f>E371</f>
        <v>18</v>
      </c>
      <c r="BW371" s="113" t="str">
        <f>I371</f>
        <v>-</v>
      </c>
      <c r="BX371" s="114">
        <f>M371</f>
        <v>51</v>
      </c>
      <c r="BY371" s="113">
        <f>Q371</f>
        <v>84</v>
      </c>
      <c r="BZ371" s="114">
        <f>U371</f>
        <v>88</v>
      </c>
      <c r="CA371" s="113">
        <f>Y371</f>
        <v>124</v>
      </c>
      <c r="CB371" s="114">
        <f>AC371</f>
        <v>132</v>
      </c>
      <c r="CC371" s="113">
        <f>AG371</f>
        <v>170</v>
      </c>
      <c r="CD371" s="114">
        <f>AK371</f>
        <v>178</v>
      </c>
      <c r="CE371" s="113">
        <f>AO371</f>
        <v>266</v>
      </c>
      <c r="CF371" s="114">
        <f>AS371</f>
        <v>309</v>
      </c>
      <c r="CG371" s="113">
        <f>AW371</f>
        <v>333</v>
      </c>
      <c r="CH371" s="111">
        <f>G371</f>
        <v>43</v>
      </c>
      <c r="CI371" s="113" t="str">
        <f>K371</f>
        <v>-</v>
      </c>
      <c r="CJ371" s="114">
        <f>O371</f>
        <v>82</v>
      </c>
      <c r="CK371" s="114">
        <f>S371</f>
        <v>87</v>
      </c>
      <c r="CL371" s="114">
        <f>W371</f>
        <v>123</v>
      </c>
      <c r="CM371" s="114">
        <f>AA371</f>
        <v>131</v>
      </c>
      <c r="CN371" s="114">
        <f>AE371</f>
        <v>157</v>
      </c>
      <c r="CO371" s="114">
        <f>AI371</f>
        <v>172</v>
      </c>
      <c r="CP371" s="114">
        <f>AM371</f>
        <v>214</v>
      </c>
      <c r="CQ371" s="114">
        <f>AQ371</f>
        <v>298</v>
      </c>
      <c r="CR371" s="114">
        <f>AU371</f>
        <v>332</v>
      </c>
      <c r="CS371" s="114">
        <f>AY371</f>
        <v>344</v>
      </c>
      <c r="CT371" s="109" t="e">
        <f>M371-K371</f>
        <v>#VALUE!</v>
      </c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</row>
    <row r="372" spans="1:1029" x14ac:dyDescent="0.2">
      <c r="A372" s="9" t="str">
        <f>CONCATENATE(B372,"_",C372)</f>
        <v>pe2r4_human_5YHL</v>
      </c>
      <c r="B372" s="9" t="s">
        <v>364</v>
      </c>
      <c r="C372" s="9" t="s">
        <v>1537</v>
      </c>
      <c r="D372" s="9" t="str">
        <f>IFERROR(MID(VLOOKUP($B372,Seqs!$A:$B,2,0),E372,1),"")</f>
        <v>N</v>
      </c>
      <c r="E372" s="9">
        <v>18</v>
      </c>
      <c r="F372" s="9" t="str">
        <f>IFERROR(MID(VLOOKUP($B372,Seqs!$A:$B,2,0),G372,1),"")</f>
        <v>C</v>
      </c>
      <c r="G372" s="9">
        <v>43</v>
      </c>
      <c r="H372" s="9" t="str">
        <f>IFERROR(MID(VLOOKUP($B372,Seqs!$A:$B,2,0),I372,1),"")</f>
        <v/>
      </c>
      <c r="I372" s="109" t="s">
        <v>23</v>
      </c>
      <c r="J372" s="9" t="str">
        <f>IFERROR(MID(VLOOKUP($B372,Seqs!$A:$B,2,0),K372,1),"")</f>
        <v/>
      </c>
      <c r="K372" s="109" t="s">
        <v>23</v>
      </c>
      <c r="L372" s="9" t="str">
        <f>IFERROR(MID(VLOOKUP($B372,Seqs!$A:$B,2,0),M372,1),"")</f>
        <v>E</v>
      </c>
      <c r="M372" s="9">
        <v>51</v>
      </c>
      <c r="N372" s="9" t="str">
        <f>IFERROR(MID(VLOOKUP($B372,Seqs!$A:$B,2,0),O372,1),"")</f>
        <v>K</v>
      </c>
      <c r="O372" s="9">
        <v>82</v>
      </c>
      <c r="P372" s="9" t="str">
        <f>IFERROR(MID(VLOOKUP($B372,Seqs!$A:$B,2,0),Q372,1),"")</f>
        <v>Q</v>
      </c>
      <c r="Q372" s="9">
        <v>84</v>
      </c>
      <c r="R372" s="9" t="str">
        <f>IFERROR(MID(VLOOKUP($B372,Seqs!$A:$B,2,0),S372,1),"")</f>
        <v>G</v>
      </c>
      <c r="S372" s="9">
        <v>87</v>
      </c>
      <c r="T372" s="9" t="str">
        <f>IFERROR(MID(VLOOKUP($B372,Seqs!$A:$B,2,0),U372,1),"")</f>
        <v>G</v>
      </c>
      <c r="U372" s="9">
        <v>88</v>
      </c>
      <c r="V372" s="9" t="str">
        <f>IFERROR(MID(VLOOKUP($B372,Seqs!$A:$B,2,0),W372,1),"")</f>
        <v>H</v>
      </c>
      <c r="W372" s="9">
        <v>123</v>
      </c>
      <c r="X372" s="9" t="str">
        <f>IFERROR(MID(VLOOKUP($B372,Seqs!$A:$B,2,0),Y372,1),"")</f>
        <v>A</v>
      </c>
      <c r="Y372" s="9">
        <v>124</v>
      </c>
      <c r="Z372" s="9" t="str">
        <f>IFERROR(MID(VLOOKUP($B372,Seqs!$A:$B,2,0),AA372,1),"")</f>
        <v>V</v>
      </c>
      <c r="AA372" s="9">
        <v>131</v>
      </c>
      <c r="AB372" s="9" t="str">
        <f>IFERROR(MID(VLOOKUP($B372,Seqs!$A:$B,2,0),AC372,1),"")</f>
        <v>D</v>
      </c>
      <c r="AC372" s="9">
        <v>132</v>
      </c>
      <c r="AD372" s="9" t="str">
        <f>IFERROR(MID(VLOOKUP($B372,Seqs!$A:$B,2,0),AE372,1),"")</f>
        <v>G</v>
      </c>
      <c r="AE372" s="9">
        <v>157</v>
      </c>
      <c r="AF372" s="9" t="str">
        <f>IFERROR(MID(VLOOKUP($B372,Seqs!$A:$B,2,0),AG372,1),"")</f>
        <v>C</v>
      </c>
      <c r="AG372" s="9">
        <v>170</v>
      </c>
      <c r="AH372" s="9" t="str">
        <f>IFERROR(MID(VLOOKUP($B372,Seqs!$A:$B,2,0),AI372,1),"")</f>
        <v>I</v>
      </c>
      <c r="AI372" s="9">
        <v>172</v>
      </c>
      <c r="AJ372" s="9" t="str">
        <f>IFERROR(MID(VLOOKUP($B372,Seqs!$A:$B,2,0),AK372,1),"")</f>
        <v>V</v>
      </c>
      <c r="AK372" s="9">
        <v>178</v>
      </c>
      <c r="AL372" s="9" t="str">
        <f>IFERROR(MID(VLOOKUP($B372,Seqs!$A:$B,2,0),AM372,1),"")</f>
        <v>H</v>
      </c>
      <c r="AM372" s="9">
        <v>214</v>
      </c>
      <c r="AN372" s="9" t="str">
        <f>IFERROR(MID(VLOOKUP($B372,Seqs!$A:$B,2,0),AO372,1),"")</f>
        <v>A</v>
      </c>
      <c r="AO372" s="9">
        <v>266</v>
      </c>
      <c r="AP372" s="9" t="str">
        <f>IFERROR(MID(VLOOKUP($B372,Seqs!$A:$B,2,0),AQ372,1),"")</f>
        <v>Y</v>
      </c>
      <c r="AQ372" s="9">
        <v>298</v>
      </c>
      <c r="AR372" s="9" t="str">
        <f>IFERROR(MID(VLOOKUP($B372,Seqs!$A:$B,2,0),AS372,1),"")</f>
        <v>N</v>
      </c>
      <c r="AS372" s="9">
        <v>309</v>
      </c>
      <c r="AT372" s="9" t="str">
        <f>IFERROR(MID(VLOOKUP($B372,Seqs!$A:$B,2,0),AU372,1),"")</f>
        <v>L</v>
      </c>
      <c r="AU372" s="9">
        <v>332</v>
      </c>
      <c r="AV372" s="9" t="str">
        <f>IFERROR(MID(VLOOKUP($B372,Seqs!$A:$B,2,0),AW372,1),"")</f>
        <v>R</v>
      </c>
      <c r="AW372" s="9">
        <v>333</v>
      </c>
      <c r="AX372" s="9" t="str">
        <f>IFERROR(MID(VLOOKUP($B372,Seqs!$A:$B,2,0),AY372,1),"")</f>
        <v>I</v>
      </c>
      <c r="AY372" s="9">
        <v>344</v>
      </c>
      <c r="AZ372" s="110" t="str">
        <f>VLOOKUP(B372,Classification!A:D,2,0)</f>
        <v>A</v>
      </c>
      <c r="BA372" s="98" t="str">
        <f>VLOOKUP(B372,Classification!A:D,4,0)</f>
        <v>Prostanoid</v>
      </c>
      <c r="BB372" s="36" t="b">
        <f>AND(E372&lt;G372,OR(G372&lt;I372,I372="-"),OR(I372&lt;K372,I372="-"),OR(K372&lt;M372,K372="-"),M372&lt;O372,OR(O372&lt;Q372,Q372="-"),OR(Q372&lt;S372,Q372="-"),OR(S372&lt;U372,S372="-"),U372&lt;W372,OR(W372&lt;Y372,Y372="-"),OR(Y372&lt;AA372,Y372="-"),OR(AA372&lt;AC372,AA372="-"),AC372&lt;AE372,OR(AE372&lt;AG372,AG372="-"),OR(AG372&lt;AI372,AG372="-"),OR(AI372&lt;AK372,AI372="-"),AK372&lt;AM372,AM372&lt;AO372,AO372&lt;AQ372,AQ372&lt;AS372,AS372&lt;AU372,OR(AU372&lt;AW372,AW372="-"),OR(AW372&lt;AY372,AW372="-"))</f>
        <v>1</v>
      </c>
      <c r="BC372" s="109">
        <f>_xlfn.AGGREGATE(9,6,CH372:CS372)-_xlfn.AGGREGATE(9,6,BV372:CG372)+12</f>
        <v>242</v>
      </c>
      <c r="BD372" s="40" t="s">
        <v>23</v>
      </c>
      <c r="BE372" s="9" t="s">
        <v>1374</v>
      </c>
      <c r="BF372" s="119">
        <v>4.2</v>
      </c>
      <c r="BG372" s="51" t="s">
        <v>1</v>
      </c>
      <c r="BH372" s="51" t="s">
        <v>1</v>
      </c>
      <c r="BI372" s="12"/>
      <c r="BJ372" s="111" t="s">
        <v>1287</v>
      </c>
      <c r="BK372" s="112" t="s">
        <v>1287</v>
      </c>
      <c r="BL372" s="112" t="s">
        <v>1287</v>
      </c>
      <c r="BM372" s="112" t="s">
        <v>1287</v>
      </c>
      <c r="BN372" s="112" t="s">
        <v>1287</v>
      </c>
      <c r="BO372" s="112" t="s">
        <v>1287</v>
      </c>
      <c r="BP372" s="112" t="s">
        <v>1287</v>
      </c>
      <c r="BQ372" s="112" t="s">
        <v>1287</v>
      </c>
      <c r="BR372" s="112" t="s">
        <v>1287</v>
      </c>
      <c r="BS372" s="112" t="s">
        <v>1287</v>
      </c>
      <c r="BT372" s="112" t="s">
        <v>1287</v>
      </c>
      <c r="BU372" s="112" t="s">
        <v>1287</v>
      </c>
      <c r="BV372" s="111">
        <f>E372</f>
        <v>18</v>
      </c>
      <c r="BW372" s="113" t="str">
        <f>I372</f>
        <v>-</v>
      </c>
      <c r="BX372" s="114">
        <f>M372</f>
        <v>51</v>
      </c>
      <c r="BY372" s="113">
        <f>Q372</f>
        <v>84</v>
      </c>
      <c r="BZ372" s="114">
        <f>U372</f>
        <v>88</v>
      </c>
      <c r="CA372" s="113">
        <f>Y372</f>
        <v>124</v>
      </c>
      <c r="CB372" s="114">
        <f>AC372</f>
        <v>132</v>
      </c>
      <c r="CC372" s="113">
        <f>AG372</f>
        <v>170</v>
      </c>
      <c r="CD372" s="114">
        <f>AK372</f>
        <v>178</v>
      </c>
      <c r="CE372" s="113">
        <f>AO372</f>
        <v>266</v>
      </c>
      <c r="CF372" s="114">
        <f>AS372</f>
        <v>309</v>
      </c>
      <c r="CG372" s="113">
        <f>AW372</f>
        <v>333</v>
      </c>
      <c r="CH372" s="111">
        <f>G372</f>
        <v>43</v>
      </c>
      <c r="CI372" s="113" t="str">
        <f>K372</f>
        <v>-</v>
      </c>
      <c r="CJ372" s="114">
        <f>O372</f>
        <v>82</v>
      </c>
      <c r="CK372" s="114">
        <f>S372</f>
        <v>87</v>
      </c>
      <c r="CL372" s="114">
        <f>W372</f>
        <v>123</v>
      </c>
      <c r="CM372" s="114">
        <f>AA372</f>
        <v>131</v>
      </c>
      <c r="CN372" s="114">
        <f>AE372</f>
        <v>157</v>
      </c>
      <c r="CO372" s="114">
        <f>AI372</f>
        <v>172</v>
      </c>
      <c r="CP372" s="114">
        <f>AM372</f>
        <v>214</v>
      </c>
      <c r="CQ372" s="114">
        <f>AQ372</f>
        <v>298</v>
      </c>
      <c r="CR372" s="114">
        <f>AU372</f>
        <v>332</v>
      </c>
      <c r="CS372" s="114">
        <f>AY372</f>
        <v>344</v>
      </c>
      <c r="CT372" s="109" t="e">
        <f>M372-K372</f>
        <v>#VALUE!</v>
      </c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  <c r="AMO372" s="1"/>
    </row>
    <row r="373" spans="1:1029" x14ac:dyDescent="0.2">
      <c r="A373" s="3" t="str">
        <f>CONCATENATE(B373,"_",C373)</f>
        <v>ptafr_human__wt</v>
      </c>
      <c r="B373" s="3" t="s">
        <v>371</v>
      </c>
      <c r="C373" s="3" t="s">
        <v>100</v>
      </c>
      <c r="D373" s="3" t="str">
        <f>IFERROR(MID(VLOOKUP($B373,Seqs!$A:$B,2,0),E373,1),"")</f>
        <v>D</v>
      </c>
      <c r="E373" s="3">
        <v>10</v>
      </c>
      <c r="F373" s="3" t="str">
        <f>IFERROR(MID(VLOOKUP($B373,Seqs!$A:$B,2,0),G373,1),"")</f>
        <v>Y</v>
      </c>
      <c r="G373" s="3">
        <v>44</v>
      </c>
      <c r="H373" s="3" t="str">
        <f>IFERROR(MID(VLOOKUP($B373,Seqs!$A:$B,2,0),I373,1),"")</f>
        <v/>
      </c>
      <c r="I373" s="23" t="s">
        <v>23</v>
      </c>
      <c r="J373" s="3" t="str">
        <f>IFERROR(MID(VLOOKUP($B373,Seqs!$A:$B,2,0),K373,1),"")</f>
        <v/>
      </c>
      <c r="K373" s="23" t="s">
        <v>23</v>
      </c>
      <c r="L373" s="3" t="str">
        <f>IFERROR(MID(VLOOKUP($B373,Seqs!$A:$B,2,0),M373,1),"")</f>
        <v>F</v>
      </c>
      <c r="M373" s="3">
        <v>49</v>
      </c>
      <c r="N373" s="3" t="str">
        <f>IFERROR(MID(VLOOKUP($B373,Seqs!$A:$B,2,0),O373,1),"")</f>
        <v>Q</v>
      </c>
      <c r="O373" s="3">
        <v>80</v>
      </c>
      <c r="P373" s="3" t="str">
        <f>IFERROR(MID(VLOOKUP($B373,Seqs!$A:$B,2,0),Q373,1),"")</f>
        <v>N</v>
      </c>
      <c r="Q373" s="3">
        <v>82</v>
      </c>
      <c r="R373" s="3" t="str">
        <f>IFERROR(MID(VLOOKUP($B373,Seqs!$A:$B,2,0),S373,1),"")</f>
        <v>L</v>
      </c>
      <c r="S373" s="3">
        <v>85</v>
      </c>
      <c r="T373" s="3" t="str">
        <f>IFERROR(MID(VLOOKUP($B373,Seqs!$A:$B,2,0),U373,1),"")</f>
        <v>P</v>
      </c>
      <c r="U373" s="3">
        <v>86</v>
      </c>
      <c r="V373" s="3" t="str">
        <f>IFERROR(MID(VLOOKUP($B373,Seqs!$A:$B,2,0),W373,1),"")</f>
        <v>R</v>
      </c>
      <c r="W373" s="3">
        <v>121</v>
      </c>
      <c r="X373" s="3" t="str">
        <f>IFERROR(MID(VLOOKUP($B373,Seqs!$A:$B,2,0),Y373,1),"")</f>
        <v>P</v>
      </c>
      <c r="Y373" s="3">
        <v>122</v>
      </c>
      <c r="Z373" s="3" t="str">
        <f>IFERROR(MID(VLOOKUP($B373,Seqs!$A:$B,2,0),AA373,1),"")</f>
        <v>N</v>
      </c>
      <c r="AA373" s="3">
        <v>129</v>
      </c>
      <c r="AB373" s="3" t="str">
        <f>IFERROR(MID(VLOOKUP($B373,Seqs!$A:$B,2,0),AC373,1),"")</f>
        <v>T</v>
      </c>
      <c r="AC373" s="3">
        <v>130</v>
      </c>
      <c r="AD373" s="3" t="str">
        <f>IFERROR(MID(VLOOKUP($B373,Seqs!$A:$B,2,0),AE373,1),"")</f>
        <v>L</v>
      </c>
      <c r="AE373" s="3">
        <v>155</v>
      </c>
      <c r="AF373" s="3" t="str">
        <f>IFERROR(MID(VLOOKUP($B373,Seqs!$A:$B,2,0),AG373,1),"")</f>
        <v>C</v>
      </c>
      <c r="AG373" s="3">
        <v>173</v>
      </c>
      <c r="AH373" s="3" t="str">
        <f>IFERROR(MID(VLOOKUP($B373,Seqs!$A:$B,2,0),AI373,1),"")</f>
        <v>E</v>
      </c>
      <c r="AI373" s="3">
        <v>175</v>
      </c>
      <c r="AJ373" s="3" t="str">
        <f>IFERROR(MID(VLOOKUP($B373,Seqs!$A:$B,2,0),AK373,1),"")</f>
        <v>S</v>
      </c>
      <c r="AK373" s="3">
        <v>181</v>
      </c>
      <c r="AL373" s="3" t="str">
        <f>IFERROR(MID(VLOOKUP($B373,Seqs!$A:$B,2,0),AM373,1),"")</f>
        <v>Q</v>
      </c>
      <c r="AM373" s="3">
        <v>216</v>
      </c>
      <c r="AN373" s="3" t="str">
        <f>IFERROR(MID(VLOOKUP($B373,Seqs!$A:$B,2,0),AO373,1),"")</f>
        <v>Q</v>
      </c>
      <c r="AO373" s="3">
        <v>221</v>
      </c>
      <c r="AP373" s="3" t="str">
        <f>IFERROR(MID(VLOOKUP($B373,Seqs!$A:$B,2,0),AQ373,1),"")</f>
        <v>G</v>
      </c>
      <c r="AQ373" s="3">
        <v>261</v>
      </c>
      <c r="AR373" s="3" t="str">
        <f>IFERROR(MID(VLOOKUP($B373,Seqs!$A:$B,2,0),AS373,1),"")</f>
        <v>D</v>
      </c>
      <c r="AS373" s="3">
        <v>264</v>
      </c>
      <c r="AT373" s="3" t="str">
        <f>IFERROR(MID(VLOOKUP($B373,Seqs!$A:$B,2,0),AU373,1),"")</f>
        <v>K</v>
      </c>
      <c r="AU373" s="3">
        <v>299</v>
      </c>
      <c r="AV373" s="3" t="str">
        <f>IFERROR(MID(VLOOKUP($B373,Seqs!$A:$B,2,0),AW373,1),"")</f>
        <v>F</v>
      </c>
      <c r="AW373" s="3">
        <v>300</v>
      </c>
      <c r="AX373" s="3" t="str">
        <f>IFERROR(MID(VLOOKUP($B373,Seqs!$A:$B,2,0),AY373,1),"")</f>
        <v>S</v>
      </c>
      <c r="AY373" s="3">
        <v>313</v>
      </c>
      <c r="AZ373" s="77" t="str">
        <f>VLOOKUP(B373,Classification!A:D,2,0)</f>
        <v>A</v>
      </c>
      <c r="BA373" s="94" t="str">
        <f>VLOOKUP(B373,Classification!A:D,4,0)</f>
        <v>Platelet-activatingfactor</v>
      </c>
      <c r="BB373" s="27" t="b">
        <f>AND(E373&lt;G373,OR(G373&lt;I373,I373="-"),OR(I373&lt;K373,I373="-"),OR(K373&lt;M373,K373="-"),M373&lt;O373,OR(O373&lt;Q373,Q373="-"),OR(Q373&lt;S373,Q373="-"),OR(S373&lt;U373,S373="-"),U373&lt;W373,OR(W373&lt;Y373,Y373="-"),OR(Y373&lt;AA373,Y373="-"),OR(AA373&lt;AC373,AA373="-"),AC373&lt;AE373,OR(AE373&lt;AG373,AG373="-"),OR(AG373&lt;AI373,AG373="-"),OR(AI373&lt;AK373,AI373="-"),AK373&lt;AM373,AM373&lt;AO373,AO373&lt;AQ373,AQ373&lt;AS373,AS373&lt;AU373,OR(AU373&lt;AW373,AW373="-"),OR(AW373&lt;AY373,AW373="-"))</f>
        <v>1</v>
      </c>
      <c r="BC373" s="23">
        <f>_xlfn.AGGREGATE(9,6,CH373:CS373)-_xlfn.AGGREGATE(9,6,BV373:CG373)+12</f>
        <v>272</v>
      </c>
      <c r="BD373" s="2" t="s">
        <v>23</v>
      </c>
      <c r="BE373" s="3" t="s">
        <v>23</v>
      </c>
      <c r="BF373" s="118" t="s">
        <v>23</v>
      </c>
      <c r="BG373" s="49" t="s">
        <v>1377</v>
      </c>
      <c r="BH373" s="49" t="s">
        <v>1377</v>
      </c>
      <c r="BI373" s="1"/>
      <c r="BJ373" s="70" t="s">
        <v>1287</v>
      </c>
      <c r="BK373" s="57" t="s">
        <v>1287</v>
      </c>
      <c r="BL373" s="57" t="s">
        <v>1287</v>
      </c>
      <c r="BM373" s="57" t="s">
        <v>1287</v>
      </c>
      <c r="BN373" s="57" t="s">
        <v>1287</v>
      </c>
      <c r="BO373" s="57" t="s">
        <v>1287</v>
      </c>
      <c r="BP373" s="57" t="s">
        <v>1287</v>
      </c>
      <c r="BQ373" s="57" t="s">
        <v>1287</v>
      </c>
      <c r="BR373" s="57" t="s">
        <v>1287</v>
      </c>
      <c r="BS373" s="57" t="s">
        <v>1287</v>
      </c>
      <c r="BT373" s="57" t="s">
        <v>1287</v>
      </c>
      <c r="BU373" s="57" t="s">
        <v>1287</v>
      </c>
      <c r="BV373" s="70">
        <f>E373</f>
        <v>10</v>
      </c>
      <c r="BW373" s="71" t="str">
        <f>I373</f>
        <v>-</v>
      </c>
      <c r="BX373" s="72">
        <f>M373</f>
        <v>49</v>
      </c>
      <c r="BY373" s="71">
        <f>Q373</f>
        <v>82</v>
      </c>
      <c r="BZ373" s="72">
        <f>U373</f>
        <v>86</v>
      </c>
      <c r="CA373" s="71">
        <f>Y373</f>
        <v>122</v>
      </c>
      <c r="CB373" s="72">
        <f>AC373</f>
        <v>130</v>
      </c>
      <c r="CC373" s="71">
        <f>AG373</f>
        <v>173</v>
      </c>
      <c r="CD373" s="72">
        <f>AK373</f>
        <v>181</v>
      </c>
      <c r="CE373" s="71">
        <f>AO373</f>
        <v>221</v>
      </c>
      <c r="CF373" s="72">
        <f>AS373</f>
        <v>264</v>
      </c>
      <c r="CG373" s="71">
        <f>AW373</f>
        <v>300</v>
      </c>
      <c r="CH373" s="70">
        <f>G373</f>
        <v>44</v>
      </c>
      <c r="CI373" s="71" t="str">
        <f>K373</f>
        <v>-</v>
      </c>
      <c r="CJ373" s="72">
        <f>O373</f>
        <v>80</v>
      </c>
      <c r="CK373" s="72">
        <f>S373</f>
        <v>85</v>
      </c>
      <c r="CL373" s="72">
        <f>W373</f>
        <v>121</v>
      </c>
      <c r="CM373" s="72">
        <f>AA373</f>
        <v>129</v>
      </c>
      <c r="CN373" s="72">
        <f>AE373</f>
        <v>155</v>
      </c>
      <c r="CO373" s="72">
        <f>AI373</f>
        <v>175</v>
      </c>
      <c r="CP373" s="72">
        <f>AM373</f>
        <v>216</v>
      </c>
      <c r="CQ373" s="72">
        <f>AQ373</f>
        <v>261</v>
      </c>
      <c r="CR373" s="72">
        <f>AU373</f>
        <v>299</v>
      </c>
      <c r="CS373" s="72">
        <f>AY373</f>
        <v>313</v>
      </c>
      <c r="CT373" s="23" t="e">
        <f>M373-K373</f>
        <v>#VALUE!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</row>
    <row r="374" spans="1:1029" x14ac:dyDescent="0.2">
      <c r="A374" s="3" t="str">
        <f>CONCATENATE(B374,"_",C374)</f>
        <v>ptafr_human_5ZKP</v>
      </c>
      <c r="B374" s="3" t="s">
        <v>371</v>
      </c>
      <c r="C374" s="3" t="s">
        <v>1505</v>
      </c>
      <c r="D374" s="3" t="str">
        <f>IFERROR(MID(VLOOKUP($B374,Seqs!$A:$B,2,0),E374,1),"")</f>
        <v>S</v>
      </c>
      <c r="E374" s="3">
        <v>11</v>
      </c>
      <c r="F374" s="3" t="str">
        <f>IFERROR(MID(VLOOKUP($B374,Seqs!$A:$B,2,0),G374,1),"")</f>
        <v>Y</v>
      </c>
      <c r="G374" s="3">
        <v>44</v>
      </c>
      <c r="H374" s="3" t="str">
        <f>IFERROR(MID(VLOOKUP($B374,Seqs!$A:$B,2,0),I374,1),"")</f>
        <v/>
      </c>
      <c r="I374" s="23" t="s">
        <v>23</v>
      </c>
      <c r="J374" s="3" t="str">
        <f>IFERROR(MID(VLOOKUP($B374,Seqs!$A:$B,2,0),K374,1),"")</f>
        <v/>
      </c>
      <c r="K374" s="23" t="s">
        <v>23</v>
      </c>
      <c r="L374" s="3" t="str">
        <f>IFERROR(MID(VLOOKUP($B374,Seqs!$A:$B,2,0),M374,1),"")</f>
        <v>F</v>
      </c>
      <c r="M374" s="3">
        <v>49</v>
      </c>
      <c r="N374" s="3" t="str">
        <f>IFERROR(MID(VLOOKUP($B374,Seqs!$A:$B,2,0),O374,1),"")</f>
        <v>Q</v>
      </c>
      <c r="O374" s="3">
        <v>80</v>
      </c>
      <c r="P374" s="3" t="str">
        <f>IFERROR(MID(VLOOKUP($B374,Seqs!$A:$B,2,0),Q374,1),"")</f>
        <v>N</v>
      </c>
      <c r="Q374" s="3">
        <v>82</v>
      </c>
      <c r="R374" s="3" t="str">
        <f>IFERROR(MID(VLOOKUP($B374,Seqs!$A:$B,2,0),S374,1),"")</f>
        <v>L</v>
      </c>
      <c r="S374" s="3">
        <v>85</v>
      </c>
      <c r="T374" s="3" t="str">
        <f>IFERROR(MID(VLOOKUP($B374,Seqs!$A:$B,2,0),U374,1),"")</f>
        <v>P</v>
      </c>
      <c r="U374" s="3">
        <v>86</v>
      </c>
      <c r="V374" s="3" t="str">
        <f>IFERROR(MID(VLOOKUP($B374,Seqs!$A:$B,2,0),W374,1),"")</f>
        <v>T</v>
      </c>
      <c r="W374" s="3">
        <v>120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I</v>
      </c>
      <c r="AC374" s="3">
        <v>141</v>
      </c>
      <c r="AD374" s="3" t="str">
        <f>IFERROR(MID(VLOOKUP($B374,Seqs!$A:$B,2,0),AE374,1),"")</f>
        <v>L</v>
      </c>
      <c r="AE374" s="3">
        <v>155</v>
      </c>
      <c r="AF374" s="3" t="str">
        <f>IFERROR(MID(VLOOKUP($B374,Seqs!$A:$B,2,0),AG374,1),"")</f>
        <v>C</v>
      </c>
      <c r="AG374" s="3">
        <v>173</v>
      </c>
      <c r="AH374" s="3" t="str">
        <f>IFERROR(MID(VLOOKUP($B374,Seqs!$A:$B,2,0),AI374,1),"")</f>
        <v>E</v>
      </c>
      <c r="AI374" s="3">
        <v>175</v>
      </c>
      <c r="AJ374" s="3" t="str">
        <f>IFERROR(MID(VLOOKUP($B374,Seqs!$A:$B,2,0),AK374,1),"")</f>
        <v>P</v>
      </c>
      <c r="AK374" s="3">
        <v>183</v>
      </c>
      <c r="AL374" s="3" t="str">
        <f>IFERROR(MID(VLOOKUP($B374,Seqs!$A:$B,2,0),AM374,1),"")</f>
        <v>L</v>
      </c>
      <c r="AM374" s="3">
        <v>214</v>
      </c>
      <c r="AN374" s="3" t="str">
        <f>IFERROR(MID(VLOOKUP($B374,Seqs!$A:$B,2,0),AO374,1),"")</f>
        <v>A</v>
      </c>
      <c r="AO374" s="3">
        <v>224</v>
      </c>
      <c r="AP374" s="3" t="str">
        <f>IFERROR(MID(VLOOKUP($B374,Seqs!$A:$B,2,0),AQ374,1),"")</f>
        <v>G</v>
      </c>
      <c r="AQ374" s="3">
        <v>261</v>
      </c>
      <c r="AR374" s="3" t="str">
        <f>IFERROR(MID(VLOOKUP($B374,Seqs!$A:$B,2,0),AS374,1),"")</f>
        <v>D</v>
      </c>
      <c r="AS374" s="3">
        <v>264</v>
      </c>
      <c r="AT374" s="3" t="str">
        <f>IFERROR(MID(VLOOKUP($B374,Seqs!$A:$B,2,0),AU374,1),"")</f>
        <v>K</v>
      </c>
      <c r="AU374" s="3">
        <v>299</v>
      </c>
      <c r="AV374" s="3" t="str">
        <f>IFERROR(MID(VLOOKUP($B374,Seqs!$A:$B,2,0),AW374,1),"")</f>
        <v>F</v>
      </c>
      <c r="AW374" s="3">
        <v>300</v>
      </c>
      <c r="AX374" s="3" t="str">
        <f>IFERROR(MID(VLOOKUP($B374,Seqs!$A:$B,2,0),AY374,1),"")</f>
        <v>S</v>
      </c>
      <c r="AY374" s="3">
        <v>313</v>
      </c>
      <c r="AZ374" s="77" t="str">
        <f>VLOOKUP(B374,Classification!A:D,2,0)</f>
        <v>A</v>
      </c>
      <c r="BA374" s="94" t="str">
        <f>VLOOKUP(B374,Classification!A:D,4,0)</f>
        <v>Platelet-activatingfactor</v>
      </c>
      <c r="BB374" s="27" t="b">
        <f>AND(E374&lt;G374,OR(G374&lt;I374,I374="-"),OR(I374&lt;K374,I374="-"),OR(K374&lt;M374,K374="-"),M374&lt;O374,OR(O374&lt;Q374,Q374="-"),OR(Q374&lt;S374,Q374="-"),OR(S374&lt;U374,S374="-"),U374&lt;W374,OR(W374&lt;Y374,Y374="-"),OR(Y374&lt;AA374,Y374="-"),OR(AA374&lt;AC374,AA374="-"),AC374&lt;AE374,OR(AE374&lt;AG374,AG374="-"),OR(AG374&lt;AI374,AG374="-"),OR(AI374&lt;AK374,AI374="-"),AK374&lt;AM374,AM374&lt;AO374,AO374&lt;AQ374,AQ374&lt;AS374,AS374&lt;AU374,OR(AU374&lt;AW374,AW374="-"),OR(AW374&lt;AY374,AW374="-"))</f>
        <v>1</v>
      </c>
      <c r="BC374" s="23">
        <f>_xlfn.AGGREGATE(9,6,CH374:CS374)-_xlfn.AGGREGATE(9,6,BV374:CG374)+12</f>
        <v>245</v>
      </c>
      <c r="BD374" s="2" t="s">
        <v>1375</v>
      </c>
      <c r="BE374" s="3" t="s">
        <v>1291</v>
      </c>
      <c r="BF374" s="118">
        <v>2.81</v>
      </c>
      <c r="BG374" s="49" t="s">
        <v>1</v>
      </c>
      <c r="BH374" s="49" t="s">
        <v>1</v>
      </c>
      <c r="BI374" s="1"/>
      <c r="BJ374" s="70" t="s">
        <v>1287</v>
      </c>
      <c r="BK374" s="57" t="s">
        <v>1287</v>
      </c>
      <c r="BL374" s="57" t="s">
        <v>1287</v>
      </c>
      <c r="BM374" s="57" t="s">
        <v>1287</v>
      </c>
      <c r="BN374" s="57" t="s">
        <v>1287</v>
      </c>
      <c r="BO374" s="57" t="s">
        <v>1287</v>
      </c>
      <c r="BP374" s="57" t="s">
        <v>1287</v>
      </c>
      <c r="BQ374" s="57" t="s">
        <v>1287</v>
      </c>
      <c r="BR374" s="57" t="s">
        <v>1287</v>
      </c>
      <c r="BS374" s="57" t="s">
        <v>1287</v>
      </c>
      <c r="BT374" s="57" t="s">
        <v>1287</v>
      </c>
      <c r="BU374" s="57" t="s">
        <v>1287</v>
      </c>
      <c r="BV374" s="70">
        <f>E374</f>
        <v>11</v>
      </c>
      <c r="BW374" s="71" t="str">
        <f>I374</f>
        <v>-</v>
      </c>
      <c r="BX374" s="72">
        <f>M374</f>
        <v>49</v>
      </c>
      <c r="BY374" s="71">
        <f>Q374</f>
        <v>82</v>
      </c>
      <c r="BZ374" s="72">
        <f>U374</f>
        <v>86</v>
      </c>
      <c r="CA374" s="71" t="str">
        <f>Y374</f>
        <v>-</v>
      </c>
      <c r="CB374" s="72">
        <f>AC374</f>
        <v>141</v>
      </c>
      <c r="CC374" s="71">
        <f>AG374</f>
        <v>173</v>
      </c>
      <c r="CD374" s="72">
        <f>AK374</f>
        <v>183</v>
      </c>
      <c r="CE374" s="71">
        <f>AO374</f>
        <v>224</v>
      </c>
      <c r="CF374" s="72">
        <f>AS374</f>
        <v>264</v>
      </c>
      <c r="CG374" s="71">
        <f>AW374</f>
        <v>300</v>
      </c>
      <c r="CH374" s="70">
        <f>G374</f>
        <v>44</v>
      </c>
      <c r="CI374" s="71" t="str">
        <f>K374</f>
        <v>-</v>
      </c>
      <c r="CJ374" s="72">
        <f>O374</f>
        <v>80</v>
      </c>
      <c r="CK374" s="72">
        <f>S374</f>
        <v>85</v>
      </c>
      <c r="CL374" s="72">
        <f>W374</f>
        <v>120</v>
      </c>
      <c r="CM374" s="72" t="str">
        <f>AA374</f>
        <v>-</v>
      </c>
      <c r="CN374" s="72">
        <f>AE374</f>
        <v>155</v>
      </c>
      <c r="CO374" s="72">
        <f>AI374</f>
        <v>175</v>
      </c>
      <c r="CP374" s="72">
        <f>AM374</f>
        <v>214</v>
      </c>
      <c r="CQ374" s="72">
        <f>AQ374</f>
        <v>261</v>
      </c>
      <c r="CR374" s="72">
        <f>AU374</f>
        <v>299</v>
      </c>
      <c r="CS374" s="72">
        <f>AY374</f>
        <v>313</v>
      </c>
      <c r="CT374" s="23" t="e">
        <f>M374-K374</f>
        <v>#VALUE!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</row>
    <row r="375" spans="1:1029" x14ac:dyDescent="0.2">
      <c r="A375" s="3" t="str">
        <f>CONCATENATE(B375,"_",C375)</f>
        <v>ptafr_human_5ZKQ</v>
      </c>
      <c r="B375" s="3" t="s">
        <v>371</v>
      </c>
      <c r="C375" s="3" t="s">
        <v>1506</v>
      </c>
      <c r="D375" s="3" t="str">
        <f>IFERROR(MID(VLOOKUP($B375,Seqs!$A:$B,2,0),E375,1),"")</f>
        <v>D</v>
      </c>
      <c r="E375" s="3">
        <v>10</v>
      </c>
      <c r="F375" s="3" t="str">
        <f>IFERROR(MID(VLOOKUP($B375,Seqs!$A:$B,2,0),G375,1),"")</f>
        <v>L</v>
      </c>
      <c r="G375" s="3">
        <v>43</v>
      </c>
      <c r="H375" s="3" t="str">
        <f>IFERROR(MID(VLOOKUP($B375,Seqs!$A:$B,2,0),I375,1),"")</f>
        <v/>
      </c>
      <c r="I375" s="23" t="s">
        <v>23</v>
      </c>
      <c r="J375" s="3" t="str">
        <f>IFERROR(MID(VLOOKUP($B375,Seqs!$A:$B,2,0),K375,1),"")</f>
        <v/>
      </c>
      <c r="K375" s="23" t="s">
        <v>23</v>
      </c>
      <c r="L375" s="3" t="str">
        <f>IFERROR(MID(VLOOKUP($B375,Seqs!$A:$B,2,0),M375,1),"")</f>
        <v>F</v>
      </c>
      <c r="M375" s="3">
        <v>49</v>
      </c>
      <c r="N375" s="3" t="str">
        <f>IFERROR(MID(VLOOKUP($B375,Seqs!$A:$B,2,0),O375,1),"")</f>
        <v>Q</v>
      </c>
      <c r="O375" s="3">
        <v>80</v>
      </c>
      <c r="P375" s="3" t="str">
        <f>IFERROR(MID(VLOOKUP($B375,Seqs!$A:$B,2,0),Q375,1),"")</f>
        <v>N</v>
      </c>
      <c r="Q375" s="3">
        <v>82</v>
      </c>
      <c r="R375" s="3" t="str">
        <f>IFERROR(MID(VLOOKUP($B375,Seqs!$A:$B,2,0),S375,1),"")</f>
        <v>L</v>
      </c>
      <c r="S375" s="3">
        <v>85</v>
      </c>
      <c r="T375" s="3" t="str">
        <f>IFERROR(MID(VLOOKUP($B375,Seqs!$A:$B,2,0),U375,1),"")</f>
        <v>P</v>
      </c>
      <c r="U375" s="3">
        <v>86</v>
      </c>
      <c r="V375" s="3" t="str">
        <f>IFERROR(MID(VLOOKUP($B375,Seqs!$A:$B,2,0),W375,1),"")</f>
        <v>R</v>
      </c>
      <c r="W375" s="3">
        <v>121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T</v>
      </c>
      <c r="AC375" s="3">
        <v>130</v>
      </c>
      <c r="AD375" s="3" t="str">
        <f>IFERROR(MID(VLOOKUP($B375,Seqs!$A:$B,2,0),AE375,1),"")</f>
        <v>I</v>
      </c>
      <c r="AE375" s="3">
        <v>154</v>
      </c>
      <c r="AF375" s="3" t="str">
        <f>IFERROR(MID(VLOOKUP($B375,Seqs!$A:$B,2,0),AG375,1),"")</f>
        <v>C</v>
      </c>
      <c r="AG375" s="3">
        <v>173</v>
      </c>
      <c r="AH375" s="3" t="str">
        <f>IFERROR(MID(VLOOKUP($B375,Seqs!$A:$B,2,0),AI375,1),"")</f>
        <v>E</v>
      </c>
      <c r="AI375" s="3">
        <v>175</v>
      </c>
      <c r="AJ375" s="3" t="str">
        <f>IFERROR(MID(VLOOKUP($B375,Seqs!$A:$B,2,0),AK375,1),"")</f>
        <v>S</v>
      </c>
      <c r="AK375" s="3">
        <v>181</v>
      </c>
      <c r="AL375" s="3" t="str">
        <f>IFERROR(MID(VLOOKUP($B375,Seqs!$A:$B,2,0),AM375,1),"")</f>
        <v>M</v>
      </c>
      <c r="AM375" s="3">
        <v>215</v>
      </c>
      <c r="AN375" s="3" t="str">
        <f>IFERROR(MID(VLOOKUP($B375,Seqs!$A:$B,2,0),AO375,1),"")</f>
        <v>K</v>
      </c>
      <c r="AO375" s="3">
        <v>227</v>
      </c>
      <c r="AP375" s="3" t="str">
        <f>IFERROR(MID(VLOOKUP($B375,Seqs!$A:$B,2,0),AQ375,1),"")</f>
        <v>G</v>
      </c>
      <c r="AQ375" s="3">
        <v>261</v>
      </c>
      <c r="AR375" s="3" t="str">
        <f>IFERROR(MID(VLOOKUP($B375,Seqs!$A:$B,2,0),AS375,1),"")</f>
        <v>D</v>
      </c>
      <c r="AS375" s="3">
        <v>264</v>
      </c>
      <c r="AT375" s="3" t="str">
        <f>IFERROR(MID(VLOOKUP($B375,Seqs!$A:$B,2,0),AU375,1),"")</f>
        <v>T</v>
      </c>
      <c r="AU375" s="3">
        <v>297</v>
      </c>
      <c r="AV375" s="3" t="str">
        <f>IFERROR(MID(VLOOKUP($B375,Seqs!$A:$B,2,0),AW375,1),"")</f>
        <v/>
      </c>
      <c r="AW375" s="3" t="s">
        <v>23</v>
      </c>
      <c r="AX375" s="3" t="str">
        <f>IFERROR(MID(VLOOKUP($B375,Seqs!$A:$B,2,0),AY375,1),"")</f>
        <v/>
      </c>
      <c r="AY375" s="3" t="s">
        <v>23</v>
      </c>
      <c r="AZ375" s="77" t="str">
        <f>VLOOKUP(B375,Classification!A:D,2,0)</f>
        <v>A</v>
      </c>
      <c r="BA375" s="94" t="str">
        <f>VLOOKUP(B375,Classification!A:D,4,0)</f>
        <v>Platelet-activatingfactor</v>
      </c>
      <c r="BB375" s="27" t="b">
        <f>AND(E375&lt;G375,OR(G375&lt;I375,I375="-"),OR(I375&lt;K375,I375="-"),OR(K375&lt;M375,K375="-"),M375&lt;O375,OR(O375&lt;Q375,Q375="-"),OR(Q375&lt;S375,Q375="-"),OR(S375&lt;U375,S375="-"),U375&lt;W375,OR(W375&lt;Y375,Y375="-"),OR(Y375&lt;AA375,Y375="-"),OR(AA375&lt;AC375,AA375="-"),AC375&lt;AE375,OR(AE375&lt;AG375,AG375="-"),OR(AG375&lt;AI375,AG375="-"),OR(AI375&lt;AK375,AI375="-"),AK375&lt;AM375,AM375&lt;AO375,AO375&lt;AQ375,AQ375&lt;AS375,AS375&lt;AU375,OR(AU375&lt;AW375,AW375="-"),OR(AW375&lt;AY375,AW375="-"))</f>
        <v>1</v>
      </c>
      <c r="BC375" s="23">
        <f>_xlfn.AGGREGATE(9,6,CH375:CS375)-_xlfn.AGGREGATE(9,6,BV375:CG375)+12</f>
        <v>241</v>
      </c>
      <c r="BD375" s="2" t="s">
        <v>1429</v>
      </c>
      <c r="BE375" s="3" t="s">
        <v>1428</v>
      </c>
      <c r="BF375" s="118">
        <v>2.9</v>
      </c>
      <c r="BG375" s="49" t="s">
        <v>1281</v>
      </c>
      <c r="BH375" s="49" t="s">
        <v>1281</v>
      </c>
      <c r="BI375" s="1"/>
      <c r="BJ375" s="70" t="s">
        <v>1287</v>
      </c>
      <c r="BK375" s="57" t="s">
        <v>1287</v>
      </c>
      <c r="BL375" s="57" t="s">
        <v>1287</v>
      </c>
      <c r="BM375" s="57" t="s">
        <v>1287</v>
      </c>
      <c r="BN375" s="57" t="s">
        <v>1287</v>
      </c>
      <c r="BO375" s="57" t="s">
        <v>1287</v>
      </c>
      <c r="BP375" s="57" t="s">
        <v>1287</v>
      </c>
      <c r="BQ375" s="57" t="s">
        <v>1287</v>
      </c>
      <c r="BR375" s="57" t="s">
        <v>1287</v>
      </c>
      <c r="BS375" s="57" t="s">
        <v>1287</v>
      </c>
      <c r="BT375" s="57" t="s">
        <v>1287</v>
      </c>
      <c r="BU375" s="57" t="s">
        <v>1287</v>
      </c>
      <c r="BV375" s="70">
        <f>E375</f>
        <v>10</v>
      </c>
      <c r="BW375" s="71" t="str">
        <f>I375</f>
        <v>-</v>
      </c>
      <c r="BX375" s="72">
        <f>M375</f>
        <v>49</v>
      </c>
      <c r="BY375" s="71">
        <f>Q375</f>
        <v>82</v>
      </c>
      <c r="BZ375" s="72">
        <f>U375</f>
        <v>86</v>
      </c>
      <c r="CA375" s="71" t="str">
        <f>Y375</f>
        <v>-</v>
      </c>
      <c r="CB375" s="72">
        <f>AC375</f>
        <v>130</v>
      </c>
      <c r="CC375" s="71">
        <f>AG375</f>
        <v>173</v>
      </c>
      <c r="CD375" s="72">
        <f>AK375</f>
        <v>181</v>
      </c>
      <c r="CE375" s="71">
        <f>AO375</f>
        <v>227</v>
      </c>
      <c r="CF375" s="72">
        <f>AS375</f>
        <v>264</v>
      </c>
      <c r="CG375" s="71" t="str">
        <f>AW375</f>
        <v>-</v>
      </c>
      <c r="CH375" s="70">
        <f>G375</f>
        <v>43</v>
      </c>
      <c r="CI375" s="71" t="str">
        <f>K375</f>
        <v>-</v>
      </c>
      <c r="CJ375" s="72">
        <f>O375</f>
        <v>80</v>
      </c>
      <c r="CK375" s="72">
        <f>S375</f>
        <v>85</v>
      </c>
      <c r="CL375" s="72">
        <f>W375</f>
        <v>121</v>
      </c>
      <c r="CM375" s="72" t="str">
        <f>AA375</f>
        <v>-</v>
      </c>
      <c r="CN375" s="72">
        <f>AE375</f>
        <v>154</v>
      </c>
      <c r="CO375" s="72">
        <f>AI375</f>
        <v>175</v>
      </c>
      <c r="CP375" s="72">
        <f>AM375</f>
        <v>215</v>
      </c>
      <c r="CQ375" s="72">
        <f>AQ375</f>
        <v>261</v>
      </c>
      <c r="CR375" s="72">
        <f>AU375</f>
        <v>297</v>
      </c>
      <c r="CS375" s="72" t="str">
        <f>AY375</f>
        <v>-</v>
      </c>
      <c r="CT375" s="23" t="e">
        <f>M375-K375</f>
        <v>#VALUE!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</row>
    <row r="376" spans="1:1029" x14ac:dyDescent="0.2">
      <c r="A376" s="3" t="str">
        <f t="shared" si="3047"/>
        <v>q08bg4_danre__wt</v>
      </c>
      <c r="B376" s="3" t="s">
        <v>1440</v>
      </c>
      <c r="C376" s="3" t="s">
        <v>100</v>
      </c>
      <c r="D376" s="3" t="str">
        <f>IFERROR(MID(VLOOKUP($B376,Seqs!$A:$B,2,0),E376,1),"")</f>
        <v>K</v>
      </c>
      <c r="E376" s="3">
        <v>26</v>
      </c>
      <c r="F376" s="3" t="str">
        <f>IFERROR(MID(VLOOKUP($B376,Seqs!$A:$B,2,0),G376,1),"")</f>
        <v>S</v>
      </c>
      <c r="G376" s="3">
        <v>55</v>
      </c>
      <c r="H376" s="3" t="str">
        <f>IFERROR(MID(VLOOKUP($B376,Seqs!$A:$B,2,0),I376,1),"")</f>
        <v>L</v>
      </c>
      <c r="I376" s="23">
        <v>56</v>
      </c>
      <c r="J376" s="3" t="str">
        <f>IFERROR(MID(VLOOKUP($B376,Seqs!$A:$B,2,0),K376,1),"")</f>
        <v>R</v>
      </c>
      <c r="K376" s="23">
        <v>59</v>
      </c>
      <c r="L376" s="3" t="str">
        <f>IFERROR(MID(VLOOKUP($B376,Seqs!$A:$B,2,0),M376,1),"")</f>
        <v>N</v>
      </c>
      <c r="M376" s="3">
        <v>60</v>
      </c>
      <c r="N376" s="3" t="str">
        <f>IFERROR(MID(VLOOKUP($B376,Seqs!$A:$B,2,0),O376,1),"")</f>
        <v>Q</v>
      </c>
      <c r="O376" s="3">
        <v>89</v>
      </c>
      <c r="P376" s="3" t="str">
        <f>IFERROR(MID(VLOOKUP($B376,Seqs!$A:$B,2,0),Q376,1),"")</f>
        <v>N</v>
      </c>
      <c r="Q376" s="3">
        <v>91</v>
      </c>
      <c r="R376" s="3" t="str">
        <f>IFERROR(MID(VLOOKUP($B376,Seqs!$A:$B,2,0),S376,1),"")</f>
        <v>F</v>
      </c>
      <c r="S376" s="3">
        <v>94</v>
      </c>
      <c r="T376" s="3" t="str">
        <f>IFERROR(MID(VLOOKUP($B376,Seqs!$A:$B,2,0),U376,1),"")</f>
        <v>G</v>
      </c>
      <c r="U376" s="3">
        <v>95</v>
      </c>
      <c r="V376" s="3" t="str">
        <f>IFERROR(MID(VLOOKUP($B376,Seqs!$A:$B,2,0),W376,1),"")</f>
        <v>Y</v>
      </c>
      <c r="W376" s="3">
        <v>130</v>
      </c>
      <c r="X376" s="3" t="str">
        <f>IFERROR(MID(VLOOKUP($B376,Seqs!$A:$B,2,0),Y376,1),"")</f>
        <v>P</v>
      </c>
      <c r="Y376" s="3">
        <v>131</v>
      </c>
      <c r="Z376" s="3" t="str">
        <f>IFERROR(MID(VLOOKUP($B376,Seqs!$A:$B,2,0),AA376,1),"")</f>
        <v>R</v>
      </c>
      <c r="AA376" s="3">
        <v>138</v>
      </c>
      <c r="AB376" s="3" t="str">
        <f>IFERROR(MID(VLOOKUP($B376,Seqs!$A:$B,2,0),AC376,1),"")</f>
        <v>T</v>
      </c>
      <c r="AC376" s="3">
        <v>139</v>
      </c>
      <c r="AD376" s="3" t="str">
        <f>IFERROR(MID(VLOOKUP($B376,Seqs!$A:$B,2,0),AE376,1),"")</f>
        <v>N</v>
      </c>
      <c r="AE376" s="3">
        <v>166</v>
      </c>
      <c r="AF376" s="3" t="str">
        <f>IFERROR(MID(VLOOKUP($B376,Seqs!$A:$B,2,0),AG376,1),"")</f>
        <v>C</v>
      </c>
      <c r="AG376" s="3">
        <v>178</v>
      </c>
      <c r="AH376" s="3" t="str">
        <f>IFERROR(MID(VLOOKUP($B376,Seqs!$A:$B,2,0),AI376,1),"")</f>
        <v>E</v>
      </c>
      <c r="AI376" s="3">
        <v>180</v>
      </c>
      <c r="AJ376" s="3" t="str">
        <f>IFERROR(MID(VLOOKUP($B376,Seqs!$A:$B,2,0),AK376,1),"")</f>
        <v>W</v>
      </c>
      <c r="AK376" s="3">
        <v>187</v>
      </c>
      <c r="AL376" s="3" t="str">
        <f>IFERROR(MID(VLOOKUP($B376,Seqs!$A:$B,2,0),AM376,1),"")</f>
        <v>P</v>
      </c>
      <c r="AM376" s="3">
        <v>224</v>
      </c>
      <c r="AN376" s="3" t="str">
        <f>IFERROR(MID(VLOOKUP($B376,Seqs!$A:$B,2,0),AO376,1),"")</f>
        <v>R</v>
      </c>
      <c r="AO376" s="3">
        <v>229</v>
      </c>
      <c r="AP376" s="3" t="str">
        <f>IFERROR(MID(VLOOKUP($B376,Seqs!$A:$B,2,0),AQ376,1),"")</f>
        <v>N</v>
      </c>
      <c r="AQ376" s="3">
        <v>269</v>
      </c>
      <c r="AR376" s="3" t="str">
        <f>IFERROR(MID(VLOOKUP($B376,Seqs!$A:$B,2,0),AS376,1),"")</f>
        <v>G</v>
      </c>
      <c r="AS376" s="3">
        <v>273</v>
      </c>
      <c r="AT376" s="3" t="str">
        <f>IFERROR(MID(VLOOKUP($B376,Seqs!$A:$B,2,0),AU376,1),"")</f>
        <v>T</v>
      </c>
      <c r="AU376" s="3">
        <v>305</v>
      </c>
      <c r="AV376" s="3" t="str">
        <f>IFERROR(MID(VLOOKUP($B376,Seqs!$A:$B,2,0),AW376,1),"")</f>
        <v>S</v>
      </c>
      <c r="AW376" s="3">
        <v>306</v>
      </c>
      <c r="AX376" s="3" t="str">
        <f>IFERROR(MID(VLOOKUP($B376,Seqs!$A:$B,2,0),AY376,1),"")</f>
        <v>G</v>
      </c>
      <c r="AY376" s="3">
        <v>320</v>
      </c>
      <c r="AZ376" s="77" t="str">
        <f>VLOOKUP(B376,Classification!A:D,2,0)</f>
        <v>A</v>
      </c>
      <c r="BA376" s="94" t="str">
        <f>VLOOKUP(B376,Classification!A:D,4,0)</f>
        <v>Lysophospholipid(LPA)</v>
      </c>
      <c r="BB376" s="27" t="b">
        <f t="shared" si="3048"/>
        <v>1</v>
      </c>
      <c r="BC376" s="23">
        <f t="shared" si="3049"/>
        <v>270</v>
      </c>
      <c r="BD376" s="2" t="s">
        <v>23</v>
      </c>
      <c r="BE376" s="3" t="s">
        <v>23</v>
      </c>
      <c r="BF376" s="118" t="s">
        <v>23</v>
      </c>
      <c r="BG376" s="49" t="s">
        <v>1</v>
      </c>
      <c r="BH376" s="49" t="s">
        <v>1377</v>
      </c>
      <c r="BI376" s="1"/>
      <c r="BJ376" s="70" t="s">
        <v>1287</v>
      </c>
      <c r="BK376" s="57" t="s">
        <v>1287</v>
      </c>
      <c r="BL376" s="57" t="s">
        <v>1287</v>
      </c>
      <c r="BM376" s="57" t="s">
        <v>1287</v>
      </c>
      <c r="BN376" s="57" t="s">
        <v>1287</v>
      </c>
      <c r="BO376" s="57" t="s">
        <v>1287</v>
      </c>
      <c r="BP376" s="57" t="s">
        <v>1287</v>
      </c>
      <c r="BQ376" s="57" t="s">
        <v>1287</v>
      </c>
      <c r="BR376" s="57" t="s">
        <v>1287</v>
      </c>
      <c r="BS376" s="57" t="s">
        <v>1287</v>
      </c>
      <c r="BT376" s="57" t="s">
        <v>1287</v>
      </c>
      <c r="BU376" s="57" t="s">
        <v>1287</v>
      </c>
      <c r="BV376" s="70">
        <f t="shared" si="3050"/>
        <v>26</v>
      </c>
      <c r="BW376" s="71">
        <f t="shared" si="3051"/>
        <v>56</v>
      </c>
      <c r="BX376" s="72">
        <f t="shared" si="3052"/>
        <v>60</v>
      </c>
      <c r="BY376" s="71">
        <f t="shared" si="3053"/>
        <v>91</v>
      </c>
      <c r="BZ376" s="72">
        <f t="shared" si="3054"/>
        <v>95</v>
      </c>
      <c r="CA376" s="71">
        <f t="shared" si="3055"/>
        <v>131</v>
      </c>
      <c r="CB376" s="72">
        <f t="shared" si="3056"/>
        <v>139</v>
      </c>
      <c r="CC376" s="71">
        <f t="shared" si="3057"/>
        <v>178</v>
      </c>
      <c r="CD376" s="72">
        <f t="shared" si="3058"/>
        <v>187</v>
      </c>
      <c r="CE376" s="71">
        <f t="shared" si="3059"/>
        <v>229</v>
      </c>
      <c r="CF376" s="72">
        <f t="shared" si="3060"/>
        <v>273</v>
      </c>
      <c r="CG376" s="71">
        <f t="shared" si="3061"/>
        <v>306</v>
      </c>
      <c r="CH376" s="70">
        <f t="shared" si="3062"/>
        <v>55</v>
      </c>
      <c r="CI376" s="71">
        <f t="shared" si="3063"/>
        <v>59</v>
      </c>
      <c r="CJ376" s="72">
        <f t="shared" si="3064"/>
        <v>89</v>
      </c>
      <c r="CK376" s="72">
        <f t="shared" si="3065"/>
        <v>94</v>
      </c>
      <c r="CL376" s="72">
        <f t="shared" si="3066"/>
        <v>130</v>
      </c>
      <c r="CM376" s="72">
        <f t="shared" si="3067"/>
        <v>138</v>
      </c>
      <c r="CN376" s="72">
        <f t="shared" si="3068"/>
        <v>166</v>
      </c>
      <c r="CO376" s="72">
        <f t="shared" si="3069"/>
        <v>180</v>
      </c>
      <c r="CP376" s="72">
        <f t="shared" si="3070"/>
        <v>224</v>
      </c>
      <c r="CQ376" s="72">
        <f t="shared" si="3071"/>
        <v>269</v>
      </c>
      <c r="CR376" s="72">
        <f t="shared" si="3072"/>
        <v>305</v>
      </c>
      <c r="CS376" s="72">
        <f t="shared" si="3073"/>
        <v>320</v>
      </c>
      <c r="CT376" s="23">
        <f t="shared" si="3074"/>
        <v>1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</row>
    <row r="377" spans="1:1029" x14ac:dyDescent="0.2">
      <c r="A377" s="3" t="str">
        <f t="shared" si="3047"/>
        <v>q08bg4_danre_5XSZ</v>
      </c>
      <c r="B377" s="3" t="s">
        <v>1440</v>
      </c>
      <c r="C377" s="3" t="s">
        <v>1442</v>
      </c>
      <c r="D377" s="3" t="str">
        <f>IFERROR(MID(VLOOKUP($B377,Seqs!$A:$B,2,0),E377,1),"")</f>
        <v>K</v>
      </c>
      <c r="E377" s="3">
        <v>26</v>
      </c>
      <c r="F377" s="3" t="str">
        <f>IFERROR(MID(VLOOKUP($B377,Seqs!$A:$B,2,0),G377,1),"")</f>
        <v>S</v>
      </c>
      <c r="G377" s="3">
        <v>55</v>
      </c>
      <c r="H377" s="3" t="str">
        <f>IFERROR(MID(VLOOKUP($B377,Seqs!$A:$B,2,0),I377,1),"")</f>
        <v/>
      </c>
      <c r="I377" s="23" t="s">
        <v>23</v>
      </c>
      <c r="J377" s="3" t="str">
        <f>IFERROR(MID(VLOOKUP($B377,Seqs!$A:$B,2,0),K377,1),"")</f>
        <v/>
      </c>
      <c r="K377" s="23" t="s">
        <v>23</v>
      </c>
      <c r="L377" s="3" t="str">
        <f>IFERROR(MID(VLOOKUP($B377,Seqs!$A:$B,2,0),M377,1),"")</f>
        <v>N</v>
      </c>
      <c r="M377" s="3">
        <v>60</v>
      </c>
      <c r="N377" s="3" t="str">
        <f>IFERROR(MID(VLOOKUP($B377,Seqs!$A:$B,2,0),O377,1),"")</f>
        <v>Q</v>
      </c>
      <c r="O377" s="3">
        <v>89</v>
      </c>
      <c r="P377" s="3" t="str">
        <f>IFERROR(MID(VLOOKUP($B377,Seqs!$A:$B,2,0),Q377,1),"")</f>
        <v>N</v>
      </c>
      <c r="Q377" s="3">
        <v>91</v>
      </c>
      <c r="R377" s="3" t="str">
        <f>IFERROR(MID(VLOOKUP($B377,Seqs!$A:$B,2,0),S377,1),"")</f>
        <v>F</v>
      </c>
      <c r="S377" s="3">
        <v>94</v>
      </c>
      <c r="T377" s="3" t="str">
        <f>IFERROR(MID(VLOOKUP($B377,Seqs!$A:$B,2,0),U377,1),"")</f>
        <v>G</v>
      </c>
      <c r="U377" s="3">
        <v>95</v>
      </c>
      <c r="V377" s="3" t="str">
        <f>IFERROR(MID(VLOOKUP($B377,Seqs!$A:$B,2,0),W377,1),"")</f>
        <v>Y</v>
      </c>
      <c r="W377" s="3">
        <v>130</v>
      </c>
      <c r="X377" s="3" t="str">
        <f>IFERROR(MID(VLOOKUP($B377,Seqs!$A:$B,2,0),Y377,1),"")</f>
        <v>P</v>
      </c>
      <c r="Y377" s="3">
        <v>131</v>
      </c>
      <c r="Z377" s="3" t="str">
        <f>IFERROR(MID(VLOOKUP($B377,Seqs!$A:$B,2,0),AA377,1),"")</f>
        <v>R</v>
      </c>
      <c r="AA377" s="3">
        <v>138</v>
      </c>
      <c r="AB377" s="3" t="str">
        <f>IFERROR(MID(VLOOKUP($B377,Seqs!$A:$B,2,0),AC377,1),"")</f>
        <v>T</v>
      </c>
      <c r="AC377" s="3">
        <v>139</v>
      </c>
      <c r="AD377" s="3" t="str">
        <f>IFERROR(MID(VLOOKUP($B377,Seqs!$A:$B,2,0),AE377,1),"")</f>
        <v>N</v>
      </c>
      <c r="AE377" s="3">
        <v>166</v>
      </c>
      <c r="AF377" s="3" t="str">
        <f>IFERROR(MID(VLOOKUP($B377,Seqs!$A:$B,2,0),AG377,1),"")</f>
        <v>C</v>
      </c>
      <c r="AG377" s="3">
        <v>178</v>
      </c>
      <c r="AH377" s="3" t="str">
        <f>IFERROR(MID(VLOOKUP($B377,Seqs!$A:$B,2,0),AI377,1),"")</f>
        <v>F</v>
      </c>
      <c r="AI377" s="3">
        <v>179</v>
      </c>
      <c r="AJ377" s="3" t="str">
        <f>IFERROR(MID(VLOOKUP($B377,Seqs!$A:$B,2,0),AK377,1),"")</f>
        <v>W</v>
      </c>
      <c r="AK377" s="3">
        <v>187</v>
      </c>
      <c r="AL377" s="3" t="str">
        <f>IFERROR(MID(VLOOKUP($B377,Seqs!$A:$B,2,0),AM377,1),"")</f>
        <v>R</v>
      </c>
      <c r="AM377" s="3">
        <v>223</v>
      </c>
      <c r="AN377" s="3" t="str">
        <f>IFERROR(MID(VLOOKUP($B377,Seqs!$A:$B,2,0),AO377,1),"")</f>
        <v>N</v>
      </c>
      <c r="AO377" s="3">
        <v>234</v>
      </c>
      <c r="AP377" s="3" t="str">
        <f>IFERROR(MID(VLOOKUP($B377,Seqs!$A:$B,2,0),AQ377,1),"")</f>
        <v>N</v>
      </c>
      <c r="AQ377" s="3">
        <v>269</v>
      </c>
      <c r="AR377" s="3" t="str">
        <f>IFERROR(MID(VLOOKUP($B377,Seqs!$A:$B,2,0),AS377,1),"")</f>
        <v>G</v>
      </c>
      <c r="AS377" s="3">
        <v>273</v>
      </c>
      <c r="AT377" s="3" t="str">
        <f>IFERROR(MID(VLOOKUP($B377,Seqs!$A:$B,2,0),AU377,1),"")</f>
        <v>T</v>
      </c>
      <c r="AU377" s="3">
        <v>308</v>
      </c>
      <c r="AV377" s="3" t="str">
        <f>IFERROR(MID(VLOOKUP($B377,Seqs!$A:$B,2,0),AW377,1),"")</f>
        <v/>
      </c>
      <c r="AW377" s="3" t="s">
        <v>23</v>
      </c>
      <c r="AX377" s="3" t="str">
        <f>IFERROR(MID(VLOOKUP($B377,Seqs!$A:$B,2,0),AY377,1),"")</f>
        <v/>
      </c>
      <c r="AY377" s="3" t="s">
        <v>23</v>
      </c>
      <c r="AZ377" s="77" t="str">
        <f>VLOOKUP(B377,Classification!A:D,2,0)</f>
        <v>A</v>
      </c>
      <c r="BA377" s="94" t="str">
        <f>VLOOKUP(B377,Classification!A:D,4,0)</f>
        <v>Lysophospholipid(LPA)</v>
      </c>
      <c r="BB377" s="27" t="b">
        <f t="shared" si="3048"/>
        <v>1</v>
      </c>
      <c r="BC377" s="23">
        <f t="shared" si="3049"/>
        <v>249</v>
      </c>
      <c r="BD377" s="2" t="s">
        <v>1375</v>
      </c>
      <c r="BE377" s="3" t="s">
        <v>1291</v>
      </c>
      <c r="BF377" s="118">
        <v>3.2</v>
      </c>
      <c r="BG377" s="49" t="s">
        <v>1</v>
      </c>
      <c r="BH377" s="49" t="s">
        <v>1377</v>
      </c>
      <c r="BI377" s="1"/>
      <c r="BJ377" s="70" t="s">
        <v>1287</v>
      </c>
      <c r="BK377" s="57" t="s">
        <v>1287</v>
      </c>
      <c r="BL377" s="57" t="s">
        <v>1287</v>
      </c>
      <c r="BM377" s="57" t="s">
        <v>1287</v>
      </c>
      <c r="BN377" s="57" t="s">
        <v>1287</v>
      </c>
      <c r="BO377" s="57" t="s">
        <v>1287</v>
      </c>
      <c r="BP377" s="57" t="s">
        <v>1287</v>
      </c>
      <c r="BQ377" s="57" t="s">
        <v>1287</v>
      </c>
      <c r="BR377" s="57" t="s">
        <v>1287</v>
      </c>
      <c r="BS377" s="57" t="s">
        <v>1287</v>
      </c>
      <c r="BT377" s="57" t="s">
        <v>1287</v>
      </c>
      <c r="BU377" s="57" t="s">
        <v>1287</v>
      </c>
      <c r="BV377" s="70">
        <f t="shared" si="3050"/>
        <v>26</v>
      </c>
      <c r="BW377" s="71" t="str">
        <f t="shared" si="3051"/>
        <v>-</v>
      </c>
      <c r="BX377" s="72">
        <f t="shared" si="3052"/>
        <v>60</v>
      </c>
      <c r="BY377" s="71">
        <f t="shared" si="3053"/>
        <v>91</v>
      </c>
      <c r="BZ377" s="72">
        <f t="shared" si="3054"/>
        <v>95</v>
      </c>
      <c r="CA377" s="71">
        <f t="shared" si="3055"/>
        <v>131</v>
      </c>
      <c r="CB377" s="72">
        <f t="shared" si="3056"/>
        <v>139</v>
      </c>
      <c r="CC377" s="71">
        <f t="shared" si="3057"/>
        <v>178</v>
      </c>
      <c r="CD377" s="72">
        <f t="shared" si="3058"/>
        <v>187</v>
      </c>
      <c r="CE377" s="71">
        <f t="shared" si="3059"/>
        <v>234</v>
      </c>
      <c r="CF377" s="72">
        <f t="shared" si="3060"/>
        <v>273</v>
      </c>
      <c r="CG377" s="71" t="str">
        <f t="shared" si="3061"/>
        <v>-</v>
      </c>
      <c r="CH377" s="70">
        <f t="shared" si="3062"/>
        <v>55</v>
      </c>
      <c r="CI377" s="71" t="str">
        <f t="shared" si="3063"/>
        <v>-</v>
      </c>
      <c r="CJ377" s="72">
        <f t="shared" si="3064"/>
        <v>89</v>
      </c>
      <c r="CK377" s="72">
        <f t="shared" si="3065"/>
        <v>94</v>
      </c>
      <c r="CL377" s="72">
        <f t="shared" si="3066"/>
        <v>130</v>
      </c>
      <c r="CM377" s="72">
        <f t="shared" si="3067"/>
        <v>138</v>
      </c>
      <c r="CN377" s="72">
        <f t="shared" si="3068"/>
        <v>166</v>
      </c>
      <c r="CO377" s="72">
        <f t="shared" si="3069"/>
        <v>179</v>
      </c>
      <c r="CP377" s="72">
        <f t="shared" si="3070"/>
        <v>223</v>
      </c>
      <c r="CQ377" s="72">
        <f t="shared" si="3071"/>
        <v>269</v>
      </c>
      <c r="CR377" s="72">
        <f t="shared" si="3072"/>
        <v>308</v>
      </c>
      <c r="CS377" s="72" t="str">
        <f t="shared" si="3073"/>
        <v>-</v>
      </c>
      <c r="CT377" s="23" t="e">
        <f t="shared" si="3074"/>
        <v>#VALUE!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</row>
    <row r="378" spans="1:1029" x14ac:dyDescent="0.2">
      <c r="A378" s="3" t="str">
        <f t="shared" si="3047"/>
        <v>q9wtk1_cavpo__wt</v>
      </c>
      <c r="B378" s="3" t="s">
        <v>1451</v>
      </c>
      <c r="C378" s="3" t="s">
        <v>100</v>
      </c>
      <c r="D378" s="3" t="str">
        <f>IFERROR(MID(VLOOKUP($B378,Seqs!$A:$B,2,0),E378,1),"")</f>
        <v>T</v>
      </c>
      <c r="E378" s="3">
        <v>17</v>
      </c>
      <c r="F378" s="3" t="str">
        <f>IFERROR(MID(VLOOKUP($B378,Seqs!$A:$B,2,0),G378,1),"")</f>
        <v>R</v>
      </c>
      <c r="G378" s="3">
        <v>48</v>
      </c>
      <c r="H378" s="3" t="str">
        <f>IFERROR(MID(VLOOKUP($B378,Seqs!$A:$B,2,0),I378,1),"")</f>
        <v>M</v>
      </c>
      <c r="I378" s="23">
        <v>49</v>
      </c>
      <c r="J378" s="3" t="str">
        <f>IFERROR(MID(VLOOKUP($B378,Seqs!$A:$B,2,0),K378,1),"")</f>
        <v>R</v>
      </c>
      <c r="K378" s="23">
        <v>52</v>
      </c>
      <c r="L378" s="3" t="str">
        <f>IFERROR(MID(VLOOKUP($B378,Seqs!$A:$B,2,0),M378,1),"")</f>
        <v>S</v>
      </c>
      <c r="M378" s="3">
        <v>53</v>
      </c>
      <c r="N378" s="3" t="str">
        <f>IFERROR(MID(VLOOKUP($B378,Seqs!$A:$B,2,0),O378,1),"")</f>
        <v>H</v>
      </c>
      <c r="O378" s="3">
        <v>83</v>
      </c>
      <c r="P378" s="3" t="str">
        <f>IFERROR(MID(VLOOKUP($B378,Seqs!$A:$B,2,0),Q378,1),"")</f>
        <v>T</v>
      </c>
      <c r="Q378" s="3">
        <v>84</v>
      </c>
      <c r="R378" s="3" t="str">
        <f>IFERROR(MID(VLOOKUP($B378,Seqs!$A:$B,2,0),S378,1),"")</f>
        <v>F</v>
      </c>
      <c r="S378" s="3">
        <v>87</v>
      </c>
      <c r="T378" s="3" t="str">
        <f>IFERROR(MID(VLOOKUP($B378,Seqs!$A:$B,2,0),U378,1),"")</f>
        <v>K</v>
      </c>
      <c r="U378" s="3">
        <v>88</v>
      </c>
      <c r="V378" s="3" t="str">
        <f>IFERROR(MID(VLOOKUP($B378,Seqs!$A:$B,2,0),W378,1),"")</f>
        <v>S</v>
      </c>
      <c r="W378" s="3">
        <v>123</v>
      </c>
      <c r="X378" s="3" t="str">
        <f>IFERROR(MID(VLOOKUP($B378,Seqs!$A:$B,2,0),Y378,1),"")</f>
        <v>P</v>
      </c>
      <c r="Y378" s="3">
        <v>124</v>
      </c>
      <c r="Z378" s="3" t="str">
        <f>IFERROR(MID(VLOOKUP($B378,Seqs!$A:$B,2,0),AA378,1),"")</f>
        <v>R</v>
      </c>
      <c r="AA378" s="3">
        <v>131</v>
      </c>
      <c r="AB378" s="3" t="str">
        <f>IFERROR(MID(VLOOKUP($B378,Seqs!$A:$B,2,0),AC378,1),"")</f>
        <v>T</v>
      </c>
      <c r="AC378" s="3">
        <v>132</v>
      </c>
      <c r="AD378" s="3" t="str">
        <f>IFERROR(MID(VLOOKUP($B378,Seqs!$A:$B,2,0),AE378,1),"")</f>
        <v>R</v>
      </c>
      <c r="AE378" s="3">
        <v>158</v>
      </c>
      <c r="AF378" s="3" t="str">
        <f>IFERROR(MID(VLOOKUP($B378,Seqs!$A:$B,2,0),AG378,1),"")</f>
        <v>C</v>
      </c>
      <c r="AG378" s="3">
        <v>170</v>
      </c>
      <c r="AH378" s="3" t="str">
        <f>IFERROR(MID(VLOOKUP($B378,Seqs!$A:$B,2,0),AI378,1),"")</f>
        <v>A</v>
      </c>
      <c r="AI378" s="3">
        <v>172</v>
      </c>
      <c r="AJ378" s="3" t="str">
        <f>IFERROR(MID(VLOOKUP($B378,Seqs!$A:$B,2,0),AK378,1),"")</f>
        <v>S</v>
      </c>
      <c r="AK378" s="3">
        <v>176</v>
      </c>
      <c r="AL378" s="3" t="str">
        <f>IFERROR(MID(VLOOKUP($B378,Seqs!$A:$B,2,0),AM378,1),"")</f>
        <v>R</v>
      </c>
      <c r="AM378" s="3">
        <v>213</v>
      </c>
      <c r="AN378" s="3" t="str">
        <f>IFERROR(MID(VLOOKUP($B378,Seqs!$A:$B,2,0),AO378,1),"")</f>
        <v>R</v>
      </c>
      <c r="AO378" s="3">
        <v>218</v>
      </c>
      <c r="AP378" s="3" t="str">
        <f>IFERROR(MID(VLOOKUP($B378,Seqs!$A:$B,2,0),AQ378,1),"")</f>
        <v>A</v>
      </c>
      <c r="AQ378" s="3">
        <v>252</v>
      </c>
      <c r="AR378" s="3" t="str">
        <f>IFERROR(MID(VLOOKUP($B378,Seqs!$A:$B,2,0),AS378,1),"")</f>
        <v>L</v>
      </c>
      <c r="AS378" s="3">
        <v>255</v>
      </c>
      <c r="AT378" s="3" t="str">
        <f>IFERROR(MID(VLOOKUP($B378,Seqs!$A:$B,2,0),AU378,1),"")</f>
        <v>A</v>
      </c>
      <c r="AU378" s="3">
        <v>287</v>
      </c>
      <c r="AV378" s="3" t="str">
        <f>IFERROR(MID(VLOOKUP($B378,Seqs!$A:$B,2,0),AW378,1),"")</f>
        <v>G</v>
      </c>
      <c r="AW378" s="3">
        <v>288</v>
      </c>
      <c r="AX378" s="3" t="str">
        <f>IFERROR(MID(VLOOKUP($B378,Seqs!$A:$B,2,0),AY378,1),"")</f>
        <v>K</v>
      </c>
      <c r="AY378" s="3">
        <v>302</v>
      </c>
      <c r="AZ378" s="77" t="str">
        <f>VLOOKUP(B378,Classification!A:D,2,0)</f>
        <v>A</v>
      </c>
      <c r="BA378" s="94" t="str">
        <f>VLOOKUP(B378,Classification!A:D,4,0)</f>
        <v>Leukotriene</v>
      </c>
      <c r="BB378" s="27" t="b">
        <f t="shared" si="3048"/>
        <v>1</v>
      </c>
      <c r="BC378" s="23">
        <f t="shared" si="3049"/>
        <v>266</v>
      </c>
      <c r="BD378" s="2" t="s">
        <v>23</v>
      </c>
      <c r="BE378" s="3" t="s">
        <v>23</v>
      </c>
      <c r="BF378" s="118" t="s">
        <v>23</v>
      </c>
      <c r="BG378" s="49" t="s">
        <v>1</v>
      </c>
      <c r="BH378" s="49" t="s">
        <v>1</v>
      </c>
      <c r="BI378" s="1"/>
      <c r="BJ378" s="70" t="s">
        <v>1287</v>
      </c>
      <c r="BK378" s="57" t="s">
        <v>1287</v>
      </c>
      <c r="BL378" s="57" t="s">
        <v>1287</v>
      </c>
      <c r="BM378" s="57" t="s">
        <v>1287</v>
      </c>
      <c r="BN378" s="57" t="s">
        <v>1287</v>
      </c>
      <c r="BO378" s="57" t="s">
        <v>1287</v>
      </c>
      <c r="BP378" s="57" t="s">
        <v>1287</v>
      </c>
      <c r="BQ378" s="57" t="s">
        <v>1287</v>
      </c>
      <c r="BR378" s="57" t="s">
        <v>1287</v>
      </c>
      <c r="BS378" s="57" t="s">
        <v>1287</v>
      </c>
      <c r="BT378" s="57" t="s">
        <v>1287</v>
      </c>
      <c r="BU378" s="57" t="s">
        <v>1287</v>
      </c>
      <c r="BV378" s="70">
        <f t="shared" si="3050"/>
        <v>17</v>
      </c>
      <c r="BW378" s="71">
        <f t="shared" si="3051"/>
        <v>49</v>
      </c>
      <c r="BX378" s="72">
        <f t="shared" si="3052"/>
        <v>53</v>
      </c>
      <c r="BY378" s="71">
        <f t="shared" si="3053"/>
        <v>84</v>
      </c>
      <c r="BZ378" s="72">
        <f t="shared" si="3054"/>
        <v>88</v>
      </c>
      <c r="CA378" s="71">
        <f t="shared" si="3055"/>
        <v>124</v>
      </c>
      <c r="CB378" s="72">
        <f t="shared" si="3056"/>
        <v>132</v>
      </c>
      <c r="CC378" s="71">
        <f t="shared" si="3057"/>
        <v>170</v>
      </c>
      <c r="CD378" s="72">
        <f t="shared" si="3058"/>
        <v>176</v>
      </c>
      <c r="CE378" s="71">
        <f t="shared" si="3059"/>
        <v>218</v>
      </c>
      <c r="CF378" s="72">
        <f t="shared" si="3060"/>
        <v>255</v>
      </c>
      <c r="CG378" s="71">
        <f t="shared" si="3061"/>
        <v>288</v>
      </c>
      <c r="CH378" s="70">
        <f t="shared" si="3062"/>
        <v>48</v>
      </c>
      <c r="CI378" s="71">
        <f t="shared" si="3063"/>
        <v>52</v>
      </c>
      <c r="CJ378" s="72">
        <f t="shared" si="3064"/>
        <v>83</v>
      </c>
      <c r="CK378" s="72">
        <f t="shared" si="3065"/>
        <v>87</v>
      </c>
      <c r="CL378" s="72">
        <f t="shared" si="3066"/>
        <v>123</v>
      </c>
      <c r="CM378" s="72">
        <f t="shared" si="3067"/>
        <v>131</v>
      </c>
      <c r="CN378" s="72">
        <f t="shared" si="3068"/>
        <v>158</v>
      </c>
      <c r="CO378" s="72">
        <f t="shared" si="3069"/>
        <v>172</v>
      </c>
      <c r="CP378" s="72">
        <f t="shared" si="3070"/>
        <v>213</v>
      </c>
      <c r="CQ378" s="72">
        <f t="shared" si="3071"/>
        <v>252</v>
      </c>
      <c r="CR378" s="72">
        <f t="shared" si="3072"/>
        <v>287</v>
      </c>
      <c r="CS378" s="72">
        <f t="shared" si="3073"/>
        <v>302</v>
      </c>
      <c r="CT378" s="23">
        <f t="shared" si="3074"/>
        <v>1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</row>
    <row r="379" spans="1:1029" x14ac:dyDescent="0.2">
      <c r="A379" s="3" t="str">
        <f t="shared" si="3047"/>
        <v>q9wtk1_cavpo_5X33</v>
      </c>
      <c r="B379" s="3" t="s">
        <v>1451</v>
      </c>
      <c r="C379" s="3" t="s">
        <v>1452</v>
      </c>
      <c r="D379" s="3" t="str">
        <f>IFERROR(MID(VLOOKUP($B379,Seqs!$A:$B,2,0),E379,1),"")</f>
        <v>T</v>
      </c>
      <c r="E379" s="3">
        <v>17</v>
      </c>
      <c r="F379" s="3" t="str">
        <f>IFERROR(MID(VLOOKUP($B379,Seqs!$A:$B,2,0),G379,1),"")</f>
        <v>R</v>
      </c>
      <c r="G379" s="3">
        <v>48</v>
      </c>
      <c r="H379" s="3" t="str">
        <f>IFERROR(MID(VLOOKUP($B379,Seqs!$A:$B,2,0),I379,1),"")</f>
        <v/>
      </c>
      <c r="I379" s="23" t="s">
        <v>23</v>
      </c>
      <c r="J379" s="3" t="str">
        <f>IFERROR(MID(VLOOKUP($B379,Seqs!$A:$B,2,0),K379,1),"")</f>
        <v/>
      </c>
      <c r="K379" s="23" t="s">
        <v>23</v>
      </c>
      <c r="L379" s="3" t="str">
        <f>IFERROR(MID(VLOOKUP($B379,Seqs!$A:$B,2,0),M379,1),"")</f>
        <v>S</v>
      </c>
      <c r="M379" s="3">
        <v>53</v>
      </c>
      <c r="N379" s="3" t="str">
        <f>IFERROR(MID(VLOOKUP($B379,Seqs!$A:$B,2,0),O379,1),"")</f>
        <v>H</v>
      </c>
      <c r="O379" s="3">
        <v>83</v>
      </c>
      <c r="P379" s="3" t="str">
        <f>IFERROR(MID(VLOOKUP($B379,Seqs!$A:$B,2,0),Q379,1),"")</f>
        <v>T</v>
      </c>
      <c r="Q379" s="3">
        <v>84</v>
      </c>
      <c r="R379" s="3" t="str">
        <f>IFERROR(MID(VLOOKUP($B379,Seqs!$A:$B,2,0),S379,1),"")</f>
        <v>F</v>
      </c>
      <c r="S379" s="3">
        <v>87</v>
      </c>
      <c r="T379" s="3" t="str">
        <f>IFERROR(MID(VLOOKUP($B379,Seqs!$A:$B,2,0),U379,1),"")</f>
        <v>K</v>
      </c>
      <c r="U379" s="3">
        <v>88</v>
      </c>
      <c r="V379" s="3" t="str">
        <f>IFERROR(MID(VLOOKUP($B379,Seqs!$A:$B,2,0),W379,1),"")</f>
        <v>S</v>
      </c>
      <c r="W379" s="3">
        <v>123</v>
      </c>
      <c r="X379" s="3" t="str">
        <f>IFERROR(MID(VLOOKUP($B379,Seqs!$A:$B,2,0),Y379,1),"")</f>
        <v>P</v>
      </c>
      <c r="Y379" s="3">
        <v>124</v>
      </c>
      <c r="Z379" s="3" t="str">
        <f>IFERROR(MID(VLOOKUP($B379,Seqs!$A:$B,2,0),AA379,1),"")</f>
        <v>R</v>
      </c>
      <c r="AA379" s="3">
        <v>131</v>
      </c>
      <c r="AB379" s="3" t="str">
        <f>IFERROR(MID(VLOOKUP($B379,Seqs!$A:$B,2,0),AC379,1),"")</f>
        <v>T</v>
      </c>
      <c r="AC379" s="3">
        <v>132</v>
      </c>
      <c r="AD379" s="3" t="str">
        <f>IFERROR(MID(VLOOKUP($B379,Seqs!$A:$B,2,0),AE379,1),"")</f>
        <v>R</v>
      </c>
      <c r="AE379" s="3">
        <v>158</v>
      </c>
      <c r="AF379" s="3" t="str">
        <f>IFERROR(MID(VLOOKUP($B379,Seqs!$A:$B,2,0),AG379,1),"")</f>
        <v>C</v>
      </c>
      <c r="AG379" s="3">
        <v>170</v>
      </c>
      <c r="AH379" s="3" t="str">
        <f>IFERROR(MID(VLOOKUP($B379,Seqs!$A:$B,2,0),AI379,1),"")</f>
        <v>A</v>
      </c>
      <c r="AI379" s="3">
        <v>172</v>
      </c>
      <c r="AJ379" s="3" t="str">
        <f>IFERROR(MID(VLOOKUP($B379,Seqs!$A:$B,2,0),AK379,1),"")</f>
        <v>S</v>
      </c>
      <c r="AK379" s="3">
        <v>176</v>
      </c>
      <c r="AL379" s="3" t="str">
        <f>IFERROR(MID(VLOOKUP($B379,Seqs!$A:$B,2,0),AM379,1),"")</f>
        <v>R</v>
      </c>
      <c r="AM379" s="3">
        <v>213</v>
      </c>
      <c r="AN379" s="3" t="str">
        <f>IFERROR(MID(VLOOKUP($B379,Seqs!$A:$B,2,0),AO379,1),"")</f>
        <v>I</v>
      </c>
      <c r="AO379" s="3">
        <v>227</v>
      </c>
      <c r="AP379" s="3" t="str">
        <f>IFERROR(MID(VLOOKUP($B379,Seqs!$A:$B,2,0),AQ379,1),"")</f>
        <v>R</v>
      </c>
      <c r="AQ379" s="3">
        <v>249</v>
      </c>
      <c r="AR379" s="3" t="str">
        <f>IFERROR(MID(VLOOKUP($B379,Seqs!$A:$B,2,0),AS379,1),"")</f>
        <v>Q</v>
      </c>
      <c r="AS379" s="3">
        <v>261</v>
      </c>
      <c r="AT379" s="3" t="str">
        <f>IFERROR(MID(VLOOKUP($B379,Seqs!$A:$B,2,0),AU379,1),"")</f>
        <v>S</v>
      </c>
      <c r="AU379" s="3">
        <v>278</v>
      </c>
      <c r="AV379" s="3" t="str">
        <f>IFERROR(MID(VLOOKUP($B379,Seqs!$A:$B,2,0),AW379,1),"")</f>
        <v/>
      </c>
      <c r="AW379" s="3" t="s">
        <v>23</v>
      </c>
      <c r="AX379" s="3" t="str">
        <f>IFERROR(MID(VLOOKUP($B379,Seqs!$A:$B,2,0),AY379,1),"")</f>
        <v/>
      </c>
      <c r="AY379" s="3" t="s">
        <v>23</v>
      </c>
      <c r="AZ379" s="77" t="str">
        <f>VLOOKUP(B379,Classification!A:D,2,0)</f>
        <v>A</v>
      </c>
      <c r="BA379" s="94" t="str">
        <f>VLOOKUP(B379,Classification!A:D,4,0)</f>
        <v>Leukotriene</v>
      </c>
      <c r="BB379" s="27" t="b">
        <f t="shared" si="3048"/>
        <v>1</v>
      </c>
      <c r="BC379" s="23">
        <f t="shared" si="3049"/>
        <v>222</v>
      </c>
      <c r="BD379" s="2" t="s">
        <v>1376</v>
      </c>
      <c r="BE379" s="3" t="s">
        <v>1374</v>
      </c>
      <c r="BF379" s="118">
        <v>3.7</v>
      </c>
      <c r="BG379" s="49" t="s">
        <v>1</v>
      </c>
      <c r="BH379" s="49" t="s">
        <v>1377</v>
      </c>
      <c r="BI379" s="1"/>
      <c r="BJ379" s="70" t="s">
        <v>1287</v>
      </c>
      <c r="BK379" s="57" t="s">
        <v>1287</v>
      </c>
      <c r="BL379" s="57" t="s">
        <v>1287</v>
      </c>
      <c r="BM379" s="57" t="s">
        <v>1287</v>
      </c>
      <c r="BN379" s="57" t="s">
        <v>1287</v>
      </c>
      <c r="BO379" s="57" t="s">
        <v>1287</v>
      </c>
      <c r="BP379" s="57" t="s">
        <v>1287</v>
      </c>
      <c r="BQ379" s="57" t="s">
        <v>1287</v>
      </c>
      <c r="BR379" s="57" t="s">
        <v>1287</v>
      </c>
      <c r="BS379" s="57" t="s">
        <v>1287</v>
      </c>
      <c r="BT379" s="57" t="s">
        <v>1287</v>
      </c>
      <c r="BU379" s="57" t="s">
        <v>1287</v>
      </c>
      <c r="BV379" s="70">
        <f t="shared" si="3050"/>
        <v>17</v>
      </c>
      <c r="BW379" s="71" t="str">
        <f t="shared" si="3051"/>
        <v>-</v>
      </c>
      <c r="BX379" s="72">
        <f t="shared" si="3052"/>
        <v>53</v>
      </c>
      <c r="BY379" s="71">
        <f t="shared" si="3053"/>
        <v>84</v>
      </c>
      <c r="BZ379" s="72">
        <f t="shared" si="3054"/>
        <v>88</v>
      </c>
      <c r="CA379" s="71">
        <f t="shared" si="3055"/>
        <v>124</v>
      </c>
      <c r="CB379" s="72">
        <f t="shared" si="3056"/>
        <v>132</v>
      </c>
      <c r="CC379" s="71">
        <f t="shared" si="3057"/>
        <v>170</v>
      </c>
      <c r="CD379" s="72">
        <f t="shared" si="3058"/>
        <v>176</v>
      </c>
      <c r="CE379" s="71">
        <f t="shared" si="3059"/>
        <v>227</v>
      </c>
      <c r="CF379" s="72">
        <f t="shared" si="3060"/>
        <v>261</v>
      </c>
      <c r="CG379" s="71" t="str">
        <f t="shared" si="3061"/>
        <v>-</v>
      </c>
      <c r="CH379" s="70">
        <f t="shared" si="3062"/>
        <v>48</v>
      </c>
      <c r="CI379" s="71" t="str">
        <f t="shared" si="3063"/>
        <v>-</v>
      </c>
      <c r="CJ379" s="72">
        <f t="shared" si="3064"/>
        <v>83</v>
      </c>
      <c r="CK379" s="72">
        <f t="shared" si="3065"/>
        <v>87</v>
      </c>
      <c r="CL379" s="72">
        <f t="shared" si="3066"/>
        <v>123</v>
      </c>
      <c r="CM379" s="72">
        <f t="shared" si="3067"/>
        <v>131</v>
      </c>
      <c r="CN379" s="72">
        <f t="shared" si="3068"/>
        <v>158</v>
      </c>
      <c r="CO379" s="72">
        <f t="shared" si="3069"/>
        <v>172</v>
      </c>
      <c r="CP379" s="72">
        <f t="shared" si="3070"/>
        <v>213</v>
      </c>
      <c r="CQ379" s="72">
        <f t="shared" si="3071"/>
        <v>249</v>
      </c>
      <c r="CR379" s="72">
        <f t="shared" si="3072"/>
        <v>278</v>
      </c>
      <c r="CS379" s="72" t="str">
        <f t="shared" si="3073"/>
        <v>-</v>
      </c>
      <c r="CT379" s="23" t="e">
        <f t="shared" si="3074"/>
        <v>#VALUE!</v>
      </c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</row>
    <row r="380" spans="1:1029" x14ac:dyDescent="0.2">
      <c r="A380" s="3" t="str">
        <f t="shared" si="2541"/>
        <v>s1pr1_human__wt</v>
      </c>
      <c r="B380" s="3" t="s">
        <v>104</v>
      </c>
      <c r="C380" s="3" t="s">
        <v>100</v>
      </c>
      <c r="D380" s="3" t="str">
        <f>IFERROR(MID(VLOOKUP($B380,Seqs!$A:$B,2,0),E380,1),"")</f>
        <v>E</v>
      </c>
      <c r="E380" s="3">
        <v>42</v>
      </c>
      <c r="F380" s="3" t="str">
        <f>IFERROR(MID(VLOOKUP($B380,Seqs!$A:$B,2,0),G380,1),"")</f>
        <v>T</v>
      </c>
      <c r="G380" s="3">
        <v>73</v>
      </c>
      <c r="H380" s="3" t="str">
        <f>IFERROR(MID(VLOOKUP($B380,Seqs!$A:$B,2,0),I380,1),"")</f>
        <v>K</v>
      </c>
      <c r="I380" s="23">
        <v>74</v>
      </c>
      <c r="J380" s="3" t="str">
        <f>IFERROR(MID(VLOOKUP($B380,Seqs!$A:$B,2,0),K380,1),"")</f>
        <v>H</v>
      </c>
      <c r="K380" s="23">
        <v>77</v>
      </c>
      <c r="L380" s="3" t="str">
        <f>IFERROR(MID(VLOOKUP($B380,Seqs!$A:$B,2,0),M380,1),"")</f>
        <v>R</v>
      </c>
      <c r="M380" s="3">
        <v>78</v>
      </c>
      <c r="N380" s="3" t="str">
        <f>IFERROR(MID(VLOOKUP($B380,Seqs!$A:$B,2,0),O380,1),"")</f>
        <v>L</v>
      </c>
      <c r="O380" s="3">
        <v>104</v>
      </c>
      <c r="P380" s="3" t="str">
        <f>IFERROR(MID(VLOOKUP($B380,Seqs!$A:$B,2,0),Q380,1),"")</f>
        <v>G</v>
      </c>
      <c r="Q380" s="3">
        <v>106</v>
      </c>
      <c r="R380" s="3" t="str">
        <f>IFERROR(MID(VLOOKUP($B380,Seqs!$A:$B,2,0),S380,1),"")</f>
        <v>L</v>
      </c>
      <c r="S380" s="3">
        <v>112</v>
      </c>
      <c r="T380" s="3" t="str">
        <f>IFERROR(MID(VLOOKUP($B380,Seqs!$A:$B,2,0),U380,1),"")</f>
        <v>T</v>
      </c>
      <c r="U380" s="3">
        <v>113</v>
      </c>
      <c r="V380" s="3" t="str">
        <f>IFERROR(MID(VLOOKUP($B380,Seqs!$A:$B,2,0),W380,1),"")</f>
        <v>K</v>
      </c>
      <c r="W380" s="105">
        <v>148</v>
      </c>
      <c r="X380" s="3" t="str">
        <f>IFERROR(MID(VLOOKUP($B380,Seqs!$A:$B,2,0),Y380,1),"")</f>
        <v>M</v>
      </c>
      <c r="Y380" s="105">
        <v>149</v>
      </c>
      <c r="Z380" s="3" t="str">
        <f>IFERROR(MID(VLOOKUP($B380,Seqs!$A:$B,2,0),AA380,1),"")</f>
        <v>S</v>
      </c>
      <c r="AA380" s="105">
        <v>155</v>
      </c>
      <c r="AB380" s="3" t="str">
        <f>IFERROR(MID(VLOOKUP($B380,Seqs!$A:$B,2,0),AC380,1),"")</f>
        <v>N</v>
      </c>
      <c r="AC380" s="105">
        <v>156</v>
      </c>
      <c r="AD380" s="3" t="str">
        <f>IFERROR(MID(VLOOKUP($B380,Seqs!$A:$B,2,0),AE380,1),"")</f>
        <v>G</v>
      </c>
      <c r="AE380" s="3">
        <v>181</v>
      </c>
      <c r="AF380" s="3" t="str">
        <f>IFERROR(MID(VLOOKUP($B380,Seqs!$A:$B,2,0),AG380,1),"")</f>
        <v/>
      </c>
      <c r="AG380" s="3" t="s">
        <v>23</v>
      </c>
      <c r="AH380" s="3" t="str">
        <f>IFERROR(MID(VLOOKUP($B380,Seqs!$A:$B,2,0),AI380,1),"")</f>
        <v/>
      </c>
      <c r="AI380" s="3" t="s">
        <v>23</v>
      </c>
      <c r="AJ380" s="3" t="str">
        <f>IFERROR(MID(VLOOKUP($B380,Seqs!$A:$B,2,0),AK380,1),"")</f>
        <v>H</v>
      </c>
      <c r="AK380" s="3">
        <v>199</v>
      </c>
      <c r="AL380" s="3" t="str">
        <f>IFERROR(MID(VLOOKUP($B380,Seqs!$A:$B,2,0),AM380,1),"")</f>
        <v>T</v>
      </c>
      <c r="AM380" s="3">
        <v>236</v>
      </c>
      <c r="AN380" s="3" t="str">
        <f>IFERROR(MID(VLOOKUP($B380,Seqs!$A:$B,2,0),AO380,1),"")</f>
        <v>S</v>
      </c>
      <c r="AO380" s="3">
        <v>245</v>
      </c>
      <c r="AP380" s="3" t="str">
        <f>IFERROR(MID(VLOOKUP($B380,Seqs!$A:$B,2,0),AQ380,1),"")</f>
        <v>C</v>
      </c>
      <c r="AQ380" s="3">
        <v>282</v>
      </c>
      <c r="AR380" s="3" t="str">
        <f>IFERROR(MID(VLOOKUP($B380,Seqs!$A:$B,2,0),AS380,1),"")</f>
        <v>D</v>
      </c>
      <c r="AS380" s="3">
        <v>288</v>
      </c>
      <c r="AT380" s="3" t="str">
        <f>IFERROR(MID(VLOOKUP($B380,Seqs!$A:$B,2,0),AU380,1),"")</f>
        <v>T</v>
      </c>
      <c r="AU380" s="3">
        <v>314</v>
      </c>
      <c r="AV380" s="3" t="str">
        <f>IFERROR(MID(VLOOKUP($B380,Seqs!$A:$B,2,0),AW380,1),"")</f>
        <v>N</v>
      </c>
      <c r="AW380" s="3">
        <v>315</v>
      </c>
      <c r="AX380" s="3" t="str">
        <f>IFERROR(MID(VLOOKUP($B380,Seqs!$A:$B,2,0),AY380,1),"")</f>
        <v>S</v>
      </c>
      <c r="AY380" s="3">
        <v>327</v>
      </c>
      <c r="AZ380" s="77" t="str">
        <f>VLOOKUP(B380,Classification!A:D,2,0)</f>
        <v>A</v>
      </c>
      <c r="BA380" s="94" t="str">
        <f>VLOOKUP(B380,Classification!A:D,4,0)</f>
        <v>Lysophospholipid(S1P)</v>
      </c>
      <c r="BB380" s="27" t="b">
        <f t="shared" si="2542"/>
        <v>1</v>
      </c>
      <c r="BC380" s="23">
        <f t="shared" si="2515"/>
        <v>256</v>
      </c>
      <c r="BD380" s="56" t="s">
        <v>23</v>
      </c>
      <c r="BE380" s="3" t="s">
        <v>23</v>
      </c>
      <c r="BF380" s="118" t="s">
        <v>23</v>
      </c>
      <c r="BG380" s="49" t="s">
        <v>1372</v>
      </c>
      <c r="BH380" s="49" t="s">
        <v>1377</v>
      </c>
      <c r="BI380" s="1"/>
      <c r="BJ380" s="70" t="s">
        <v>1287</v>
      </c>
      <c r="BK380" s="57" t="s">
        <v>1287</v>
      </c>
      <c r="BL380" s="57" t="s">
        <v>1287</v>
      </c>
      <c r="BM380" s="57" t="s">
        <v>1287</v>
      </c>
      <c r="BN380" s="57" t="s">
        <v>1287</v>
      </c>
      <c r="BO380" s="57" t="s">
        <v>1287</v>
      </c>
      <c r="BP380" s="57" t="s">
        <v>1287</v>
      </c>
      <c r="BQ380" s="57" t="s">
        <v>1287</v>
      </c>
      <c r="BR380" s="57" t="s">
        <v>1287</v>
      </c>
      <c r="BS380" s="57" t="s">
        <v>1287</v>
      </c>
      <c r="BT380" s="57" t="s">
        <v>1287</v>
      </c>
      <c r="BU380" s="57" t="s">
        <v>1287</v>
      </c>
      <c r="BV380" s="70">
        <f t="shared" si="2516"/>
        <v>42</v>
      </c>
      <c r="BW380" s="71">
        <f t="shared" si="2517"/>
        <v>74</v>
      </c>
      <c r="BX380" s="72">
        <f t="shared" si="2518"/>
        <v>78</v>
      </c>
      <c r="BY380" s="71">
        <f t="shared" si="2519"/>
        <v>106</v>
      </c>
      <c r="BZ380" s="72">
        <f t="shared" si="2520"/>
        <v>113</v>
      </c>
      <c r="CA380" s="71">
        <f t="shared" si="2521"/>
        <v>149</v>
      </c>
      <c r="CB380" s="72">
        <f t="shared" si="2522"/>
        <v>156</v>
      </c>
      <c r="CC380" s="71" t="str">
        <f t="shared" si="2523"/>
        <v>-</v>
      </c>
      <c r="CD380" s="72">
        <f t="shared" si="2524"/>
        <v>199</v>
      </c>
      <c r="CE380" s="71">
        <f t="shared" si="2525"/>
        <v>245</v>
      </c>
      <c r="CF380" s="72">
        <f t="shared" si="2526"/>
        <v>288</v>
      </c>
      <c r="CG380" s="71">
        <f t="shared" si="2527"/>
        <v>315</v>
      </c>
      <c r="CH380" s="70">
        <f t="shared" si="2528"/>
        <v>73</v>
      </c>
      <c r="CI380" s="71">
        <f t="shared" si="2529"/>
        <v>77</v>
      </c>
      <c r="CJ380" s="72">
        <f t="shared" si="2530"/>
        <v>104</v>
      </c>
      <c r="CK380" s="72">
        <f t="shared" si="2531"/>
        <v>112</v>
      </c>
      <c r="CL380" s="72">
        <f t="shared" si="2532"/>
        <v>148</v>
      </c>
      <c r="CM380" s="72">
        <f t="shared" si="2533"/>
        <v>155</v>
      </c>
      <c r="CN380" s="72">
        <f t="shared" si="2534"/>
        <v>181</v>
      </c>
      <c r="CO380" s="72" t="str">
        <f t="shared" si="2535"/>
        <v>-</v>
      </c>
      <c r="CP380" s="72">
        <f t="shared" si="2536"/>
        <v>236</v>
      </c>
      <c r="CQ380" s="72">
        <f t="shared" si="2537"/>
        <v>282</v>
      </c>
      <c r="CR380" s="72">
        <f t="shared" si="2538"/>
        <v>314</v>
      </c>
      <c r="CS380" s="72">
        <f t="shared" si="2539"/>
        <v>327</v>
      </c>
      <c r="CT380" s="23">
        <f t="shared" si="2540"/>
        <v>1</v>
      </c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</row>
    <row r="381" spans="1:1029" x14ac:dyDescent="0.2">
      <c r="A381" s="3" t="str">
        <f t="shared" si="2541"/>
        <v>s1pr1_human_3V2Y</v>
      </c>
      <c r="B381" s="3" t="s">
        <v>104</v>
      </c>
      <c r="C381" s="3" t="s">
        <v>94</v>
      </c>
      <c r="D381" s="3" t="str">
        <f>IFERROR(MID(VLOOKUP($B381,Seqs!$A:$B,2,0),E381,1),"")</f>
        <v>E</v>
      </c>
      <c r="E381" s="3">
        <v>42</v>
      </c>
      <c r="F381" s="3" t="str">
        <f>IFERROR(MID(VLOOKUP($B381,Seqs!$A:$B,2,0),G381,1),"")</f>
        <v>T</v>
      </c>
      <c r="G381" s="3">
        <v>73</v>
      </c>
      <c r="H381" s="3" t="str">
        <f>IFERROR(MID(VLOOKUP($B381,Seqs!$A:$B,2,0),I381,1),"")</f>
        <v>K</v>
      </c>
      <c r="I381" s="23">
        <v>74</v>
      </c>
      <c r="J381" s="3" t="str">
        <f>IFERROR(MID(VLOOKUP($B381,Seqs!$A:$B,2,0),K381,1),"")</f>
        <v>H</v>
      </c>
      <c r="K381" s="23">
        <v>77</v>
      </c>
      <c r="L381" s="3" t="str">
        <f>IFERROR(MID(VLOOKUP($B381,Seqs!$A:$B,2,0),M381,1),"")</f>
        <v>R</v>
      </c>
      <c r="M381" s="3">
        <v>78</v>
      </c>
      <c r="N381" s="3" t="str">
        <f>IFERROR(MID(VLOOKUP($B381,Seqs!$A:$B,2,0),O381,1),"")</f>
        <v>L</v>
      </c>
      <c r="O381" s="3">
        <v>104</v>
      </c>
      <c r="P381" s="3" t="str">
        <f>IFERROR(MID(VLOOKUP($B381,Seqs!$A:$B,2,0),Q381,1),"")</f>
        <v>G</v>
      </c>
      <c r="Q381" s="3">
        <v>106</v>
      </c>
      <c r="R381" s="3" t="str">
        <f>IFERROR(MID(VLOOKUP($B381,Seqs!$A:$B,2,0),S381,1),"")</f>
        <v>L</v>
      </c>
      <c r="S381" s="3">
        <v>112</v>
      </c>
      <c r="T381" s="3" t="str">
        <f>IFERROR(MID(VLOOKUP($B381,Seqs!$A:$B,2,0),U381,1),"")</f>
        <v>T</v>
      </c>
      <c r="U381" s="3">
        <v>113</v>
      </c>
      <c r="V381" s="3" t="str">
        <f>IFERROR(MID(VLOOKUP($B381,Seqs!$A:$B,2,0),W381,1),"")</f>
        <v>T</v>
      </c>
      <c r="W381" s="105">
        <v>145</v>
      </c>
      <c r="X381" s="3" t="str">
        <f>IFERROR(MID(VLOOKUP($B381,Seqs!$A:$B,2,0),Y381,1),"")</f>
        <v/>
      </c>
      <c r="Y381" s="3" t="s">
        <v>23</v>
      </c>
      <c r="Z381" s="3" t="str">
        <f>IFERROR(MID(VLOOKUP($B381,Seqs!$A:$B,2,0),AA381,1),"")</f>
        <v/>
      </c>
      <c r="AA381" s="3" t="s">
        <v>23</v>
      </c>
      <c r="AB381" s="3" t="str">
        <f>IFERROR(MID(VLOOKUP($B381,Seqs!$A:$B,2,0),AC381,1),"")</f>
        <v>N</v>
      </c>
      <c r="AC381" s="105">
        <v>156</v>
      </c>
      <c r="AD381" s="3" t="str">
        <f>IFERROR(MID(VLOOKUP($B381,Seqs!$A:$B,2,0),AE381,1),"")</f>
        <v>G</v>
      </c>
      <c r="AE381" s="3">
        <v>181</v>
      </c>
      <c r="AF381" s="3" t="str">
        <f>IFERROR(MID(VLOOKUP($B381,Seqs!$A:$B,2,0),AG381,1),"")</f>
        <v/>
      </c>
      <c r="AG381" s="3" t="s">
        <v>23</v>
      </c>
      <c r="AH381" s="3" t="str">
        <f>IFERROR(MID(VLOOKUP($B381,Seqs!$A:$B,2,0),AI381,1),"")</f>
        <v/>
      </c>
      <c r="AI381" s="3" t="s">
        <v>23</v>
      </c>
      <c r="AJ381" s="3" t="str">
        <f>IFERROR(MID(VLOOKUP($B381,Seqs!$A:$B,2,0),AK381,1),"")</f>
        <v>H</v>
      </c>
      <c r="AK381" s="3">
        <v>199</v>
      </c>
      <c r="AL381" s="3" t="str">
        <f>IFERROR(MID(VLOOKUP($B381,Seqs!$A:$B,2,0),AM381,1),"")</f>
        <v>R</v>
      </c>
      <c r="AM381" s="3">
        <v>231</v>
      </c>
      <c r="AN381" s="3" t="str">
        <f>IFERROR(MID(VLOOKUP($B381,Seqs!$A:$B,2,0),AO381,1),"")</f>
        <v>S</v>
      </c>
      <c r="AO381" s="3">
        <v>251</v>
      </c>
      <c r="AP381" s="3" t="str">
        <f>IFERROR(MID(VLOOKUP($B381,Seqs!$A:$B,2,0),AQ381,1),"")</f>
        <v>C</v>
      </c>
      <c r="AQ381" s="3">
        <v>282</v>
      </c>
      <c r="AR381" s="3" t="str">
        <f>IFERROR(MID(VLOOKUP($B381,Seqs!$A:$B,2,0),AS381,1),"")</f>
        <v>D</v>
      </c>
      <c r="AS381" s="3">
        <v>288</v>
      </c>
      <c r="AT381" s="3" t="str">
        <f>IFERROR(MID(VLOOKUP($B381,Seqs!$A:$B,2,0),AU381,1),"")</f>
        <v>T</v>
      </c>
      <c r="AU381" s="3">
        <v>314</v>
      </c>
      <c r="AV381" s="3" t="str">
        <f>IFERROR(MID(VLOOKUP($B381,Seqs!$A:$B,2,0),AW381,1),"")</f>
        <v>N</v>
      </c>
      <c r="AW381" s="3">
        <v>315</v>
      </c>
      <c r="AX381" s="3" t="str">
        <f>IFERROR(MID(VLOOKUP($B381,Seqs!$A:$B,2,0),AY381,1),"")</f>
        <v>I</v>
      </c>
      <c r="AY381" s="3">
        <v>323</v>
      </c>
      <c r="AZ381" s="77" t="str">
        <f>VLOOKUP(B381,Classification!A:D,2,0)</f>
        <v>A</v>
      </c>
      <c r="BA381" s="94" t="str">
        <f>VLOOKUP(B381,Classification!A:D,4,0)</f>
        <v>Lysophospholipid(S1P)</v>
      </c>
      <c r="BB381" s="27" t="b">
        <f t="shared" si="2542"/>
        <v>1</v>
      </c>
      <c r="BC381" s="23">
        <f t="shared" si="2515"/>
        <v>232</v>
      </c>
      <c r="BD381" s="2" t="s">
        <v>1376</v>
      </c>
      <c r="BE381" s="3" t="s">
        <v>1374</v>
      </c>
      <c r="BF381" s="118">
        <v>2.8</v>
      </c>
      <c r="BG381" s="49" t="s">
        <v>1377</v>
      </c>
      <c r="BH381" s="49" t="s">
        <v>1377</v>
      </c>
      <c r="BI381" s="1"/>
      <c r="BJ381" s="70" t="s">
        <v>1287</v>
      </c>
      <c r="BK381" s="57" t="s">
        <v>1287</v>
      </c>
      <c r="BL381" s="57" t="s">
        <v>1287</v>
      </c>
      <c r="BM381" s="57" t="s">
        <v>1287</v>
      </c>
      <c r="BN381" s="57" t="s">
        <v>1287</v>
      </c>
      <c r="BO381" s="57" t="s">
        <v>1287</v>
      </c>
      <c r="BP381" s="57" t="s">
        <v>1287</v>
      </c>
      <c r="BQ381" s="57" t="s">
        <v>1287</v>
      </c>
      <c r="BR381" s="57" t="s">
        <v>1287</v>
      </c>
      <c r="BS381" s="57" t="s">
        <v>1287</v>
      </c>
      <c r="BT381" s="57" t="s">
        <v>1287</v>
      </c>
      <c r="BU381" s="57" t="s">
        <v>1287</v>
      </c>
      <c r="BV381" s="70">
        <f t="shared" si="2516"/>
        <v>42</v>
      </c>
      <c r="BW381" s="71">
        <f t="shared" si="2517"/>
        <v>74</v>
      </c>
      <c r="BX381" s="72">
        <f t="shared" si="2518"/>
        <v>78</v>
      </c>
      <c r="BY381" s="71">
        <f t="shared" si="2519"/>
        <v>106</v>
      </c>
      <c r="BZ381" s="72">
        <f t="shared" si="2520"/>
        <v>113</v>
      </c>
      <c r="CA381" s="71" t="str">
        <f t="shared" si="2521"/>
        <v>-</v>
      </c>
      <c r="CB381" s="72">
        <f t="shared" si="2522"/>
        <v>156</v>
      </c>
      <c r="CC381" s="71" t="str">
        <f t="shared" si="2523"/>
        <v>-</v>
      </c>
      <c r="CD381" s="72">
        <f t="shared" si="2524"/>
        <v>199</v>
      </c>
      <c r="CE381" s="71">
        <f t="shared" si="2525"/>
        <v>251</v>
      </c>
      <c r="CF381" s="72">
        <f t="shared" si="2526"/>
        <v>288</v>
      </c>
      <c r="CG381" s="71">
        <f t="shared" si="2527"/>
        <v>315</v>
      </c>
      <c r="CH381" s="70">
        <f t="shared" si="2528"/>
        <v>73</v>
      </c>
      <c r="CI381" s="71">
        <f t="shared" si="2529"/>
        <v>77</v>
      </c>
      <c r="CJ381" s="72">
        <f t="shared" si="2530"/>
        <v>104</v>
      </c>
      <c r="CK381" s="72">
        <f t="shared" si="2531"/>
        <v>112</v>
      </c>
      <c r="CL381" s="72">
        <f t="shared" si="2532"/>
        <v>145</v>
      </c>
      <c r="CM381" s="72" t="str">
        <f t="shared" si="2533"/>
        <v>-</v>
      </c>
      <c r="CN381" s="72">
        <f t="shared" si="2534"/>
        <v>181</v>
      </c>
      <c r="CO381" s="72" t="str">
        <f t="shared" si="2535"/>
        <v>-</v>
      </c>
      <c r="CP381" s="72">
        <f t="shared" si="2536"/>
        <v>231</v>
      </c>
      <c r="CQ381" s="72">
        <f t="shared" si="2537"/>
        <v>282</v>
      </c>
      <c r="CR381" s="72">
        <f t="shared" si="2538"/>
        <v>314</v>
      </c>
      <c r="CS381" s="72">
        <f t="shared" si="2539"/>
        <v>323</v>
      </c>
      <c r="CT381" s="23">
        <f t="shared" si="2540"/>
        <v>1</v>
      </c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</row>
    <row r="382" spans="1:1029" s="12" customFormat="1" x14ac:dyDescent="0.2">
      <c r="A382" s="9" t="str">
        <f t="shared" ref="A382:A383" si="3243">CONCATENATE(B382,"_",C382)</f>
        <v>sucr1_rat__wt</v>
      </c>
      <c r="B382" s="9" t="s">
        <v>1597</v>
      </c>
      <c r="C382" s="9" t="s">
        <v>100</v>
      </c>
      <c r="D382" s="9" t="str">
        <f>IFERROR(MID(VLOOKUP($B382,Seqs!$A:$B,2,0),E382,1),"")</f>
        <v>C</v>
      </c>
      <c r="E382" s="9">
        <v>7</v>
      </c>
      <c r="F382" s="9" t="str">
        <f>IFERROR(MID(VLOOKUP($B382,Seqs!$A:$B,2,0),G382,1),"")</f>
        <v>M</v>
      </c>
      <c r="G382" s="9">
        <v>48</v>
      </c>
      <c r="H382" s="9" t="str">
        <f>IFERROR(MID(VLOOKUP($B382,Seqs!$A:$B,2,0),I382,1),"")</f>
        <v/>
      </c>
      <c r="I382" s="109" t="s">
        <v>23</v>
      </c>
      <c r="J382" s="9" t="str">
        <f>IFERROR(MID(VLOOKUP($B382,Seqs!$A:$B,2,0),K382,1),"")</f>
        <v/>
      </c>
      <c r="K382" s="109" t="s">
        <v>23</v>
      </c>
      <c r="L382" s="9" t="str">
        <f>IFERROR(MID(VLOOKUP($B382,Seqs!$A:$B,2,0),M382,1),"")</f>
        <v>N</v>
      </c>
      <c r="M382" s="9">
        <v>52</v>
      </c>
      <c r="N382" s="9" t="str">
        <f>IFERROR(MID(VLOOKUP($B382,Seqs!$A:$B,2,0),O382,1),"")</f>
        <v>G</v>
      </c>
      <c r="O382" s="9">
        <v>82</v>
      </c>
      <c r="P382" s="9" t="str">
        <f>IFERROR(MID(VLOOKUP($B382,Seqs!$A:$B,2,0),Q382,1),"")</f>
        <v>N</v>
      </c>
      <c r="Q382" s="9">
        <v>83</v>
      </c>
      <c r="R382" s="9" t="str">
        <f>IFERROR(MID(VLOOKUP($B382,Seqs!$A:$B,2,0),S382,1),"")</f>
        <v>Y</v>
      </c>
      <c r="S382" s="9">
        <v>86</v>
      </c>
      <c r="T382" s="9" t="str">
        <f>IFERROR(MID(VLOOKUP($B382,Seqs!$A:$B,2,0),U382,1),"")</f>
        <v>G</v>
      </c>
      <c r="U382" s="9">
        <v>87</v>
      </c>
      <c r="V382" s="9" t="str">
        <f>IFERROR(MID(VLOOKUP($B382,Seqs!$A:$B,2,0),W382,1),"")</f>
        <v>F</v>
      </c>
      <c r="W382" s="9">
        <v>122</v>
      </c>
      <c r="X382" s="9" t="str">
        <f>IFERROR(MID(VLOOKUP($B382,Seqs!$A:$B,2,0),Y382,1),"")</f>
        <v>P</v>
      </c>
      <c r="Y382" s="9">
        <v>123</v>
      </c>
      <c r="Z382" s="9" t="str">
        <f>IFERROR(MID(VLOOKUP($B382,Seqs!$A:$B,2,0),AA382,1),"")</f>
        <v>Q</v>
      </c>
      <c r="AA382" s="9">
        <v>130</v>
      </c>
      <c r="AB382" s="9" t="str">
        <f>IFERROR(MID(VLOOKUP($B382,Seqs!$A:$B,2,0),AC382,1),"")</f>
        <v>K</v>
      </c>
      <c r="AC382" s="9">
        <v>131</v>
      </c>
      <c r="AD382" s="9" t="str">
        <f>IFERROR(MID(VLOOKUP($B382,Seqs!$A:$B,2,0),AE382,1),"")</f>
        <v>T</v>
      </c>
      <c r="AE382" s="9">
        <v>160</v>
      </c>
      <c r="AF382" s="9" t="str">
        <f>IFERROR(MID(VLOOKUP($B382,Seqs!$A:$B,2,0),AG382,1),"")</f>
        <v>C</v>
      </c>
      <c r="AG382" s="9">
        <v>168</v>
      </c>
      <c r="AH382" s="9" t="str">
        <f>IFERROR(MID(VLOOKUP($B382,Seqs!$A:$B,2,0),AI382,1),"")</f>
        <v>D</v>
      </c>
      <c r="AI382" s="9">
        <v>170</v>
      </c>
      <c r="AJ382" s="9" t="str">
        <f>IFERROR(MID(VLOOKUP($B382,Seqs!$A:$B,2,0),AK382,1),"")</f>
        <v>N</v>
      </c>
      <c r="AK382" s="9">
        <v>176</v>
      </c>
      <c r="AL382" s="9" t="str">
        <f>IFERROR(MID(VLOOKUP($B382,Seqs!$A:$B,2,0),AM382,1),"")</f>
        <v>R</v>
      </c>
      <c r="AM382" s="9">
        <v>213</v>
      </c>
      <c r="AN382" s="9" t="str">
        <f>IFERROR(MID(VLOOKUP($B382,Seqs!$A:$B,2,0),AO382,1),"")</f>
        <v>Q</v>
      </c>
      <c r="AO382" s="9">
        <v>217</v>
      </c>
      <c r="AP382" s="9" t="str">
        <f>IFERROR(MID(VLOOKUP($B382,Seqs!$A:$B,2,0),AQ382,1),"")</f>
        <v>L</v>
      </c>
      <c r="AQ382" s="9">
        <v>256</v>
      </c>
      <c r="AR382" s="9" t="str">
        <f>IFERROR(MID(VLOOKUP($B382,Seqs!$A:$B,2,0),AS382,1),"")</f>
        <v>C</v>
      </c>
      <c r="AS382" s="9">
        <v>263</v>
      </c>
      <c r="AT382" s="9" t="str">
        <f>IFERROR(MID(VLOOKUP($B382,Seqs!$A:$B,2,0),AU382,1),"")</f>
        <v>V</v>
      </c>
      <c r="AU382" s="9">
        <v>293</v>
      </c>
      <c r="AV382" s="9" t="str">
        <f>IFERROR(MID(VLOOKUP($B382,Seqs!$A:$B,2,0),AW382,1),"")</f>
        <v>G</v>
      </c>
      <c r="AW382" s="9">
        <v>294</v>
      </c>
      <c r="AX382" s="9" t="str">
        <f>IFERROR(MID(VLOOKUP($B382,Seqs!$A:$B,2,0),AY382,1),"")</f>
        <v>L</v>
      </c>
      <c r="AY382" s="9">
        <v>312</v>
      </c>
      <c r="AZ382" s="110" t="str">
        <f>VLOOKUP(B382,Classification!A:D,2,0)</f>
        <v>A</v>
      </c>
      <c r="BA382" s="98" t="str">
        <f>VLOOKUP(B382,Classification!A:D,4,0)</f>
        <v>Succinate</v>
      </c>
      <c r="BB382" s="36" t="b">
        <f t="shared" ref="BB382:BB383" si="3244">AND(E382&lt;G382,OR(G382&lt;I382,I382="-"),OR(I382&lt;K382,I382="-"),OR(K382&lt;M382,K382="-"),M382&lt;O382,OR(O382&lt;Q382,Q382="-"),OR(Q382&lt;S382,Q382="-"),OR(S382&lt;U382,S382="-"),U382&lt;W382,OR(W382&lt;Y382,Y382="-"),OR(Y382&lt;AA382,Y382="-"),OR(AA382&lt;AC382,AA382="-"),AC382&lt;AE382,OR(AE382&lt;AG382,AG382="-"),OR(AG382&lt;AI382,AG382="-"),OR(AI382&lt;AK382,AI382="-"),AK382&lt;AM382,AM382&lt;AO382,AO382&lt;AQ382,AQ382&lt;AS382,AS382&lt;AU382,OR(AU382&lt;AW382,AW382="-"),OR(AW382&lt;AY382,AW382="-"))</f>
        <v>1</v>
      </c>
      <c r="BC382" s="109">
        <f t="shared" ref="BC382:BC383" si="3245">_xlfn.AGGREGATE(9,6,CH382:CS382)-_xlfn.AGGREGATE(9,6,BV382:CG382)+12</f>
        <v>283</v>
      </c>
      <c r="BD382" s="40" t="s">
        <v>23</v>
      </c>
      <c r="BE382" s="9" t="s">
        <v>23</v>
      </c>
      <c r="BF382" s="119" t="s">
        <v>23</v>
      </c>
      <c r="BG382" s="51" t="s">
        <v>1377</v>
      </c>
      <c r="BH382" s="51" t="s">
        <v>1377</v>
      </c>
      <c r="BJ382" s="111" t="s">
        <v>1287</v>
      </c>
      <c r="BK382" s="112" t="s">
        <v>1287</v>
      </c>
      <c r="BL382" s="112" t="s">
        <v>1287</v>
      </c>
      <c r="BM382" s="112" t="s">
        <v>1287</v>
      </c>
      <c r="BN382" s="112" t="s">
        <v>1287</v>
      </c>
      <c r="BO382" s="112" t="s">
        <v>1287</v>
      </c>
      <c r="BP382" s="112" t="s">
        <v>1287</v>
      </c>
      <c r="BQ382" s="112" t="s">
        <v>1287</v>
      </c>
      <c r="BR382" s="112" t="s">
        <v>1287</v>
      </c>
      <c r="BS382" s="112" t="s">
        <v>1287</v>
      </c>
      <c r="BT382" s="112" t="s">
        <v>1287</v>
      </c>
      <c r="BU382" s="112" t="s">
        <v>1287</v>
      </c>
      <c r="BV382" s="111">
        <f t="shared" ref="BV382:BV383" si="3246">E382</f>
        <v>7</v>
      </c>
      <c r="BW382" s="113" t="str">
        <f t="shared" ref="BW382:BW383" si="3247">I382</f>
        <v>-</v>
      </c>
      <c r="BX382" s="114">
        <f t="shared" ref="BX382:BX383" si="3248">M382</f>
        <v>52</v>
      </c>
      <c r="BY382" s="113">
        <f t="shared" ref="BY382:BY383" si="3249">Q382</f>
        <v>83</v>
      </c>
      <c r="BZ382" s="114">
        <f t="shared" ref="BZ382:BZ383" si="3250">U382</f>
        <v>87</v>
      </c>
      <c r="CA382" s="113">
        <f t="shared" ref="CA382:CA383" si="3251">Y382</f>
        <v>123</v>
      </c>
      <c r="CB382" s="114">
        <f t="shared" ref="CB382:CB383" si="3252">AC382</f>
        <v>131</v>
      </c>
      <c r="CC382" s="113">
        <f t="shared" ref="CC382:CC383" si="3253">AG382</f>
        <v>168</v>
      </c>
      <c r="CD382" s="114">
        <f t="shared" ref="CD382:CD383" si="3254">AK382</f>
        <v>176</v>
      </c>
      <c r="CE382" s="113">
        <f t="shared" ref="CE382:CE383" si="3255">AO382</f>
        <v>217</v>
      </c>
      <c r="CF382" s="114">
        <f t="shared" ref="CF382:CF383" si="3256">AS382</f>
        <v>263</v>
      </c>
      <c r="CG382" s="113">
        <f t="shared" ref="CG382:CG383" si="3257">AW382</f>
        <v>294</v>
      </c>
      <c r="CH382" s="111">
        <f t="shared" ref="CH382:CH383" si="3258">G382</f>
        <v>48</v>
      </c>
      <c r="CI382" s="113" t="str">
        <f t="shared" ref="CI382:CI383" si="3259">K382</f>
        <v>-</v>
      </c>
      <c r="CJ382" s="114">
        <f t="shared" ref="CJ382:CJ383" si="3260">O382</f>
        <v>82</v>
      </c>
      <c r="CK382" s="114">
        <f t="shared" ref="CK382:CK383" si="3261">S382</f>
        <v>86</v>
      </c>
      <c r="CL382" s="114">
        <f t="shared" ref="CL382:CL383" si="3262">W382</f>
        <v>122</v>
      </c>
      <c r="CM382" s="114">
        <f t="shared" ref="CM382:CM383" si="3263">AA382</f>
        <v>130</v>
      </c>
      <c r="CN382" s="114">
        <f t="shared" ref="CN382:CN383" si="3264">AE382</f>
        <v>160</v>
      </c>
      <c r="CO382" s="114">
        <f t="shared" ref="CO382:CO383" si="3265">AI382</f>
        <v>170</v>
      </c>
      <c r="CP382" s="114">
        <f t="shared" ref="CP382:CP383" si="3266">AM382</f>
        <v>213</v>
      </c>
      <c r="CQ382" s="114">
        <f t="shared" ref="CQ382:CQ383" si="3267">AQ382</f>
        <v>256</v>
      </c>
      <c r="CR382" s="114">
        <f t="shared" ref="CR382:CR383" si="3268">AU382</f>
        <v>293</v>
      </c>
      <c r="CS382" s="114">
        <f t="shared" ref="CS382:CS383" si="3269">AY382</f>
        <v>312</v>
      </c>
      <c r="CT382" s="109" t="e">
        <f t="shared" ref="CT382:CT383" si="3270">M382-K382</f>
        <v>#VALUE!</v>
      </c>
    </row>
    <row r="383" spans="1:1029" s="12" customFormat="1" x14ac:dyDescent="0.2">
      <c r="A383" s="9" t="str">
        <f t="shared" si="3243"/>
        <v>sucr1_rat_6IBB</v>
      </c>
      <c r="B383" s="9" t="s">
        <v>1597</v>
      </c>
      <c r="C383" s="9" t="s">
        <v>1598</v>
      </c>
      <c r="D383" s="9" t="str">
        <f>IFERROR(MID(VLOOKUP($B383,Seqs!$A:$B,2,0),E383,1),"")</f>
        <v>C</v>
      </c>
      <c r="E383" s="9">
        <v>7</v>
      </c>
      <c r="F383" s="9" t="str">
        <f>IFERROR(MID(VLOOKUP($B383,Seqs!$A:$B,2,0),G383,1),"")</f>
        <v>M</v>
      </c>
      <c r="G383" s="9">
        <v>48</v>
      </c>
      <c r="H383" s="9" t="str">
        <f>IFERROR(MID(VLOOKUP($B383,Seqs!$A:$B,2,0),I383,1),"")</f>
        <v/>
      </c>
      <c r="I383" s="109" t="s">
        <v>23</v>
      </c>
      <c r="J383" s="9" t="str">
        <f>IFERROR(MID(VLOOKUP($B383,Seqs!$A:$B,2,0),K383,1),"")</f>
        <v/>
      </c>
      <c r="K383" s="109" t="s">
        <v>23</v>
      </c>
      <c r="L383" s="9" t="str">
        <f>IFERROR(MID(VLOOKUP($B383,Seqs!$A:$B,2,0),M383,1),"")</f>
        <v>N</v>
      </c>
      <c r="M383" s="9">
        <v>52</v>
      </c>
      <c r="N383" s="9" t="str">
        <f>IFERROR(MID(VLOOKUP($B383,Seqs!$A:$B,2,0),O383,1),"")</f>
        <v>T</v>
      </c>
      <c r="O383" s="9">
        <v>81</v>
      </c>
      <c r="P383" s="9" t="str">
        <f>IFERROR(MID(VLOOKUP($B383,Seqs!$A:$B,2,0),Q383,1),"")</f>
        <v>N</v>
      </c>
      <c r="Q383" s="9">
        <v>83</v>
      </c>
      <c r="R383" s="9" t="str">
        <f>IFERROR(MID(VLOOKUP($B383,Seqs!$A:$B,2,0),S383,1),"")</f>
        <v>Y</v>
      </c>
      <c r="S383" s="9">
        <v>86</v>
      </c>
      <c r="T383" s="9" t="str">
        <f>IFERROR(MID(VLOOKUP($B383,Seqs!$A:$B,2,0),U383,1),"")</f>
        <v>G</v>
      </c>
      <c r="U383" s="9">
        <v>87</v>
      </c>
      <c r="V383" s="9" t="str">
        <f>IFERROR(MID(VLOOKUP($B383,Seqs!$A:$B,2,0),W383,1),"")</f>
        <v>F</v>
      </c>
      <c r="W383" s="9">
        <v>122</v>
      </c>
      <c r="X383" s="9" t="str">
        <f>IFERROR(MID(VLOOKUP($B383,Seqs!$A:$B,2,0),Y383,1),"")</f>
        <v/>
      </c>
      <c r="Y383" s="9" t="s">
        <v>23</v>
      </c>
      <c r="Z383" s="9" t="str">
        <f>IFERROR(MID(VLOOKUP($B383,Seqs!$A:$B,2,0),AA383,1),"")</f>
        <v/>
      </c>
      <c r="AA383" s="9" t="s">
        <v>23</v>
      </c>
      <c r="AB383" s="9" t="str">
        <f>IFERROR(MID(VLOOKUP($B383,Seqs!$A:$B,2,0),AC383,1),"")</f>
        <v>K</v>
      </c>
      <c r="AC383" s="9">
        <v>131</v>
      </c>
      <c r="AD383" s="9" t="str">
        <f>IFERROR(MID(VLOOKUP($B383,Seqs!$A:$B,2,0),AE383,1),"")</f>
        <v>I</v>
      </c>
      <c r="AE383" s="9">
        <v>157</v>
      </c>
      <c r="AF383" s="9" t="str">
        <f>IFERROR(MID(VLOOKUP($B383,Seqs!$A:$B,2,0),AG383,1),"")</f>
        <v>C</v>
      </c>
      <c r="AG383" s="9">
        <v>168</v>
      </c>
      <c r="AH383" s="9" t="str">
        <f>IFERROR(MID(VLOOKUP($B383,Seqs!$A:$B,2,0),AI383,1),"")</f>
        <v>D</v>
      </c>
      <c r="AI383" s="9">
        <v>170</v>
      </c>
      <c r="AJ383" s="9" t="str">
        <f>IFERROR(MID(VLOOKUP($B383,Seqs!$A:$B,2,0),AK383,1),"")</f>
        <v>N</v>
      </c>
      <c r="AK383" s="9">
        <v>176</v>
      </c>
      <c r="AL383" s="9" t="str">
        <f>IFERROR(MID(VLOOKUP($B383,Seqs!$A:$B,2,0),AM383,1),"")</f>
        <v>R</v>
      </c>
      <c r="AM383" s="9">
        <v>213</v>
      </c>
      <c r="AN383" s="9" t="str">
        <f>IFERROR(MID(VLOOKUP($B383,Seqs!$A:$B,2,0),AO383,1),"")</f>
        <v>L</v>
      </c>
      <c r="AO383" s="9">
        <v>227</v>
      </c>
      <c r="AP383" s="9" t="str">
        <f>IFERROR(MID(VLOOKUP($B383,Seqs!$A:$B,2,0),AQ383,1),"")</f>
        <v>L</v>
      </c>
      <c r="AQ383" s="9">
        <v>256</v>
      </c>
      <c r="AR383" s="9" t="str">
        <f>IFERROR(MID(VLOOKUP($B383,Seqs!$A:$B,2,0),AS383,1),"")</f>
        <v>C</v>
      </c>
      <c r="AS383" s="9">
        <v>263</v>
      </c>
      <c r="AT383" s="9" t="str">
        <f>IFERROR(MID(VLOOKUP($B383,Seqs!$A:$B,2,0),AU383,1),"")</f>
        <v>Y</v>
      </c>
      <c r="AU383" s="9">
        <v>290</v>
      </c>
      <c r="AV383" s="9" t="str">
        <f>IFERROR(MID(VLOOKUP($B383,Seqs!$A:$B,2,0),AW383,1),"")</f>
        <v>H</v>
      </c>
      <c r="AW383" s="9">
        <v>296</v>
      </c>
      <c r="AX383" s="9" t="str">
        <f>IFERROR(MID(VLOOKUP($B383,Seqs!$A:$B,2,0),AY383,1),"")</f>
        <v>L</v>
      </c>
      <c r="AY383" s="9">
        <v>312</v>
      </c>
      <c r="AZ383" s="110" t="str">
        <f>VLOOKUP(B383,Classification!A:D,2,0)</f>
        <v>A</v>
      </c>
      <c r="BA383" s="98" t="str">
        <f>VLOOKUP(B383,Classification!A:D,4,0)</f>
        <v>Succinate</v>
      </c>
      <c r="BB383" s="36" t="b">
        <f t="shared" si="3244"/>
        <v>1</v>
      </c>
      <c r="BC383" s="109">
        <f t="shared" si="3245"/>
        <v>257</v>
      </c>
      <c r="BD383" s="40" t="s">
        <v>23</v>
      </c>
      <c r="BE383" s="9" t="s">
        <v>1291</v>
      </c>
      <c r="BF383" s="119">
        <v>2.12</v>
      </c>
      <c r="BG383" s="51" t="s">
        <v>1</v>
      </c>
      <c r="BH383" s="51" t="s">
        <v>1</v>
      </c>
      <c r="BJ383" s="111" t="s">
        <v>1287</v>
      </c>
      <c r="BK383" s="112" t="s">
        <v>1287</v>
      </c>
      <c r="BL383" s="112" t="s">
        <v>1287</v>
      </c>
      <c r="BM383" s="112" t="s">
        <v>1287</v>
      </c>
      <c r="BN383" s="112" t="s">
        <v>1287</v>
      </c>
      <c r="BO383" s="112" t="s">
        <v>1287</v>
      </c>
      <c r="BP383" s="112" t="s">
        <v>1287</v>
      </c>
      <c r="BQ383" s="112" t="s">
        <v>1287</v>
      </c>
      <c r="BR383" s="112" t="s">
        <v>1287</v>
      </c>
      <c r="BS383" s="112" t="s">
        <v>1287</v>
      </c>
      <c r="BT383" s="112" t="s">
        <v>1287</v>
      </c>
      <c r="BU383" s="112" t="s">
        <v>1287</v>
      </c>
      <c r="BV383" s="111">
        <f t="shared" si="3246"/>
        <v>7</v>
      </c>
      <c r="BW383" s="113" t="str">
        <f t="shared" si="3247"/>
        <v>-</v>
      </c>
      <c r="BX383" s="114">
        <f t="shared" si="3248"/>
        <v>52</v>
      </c>
      <c r="BY383" s="113">
        <f t="shared" si="3249"/>
        <v>83</v>
      </c>
      <c r="BZ383" s="114">
        <f t="shared" si="3250"/>
        <v>87</v>
      </c>
      <c r="CA383" s="113" t="str">
        <f t="shared" si="3251"/>
        <v>-</v>
      </c>
      <c r="CB383" s="114">
        <f t="shared" si="3252"/>
        <v>131</v>
      </c>
      <c r="CC383" s="113">
        <f t="shared" si="3253"/>
        <v>168</v>
      </c>
      <c r="CD383" s="114">
        <f t="shared" si="3254"/>
        <v>176</v>
      </c>
      <c r="CE383" s="113">
        <f t="shared" si="3255"/>
        <v>227</v>
      </c>
      <c r="CF383" s="114">
        <f t="shared" si="3256"/>
        <v>263</v>
      </c>
      <c r="CG383" s="113">
        <f t="shared" si="3257"/>
        <v>296</v>
      </c>
      <c r="CH383" s="111">
        <f t="shared" si="3258"/>
        <v>48</v>
      </c>
      <c r="CI383" s="113" t="str">
        <f t="shared" si="3259"/>
        <v>-</v>
      </c>
      <c r="CJ383" s="114">
        <f t="shared" si="3260"/>
        <v>81</v>
      </c>
      <c r="CK383" s="114">
        <f t="shared" si="3261"/>
        <v>86</v>
      </c>
      <c r="CL383" s="114">
        <f t="shared" si="3262"/>
        <v>122</v>
      </c>
      <c r="CM383" s="114" t="str">
        <f t="shared" si="3263"/>
        <v>-</v>
      </c>
      <c r="CN383" s="114">
        <f t="shared" si="3264"/>
        <v>157</v>
      </c>
      <c r="CO383" s="114">
        <f t="shared" si="3265"/>
        <v>170</v>
      </c>
      <c r="CP383" s="114">
        <f t="shared" si="3266"/>
        <v>213</v>
      </c>
      <c r="CQ383" s="114">
        <f t="shared" si="3267"/>
        <v>256</v>
      </c>
      <c r="CR383" s="114">
        <f t="shared" si="3268"/>
        <v>290</v>
      </c>
      <c r="CS383" s="114">
        <f t="shared" si="3269"/>
        <v>312</v>
      </c>
      <c r="CT383" s="109" t="e">
        <f t="shared" si="3270"/>
        <v>#VALUE!</v>
      </c>
    </row>
    <row r="384" spans="1:1029" s="12" customFormat="1" x14ac:dyDescent="0.2">
      <c r="A384" s="9" t="str">
        <f t="shared" ref="A384" si="3271">CONCATENATE(B384,"_",C384)</f>
        <v>sucr1_rat_6RNK</v>
      </c>
      <c r="B384" s="9" t="s">
        <v>1597</v>
      </c>
      <c r="C384" s="9" t="s">
        <v>1600</v>
      </c>
      <c r="D384" s="9" t="str">
        <f>IFERROR(MID(VLOOKUP($B384,Seqs!$A:$B,2,0),E384,1),"")</f>
        <v>C</v>
      </c>
      <c r="E384" s="9">
        <v>7</v>
      </c>
      <c r="F384" s="9" t="str">
        <f>IFERROR(MID(VLOOKUP($B384,Seqs!$A:$B,2,0),G384,1),"")</f>
        <v>M</v>
      </c>
      <c r="G384" s="9">
        <v>48</v>
      </c>
      <c r="H384" s="9" t="str">
        <f>IFERROR(MID(VLOOKUP($B384,Seqs!$A:$B,2,0),I384,1),"")</f>
        <v/>
      </c>
      <c r="I384" s="109" t="s">
        <v>23</v>
      </c>
      <c r="J384" s="9" t="str">
        <f>IFERROR(MID(VLOOKUP($B384,Seqs!$A:$B,2,0),K384,1),"")</f>
        <v/>
      </c>
      <c r="K384" s="109" t="s">
        <v>23</v>
      </c>
      <c r="L384" s="9" t="str">
        <f>IFERROR(MID(VLOOKUP($B384,Seqs!$A:$B,2,0),M384,1),"")</f>
        <v>N</v>
      </c>
      <c r="M384" s="9">
        <v>52</v>
      </c>
      <c r="N384" s="9" t="str">
        <f>IFERROR(MID(VLOOKUP($B384,Seqs!$A:$B,2,0),O384,1),"")</f>
        <v>G</v>
      </c>
      <c r="O384" s="9">
        <v>82</v>
      </c>
      <c r="P384" s="9" t="str">
        <f>IFERROR(MID(VLOOKUP($B384,Seqs!$A:$B,2,0),Q384,1),"")</f>
        <v>N</v>
      </c>
      <c r="Q384" s="9">
        <v>83</v>
      </c>
      <c r="R384" s="9" t="str">
        <f>IFERROR(MID(VLOOKUP($B384,Seqs!$A:$B,2,0),S384,1),"")</f>
        <v>Y</v>
      </c>
      <c r="S384" s="9">
        <v>86</v>
      </c>
      <c r="T384" s="9" t="str">
        <f>IFERROR(MID(VLOOKUP($B384,Seqs!$A:$B,2,0),U384,1),"")</f>
        <v>G</v>
      </c>
      <c r="U384" s="9">
        <v>87</v>
      </c>
      <c r="V384" s="9" t="str">
        <f>IFERROR(MID(VLOOKUP($B384,Seqs!$A:$B,2,0),W384,1),"")</f>
        <v>F</v>
      </c>
      <c r="W384" s="9">
        <v>122</v>
      </c>
      <c r="X384" s="9" t="str">
        <f>IFERROR(MID(VLOOKUP($B384,Seqs!$A:$B,2,0),Y384,1),"")</f>
        <v/>
      </c>
      <c r="Y384" s="9" t="s">
        <v>23</v>
      </c>
      <c r="Z384" s="9" t="str">
        <f>IFERROR(MID(VLOOKUP($B384,Seqs!$A:$B,2,0),AA384,1),"")</f>
        <v/>
      </c>
      <c r="AA384" s="9" t="s">
        <v>23</v>
      </c>
      <c r="AB384" s="9" t="str">
        <f>IFERROR(MID(VLOOKUP($B384,Seqs!$A:$B,2,0),AC384,1),"")</f>
        <v>K</v>
      </c>
      <c r="AC384" s="9">
        <v>131</v>
      </c>
      <c r="AD384" s="9" t="str">
        <f>IFERROR(MID(VLOOKUP($B384,Seqs!$A:$B,2,0),AE384,1),"")</f>
        <v>T</v>
      </c>
      <c r="AE384" s="9">
        <v>160</v>
      </c>
      <c r="AF384" s="9" t="str">
        <f>IFERROR(MID(VLOOKUP($B384,Seqs!$A:$B,2,0),AG384,1),"")</f>
        <v>C</v>
      </c>
      <c r="AG384" s="9">
        <v>168</v>
      </c>
      <c r="AH384" s="9" t="str">
        <f>IFERROR(MID(VLOOKUP($B384,Seqs!$A:$B,2,0),AI384,1),"")</f>
        <v>D</v>
      </c>
      <c r="AI384" s="9">
        <v>170</v>
      </c>
      <c r="AJ384" s="9" t="str">
        <f>IFERROR(MID(VLOOKUP($B384,Seqs!$A:$B,2,0),AK384,1),"")</f>
        <v>N</v>
      </c>
      <c r="AK384" s="9">
        <v>176</v>
      </c>
      <c r="AL384" s="9" t="str">
        <f>IFERROR(MID(VLOOKUP($B384,Seqs!$A:$B,2,0),AM384,1),"")</f>
        <v>S</v>
      </c>
      <c r="AM384" s="9">
        <v>214</v>
      </c>
      <c r="AN384" s="9" t="str">
        <f>IFERROR(MID(VLOOKUP($B384,Seqs!$A:$B,2,0),AO384,1),"")</f>
        <v>N</v>
      </c>
      <c r="AO384" s="9">
        <v>224</v>
      </c>
      <c r="AP384" s="9" t="str">
        <f>IFERROR(MID(VLOOKUP($B384,Seqs!$A:$B,2,0),AQ384,1),"")</f>
        <v>L</v>
      </c>
      <c r="AQ384" s="9">
        <v>256</v>
      </c>
      <c r="AR384" s="9" t="str">
        <f>IFERROR(MID(VLOOKUP($B384,Seqs!$A:$B,2,0),AS384,1),"")</f>
        <v>G</v>
      </c>
      <c r="AS384" s="9">
        <v>262</v>
      </c>
      <c r="AT384" s="9" t="str">
        <f>IFERROR(MID(VLOOKUP($B384,Seqs!$A:$B,2,0),AU384,1),"")</f>
        <v>Y</v>
      </c>
      <c r="AU384" s="9">
        <v>290</v>
      </c>
      <c r="AV384" s="9" t="str">
        <f>IFERROR(MID(VLOOKUP($B384,Seqs!$A:$B,2,0),AW384,1),"")</f>
        <v>H</v>
      </c>
      <c r="AW384" s="9">
        <v>296</v>
      </c>
      <c r="AX384" s="9" t="str">
        <f>IFERROR(MID(VLOOKUP($B384,Seqs!$A:$B,2,0),AY384,1),"")</f>
        <v>L</v>
      </c>
      <c r="AY384" s="9">
        <v>305</v>
      </c>
      <c r="AZ384" s="110" t="str">
        <f>VLOOKUP(B384,Classification!A:D,2,0)</f>
        <v>A</v>
      </c>
      <c r="BA384" s="98" t="str">
        <f>VLOOKUP(B384,Classification!A:D,4,0)</f>
        <v>Succinate</v>
      </c>
      <c r="BB384" s="36" t="b">
        <f t="shared" ref="BB384" si="3272">AND(E384&lt;G384,OR(G384&lt;I384,I384="-"),OR(I384&lt;K384,I384="-"),OR(K384&lt;M384,K384="-"),M384&lt;O384,OR(O384&lt;Q384,Q384="-"),OR(Q384&lt;S384,Q384="-"),OR(S384&lt;U384,S384="-"),U384&lt;W384,OR(W384&lt;Y384,Y384="-"),OR(Y384&lt;AA384,Y384="-"),OR(AA384&lt;AC384,AA384="-"),AC384&lt;AE384,OR(AE384&lt;AG384,AG384="-"),OR(AG384&lt;AI384,AG384="-"),OR(AI384&lt;AK384,AI384="-"),AK384&lt;AM384,AM384&lt;AO384,AO384&lt;AQ384,AQ384&lt;AS384,AS384&lt;AU384,OR(AU384&lt;AW384,AW384="-"),OR(AW384&lt;AY384,AW384="-"))</f>
        <v>1</v>
      </c>
      <c r="BC384" s="109">
        <f t="shared" ref="BC384" si="3273">_xlfn.AGGREGATE(9,6,CH384:CS384)-_xlfn.AGGREGATE(9,6,BV384:CG384)+12</f>
        <v>259</v>
      </c>
      <c r="BD384" s="40" t="s">
        <v>1375</v>
      </c>
      <c r="BE384" s="9" t="s">
        <v>1291</v>
      </c>
      <c r="BF384" s="119">
        <v>1.94</v>
      </c>
      <c r="BG384" s="51" t="s">
        <v>1</v>
      </c>
      <c r="BH384" s="51" t="s">
        <v>1</v>
      </c>
      <c r="BJ384" s="111" t="s">
        <v>1287</v>
      </c>
      <c r="BK384" s="112" t="s">
        <v>1287</v>
      </c>
      <c r="BL384" s="112" t="s">
        <v>1287</v>
      </c>
      <c r="BM384" s="112" t="s">
        <v>1287</v>
      </c>
      <c r="BN384" s="112" t="s">
        <v>1287</v>
      </c>
      <c r="BO384" s="112" t="s">
        <v>1287</v>
      </c>
      <c r="BP384" s="112" t="s">
        <v>1287</v>
      </c>
      <c r="BQ384" s="112" t="s">
        <v>1287</v>
      </c>
      <c r="BR384" s="112" t="s">
        <v>1287</v>
      </c>
      <c r="BS384" s="112" t="s">
        <v>1287</v>
      </c>
      <c r="BT384" s="112" t="s">
        <v>1287</v>
      </c>
      <c r="BU384" s="112" t="s">
        <v>1287</v>
      </c>
      <c r="BV384" s="111">
        <f t="shared" ref="BV384" si="3274">E384</f>
        <v>7</v>
      </c>
      <c r="BW384" s="113" t="str">
        <f t="shared" ref="BW384" si="3275">I384</f>
        <v>-</v>
      </c>
      <c r="BX384" s="114">
        <f t="shared" ref="BX384" si="3276">M384</f>
        <v>52</v>
      </c>
      <c r="BY384" s="113">
        <f t="shared" ref="BY384" si="3277">Q384</f>
        <v>83</v>
      </c>
      <c r="BZ384" s="114">
        <f t="shared" ref="BZ384" si="3278">U384</f>
        <v>87</v>
      </c>
      <c r="CA384" s="113" t="str">
        <f t="shared" ref="CA384" si="3279">Y384</f>
        <v>-</v>
      </c>
      <c r="CB384" s="114">
        <f t="shared" ref="CB384" si="3280">AC384</f>
        <v>131</v>
      </c>
      <c r="CC384" s="113">
        <f t="shared" ref="CC384" si="3281">AG384</f>
        <v>168</v>
      </c>
      <c r="CD384" s="114">
        <f t="shared" ref="CD384" si="3282">AK384</f>
        <v>176</v>
      </c>
      <c r="CE384" s="113">
        <f t="shared" ref="CE384" si="3283">AO384</f>
        <v>224</v>
      </c>
      <c r="CF384" s="114">
        <f t="shared" ref="CF384" si="3284">AS384</f>
        <v>262</v>
      </c>
      <c r="CG384" s="113">
        <f t="shared" ref="CG384" si="3285">AW384</f>
        <v>296</v>
      </c>
      <c r="CH384" s="111">
        <f t="shared" ref="CH384" si="3286">G384</f>
        <v>48</v>
      </c>
      <c r="CI384" s="113" t="str">
        <f t="shared" ref="CI384" si="3287">K384</f>
        <v>-</v>
      </c>
      <c r="CJ384" s="114">
        <f t="shared" ref="CJ384" si="3288">O384</f>
        <v>82</v>
      </c>
      <c r="CK384" s="114">
        <f t="shared" ref="CK384" si="3289">S384</f>
        <v>86</v>
      </c>
      <c r="CL384" s="114">
        <f t="shared" ref="CL384" si="3290">W384</f>
        <v>122</v>
      </c>
      <c r="CM384" s="114" t="str">
        <f t="shared" ref="CM384" si="3291">AA384</f>
        <v>-</v>
      </c>
      <c r="CN384" s="114">
        <f t="shared" ref="CN384" si="3292">AE384</f>
        <v>160</v>
      </c>
      <c r="CO384" s="114">
        <f t="shared" ref="CO384" si="3293">AI384</f>
        <v>170</v>
      </c>
      <c r="CP384" s="114">
        <f t="shared" ref="CP384" si="3294">AM384</f>
        <v>214</v>
      </c>
      <c r="CQ384" s="114">
        <f t="shared" ref="CQ384" si="3295">AQ384</f>
        <v>256</v>
      </c>
      <c r="CR384" s="114">
        <f t="shared" ref="CR384" si="3296">AU384</f>
        <v>290</v>
      </c>
      <c r="CS384" s="114">
        <f t="shared" ref="CS384" si="3297">AY384</f>
        <v>305</v>
      </c>
      <c r="CT384" s="109" t="e">
        <f t="shared" ref="CT384" si="3298">M384-K384</f>
        <v>#VALUE!</v>
      </c>
    </row>
    <row r="385" spans="1:1030" x14ac:dyDescent="0.2">
      <c r="A385" s="3" t="str">
        <f t="shared" si="2541"/>
        <v>us28_hcmva__wt</v>
      </c>
      <c r="B385" s="3" t="s">
        <v>923</v>
      </c>
      <c r="C385" s="3" t="s">
        <v>100</v>
      </c>
      <c r="D385" s="3" t="str">
        <f>IFERROR(MID(VLOOKUP($B385,Seqs!$A:$B,2,0),E385,1),"")</f>
        <v>F</v>
      </c>
      <c r="E385" s="105">
        <v>25</v>
      </c>
      <c r="F385" s="3" t="str">
        <f>IFERROR(MID(VLOOKUP($B385,Seqs!$A:$B,2,0),G385,1),"")</f>
        <v>R</v>
      </c>
      <c r="G385" s="3">
        <v>61</v>
      </c>
      <c r="H385" s="3" t="str">
        <f>IFERROR(MID(VLOOKUP($B385,Seqs!$A:$B,2,0),I385,1),"")</f>
        <v>R</v>
      </c>
      <c r="I385" s="23">
        <v>62</v>
      </c>
      <c r="J385" s="3" t="str">
        <f>IFERROR(MID(VLOOKUP($B385,Seqs!$A:$B,2,0),K385,1),"")</f>
        <v>Q</v>
      </c>
      <c r="K385" s="23">
        <v>65</v>
      </c>
      <c r="L385" s="3" t="str">
        <f>IFERROR(MID(VLOOKUP($B385,Seqs!$A:$B,2,0),M385,1),"")</f>
        <v>C</v>
      </c>
      <c r="M385" s="3">
        <v>66</v>
      </c>
      <c r="N385" s="3" t="str">
        <f>IFERROR(MID(VLOOKUP($B385,Seqs!$A:$B,2,0),O385,1),"")</f>
        <v>D</v>
      </c>
      <c r="O385" s="3">
        <v>95</v>
      </c>
      <c r="P385" s="3" t="str">
        <f>IFERROR(MID(VLOOKUP($B385,Seqs!$A:$B,2,0),Q385,1),"")</f>
        <v/>
      </c>
      <c r="Q385" s="3" t="s">
        <v>23</v>
      </c>
      <c r="R385" s="3" t="str">
        <f>IFERROR(MID(VLOOKUP($B385,Seqs!$A:$B,2,0),S385,1),"")</f>
        <v/>
      </c>
      <c r="S385" s="3" t="s">
        <v>23</v>
      </c>
      <c r="T385" s="3" t="str">
        <f>IFERROR(MID(VLOOKUP($B385,Seqs!$A:$B,2,0),U385,1),"")</f>
        <v>A</v>
      </c>
      <c r="U385" s="105">
        <v>100</v>
      </c>
      <c r="V385" s="3" t="str">
        <f>IFERROR(MID(VLOOKUP($B385,Seqs!$A:$B,2,0),W385,1),"")</f>
        <v>V</v>
      </c>
      <c r="W385" s="105">
        <v>134</v>
      </c>
      <c r="X385" s="3" t="str">
        <f>IFERROR(MID(VLOOKUP($B385,Seqs!$A:$B,2,0),Y385,1),"")</f>
        <v/>
      </c>
      <c r="Y385" s="3" t="s">
        <v>23</v>
      </c>
      <c r="Z385" s="3" t="str">
        <f>IFERROR(MID(VLOOKUP($B385,Seqs!$A:$B,2,0),AA385,1),"")</f>
        <v/>
      </c>
      <c r="AA385" s="3" t="s">
        <v>23</v>
      </c>
      <c r="AB385" s="3" t="str">
        <f>IFERROR(MID(VLOOKUP($B385,Seqs!$A:$B,2,0),AC385,1),"")</f>
        <v>P</v>
      </c>
      <c r="AC385" s="9">
        <v>140</v>
      </c>
      <c r="AD385" s="3" t="str">
        <f>IFERROR(MID(VLOOKUP($B385,Seqs!$A:$B,2,0),AE385,1),"")</f>
        <v>M</v>
      </c>
      <c r="AE385" s="105">
        <v>164</v>
      </c>
      <c r="AF385" s="3" t="str">
        <f>IFERROR(MID(VLOOKUP($B385,Seqs!$A:$B,2,0),AG385,1),"")</f>
        <v>C</v>
      </c>
      <c r="AG385" s="3">
        <v>173</v>
      </c>
      <c r="AH385" s="3" t="str">
        <f>IFERROR(MID(VLOOKUP($B385,Seqs!$A:$B,2,0),AI385,1),"")</f>
        <v>T</v>
      </c>
      <c r="AI385" s="3">
        <v>175</v>
      </c>
      <c r="AJ385" s="3" t="str">
        <f>IFERROR(MID(VLOOKUP($B385,Seqs!$A:$B,2,0),AK385,1),"")</f>
        <v>S</v>
      </c>
      <c r="AK385" s="105">
        <v>183</v>
      </c>
      <c r="AL385" s="3" t="str">
        <f>IFERROR(MID(VLOOKUP($B385,Seqs!$A:$B,2,0),AM385,1),"")</f>
        <v>S</v>
      </c>
      <c r="AM385" s="3">
        <v>218</v>
      </c>
      <c r="AN385" s="3" t="str">
        <f>IFERROR(MID(VLOOKUP($B385,Seqs!$A:$B,2,0),AO385,1),"")</f>
        <v>H</v>
      </c>
      <c r="AO385" s="3">
        <v>222</v>
      </c>
      <c r="AP385" s="3" t="str">
        <f>IFERROR(MID(VLOOKUP($B385,Seqs!$A:$B,2,0),AQ385,1),"")</f>
        <v>K</v>
      </c>
      <c r="AQ385" s="3">
        <v>257</v>
      </c>
      <c r="AR385" s="3" t="str">
        <f>IFERROR(MID(VLOOKUP($B385,Seqs!$A:$B,2,0),AS385,1),"")</f>
        <v>S</v>
      </c>
      <c r="AS385" s="3">
        <v>262</v>
      </c>
      <c r="AT385" s="3" t="str">
        <f>IFERROR(MID(VLOOKUP($B385,Seqs!$A:$B,2,0),AU385,1),"")</f>
        <v>V</v>
      </c>
      <c r="AU385" s="3">
        <v>294</v>
      </c>
      <c r="AV385" s="3" t="str">
        <f>IFERROR(MID(VLOOKUP($B385,Seqs!$A:$B,2,0),AW385,1),"")</f>
        <v>G</v>
      </c>
      <c r="AW385" s="3">
        <v>295</v>
      </c>
      <c r="AX385" s="3" t="str">
        <f>IFERROR(MID(VLOOKUP($B385,Seqs!$A:$B,2,0),AY385,1),"")</f>
        <v>R</v>
      </c>
      <c r="AY385" s="3">
        <v>310</v>
      </c>
      <c r="AZ385" s="77" t="str">
        <f>VLOOKUP(B385,Classification!A:D,2,0)</f>
        <v>A</v>
      </c>
      <c r="BA385" s="94" t="str">
        <f>VLOOKUP(B385,Classification!A:D,4,0)</f>
        <v>Chemokine</v>
      </c>
      <c r="BB385" s="27" t="b">
        <f t="shared" si="2542"/>
        <v>1</v>
      </c>
      <c r="BC385" s="23">
        <f t="shared" si="2515"/>
        <v>257</v>
      </c>
      <c r="BD385" s="56" t="s">
        <v>23</v>
      </c>
      <c r="BE385" s="3" t="s">
        <v>23</v>
      </c>
      <c r="BF385" s="118" t="s">
        <v>23</v>
      </c>
      <c r="BG385" s="49" t="s">
        <v>1372</v>
      </c>
      <c r="BH385" s="49" t="s">
        <v>1377</v>
      </c>
      <c r="BI385" s="1"/>
      <c r="BJ385" s="70" t="s">
        <v>1287</v>
      </c>
      <c r="BK385" s="57" t="s">
        <v>1287</v>
      </c>
      <c r="BL385" s="57" t="s">
        <v>1287</v>
      </c>
      <c r="BM385" s="57" t="s">
        <v>1287</v>
      </c>
      <c r="BN385" s="57" t="s">
        <v>1287</v>
      </c>
      <c r="BO385" s="57" t="s">
        <v>1287</v>
      </c>
      <c r="BP385" s="57" t="s">
        <v>1287</v>
      </c>
      <c r="BQ385" s="57" t="s">
        <v>1287</v>
      </c>
      <c r="BR385" s="57" t="s">
        <v>1287</v>
      </c>
      <c r="BS385" s="57" t="s">
        <v>1287</v>
      </c>
      <c r="BT385" s="57" t="s">
        <v>1287</v>
      </c>
      <c r="BU385" s="57" t="s">
        <v>1287</v>
      </c>
      <c r="BV385" s="70">
        <f t="shared" si="2516"/>
        <v>25</v>
      </c>
      <c r="BW385" s="71">
        <f t="shared" si="2517"/>
        <v>62</v>
      </c>
      <c r="BX385" s="72">
        <f t="shared" si="2518"/>
        <v>66</v>
      </c>
      <c r="BY385" s="71" t="str">
        <f t="shared" si="2519"/>
        <v>-</v>
      </c>
      <c r="BZ385" s="72">
        <f t="shared" si="2520"/>
        <v>100</v>
      </c>
      <c r="CA385" s="71" t="str">
        <f t="shared" si="2521"/>
        <v>-</v>
      </c>
      <c r="CB385" s="72">
        <f t="shared" si="2522"/>
        <v>140</v>
      </c>
      <c r="CC385" s="71">
        <f t="shared" si="2523"/>
        <v>173</v>
      </c>
      <c r="CD385" s="72">
        <f t="shared" si="2524"/>
        <v>183</v>
      </c>
      <c r="CE385" s="71">
        <f t="shared" si="2525"/>
        <v>222</v>
      </c>
      <c r="CF385" s="72">
        <f t="shared" si="2526"/>
        <v>262</v>
      </c>
      <c r="CG385" s="71">
        <f t="shared" si="2527"/>
        <v>295</v>
      </c>
      <c r="CH385" s="70">
        <f t="shared" si="2528"/>
        <v>61</v>
      </c>
      <c r="CI385" s="71">
        <f t="shared" si="2529"/>
        <v>65</v>
      </c>
      <c r="CJ385" s="72">
        <f t="shared" si="2530"/>
        <v>95</v>
      </c>
      <c r="CK385" s="72" t="str">
        <f t="shared" si="2531"/>
        <v>-</v>
      </c>
      <c r="CL385" s="72">
        <f t="shared" si="2532"/>
        <v>134</v>
      </c>
      <c r="CM385" s="72" t="str">
        <f t="shared" si="2533"/>
        <v>-</v>
      </c>
      <c r="CN385" s="72">
        <f t="shared" si="2534"/>
        <v>164</v>
      </c>
      <c r="CO385" s="72">
        <f t="shared" si="2535"/>
        <v>175</v>
      </c>
      <c r="CP385" s="72">
        <f t="shared" si="2536"/>
        <v>218</v>
      </c>
      <c r="CQ385" s="72">
        <f t="shared" si="2537"/>
        <v>257</v>
      </c>
      <c r="CR385" s="72">
        <f t="shared" si="2538"/>
        <v>294</v>
      </c>
      <c r="CS385" s="72">
        <f t="shared" si="2539"/>
        <v>310</v>
      </c>
      <c r="CT385" s="23">
        <f t="shared" si="2540"/>
        <v>1</v>
      </c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</row>
    <row r="386" spans="1:1030" x14ac:dyDescent="0.2">
      <c r="A386" s="3" t="str">
        <f t="shared" si="2541"/>
        <v>us28_hcmva_4XT1</v>
      </c>
      <c r="B386" s="3" t="s">
        <v>923</v>
      </c>
      <c r="C386" s="3" t="s">
        <v>1123</v>
      </c>
      <c r="D386" s="3" t="str">
        <f>IFERROR(MID(VLOOKUP($B386,Seqs!$A:$B,2,0),E386,1),"")</f>
        <v>F</v>
      </c>
      <c r="E386" s="105">
        <v>25</v>
      </c>
      <c r="F386" s="3" t="str">
        <f>IFERROR(MID(VLOOKUP($B386,Seqs!$A:$B,2,0),G386,1),"")</f>
        <v>R</v>
      </c>
      <c r="G386" s="3">
        <v>61</v>
      </c>
      <c r="H386" s="3" t="str">
        <f>IFERROR(MID(VLOOKUP($B386,Seqs!$A:$B,2,0),I386,1),"")</f>
        <v/>
      </c>
      <c r="I386" s="23" t="s">
        <v>23</v>
      </c>
      <c r="J386" s="3" t="str">
        <f>IFERROR(MID(VLOOKUP($B386,Seqs!$A:$B,2,0),K386,1),"")</f>
        <v/>
      </c>
      <c r="K386" s="23" t="s">
        <v>23</v>
      </c>
      <c r="L386" s="3" t="str">
        <f>IFERROR(MID(VLOOKUP($B386,Seqs!$A:$B,2,0),M386,1),"")</f>
        <v>C</v>
      </c>
      <c r="M386" s="3">
        <v>66</v>
      </c>
      <c r="N386" s="3" t="str">
        <f>IFERROR(MID(VLOOKUP($B386,Seqs!$A:$B,2,0),O386,1),"")</f>
        <v>D</v>
      </c>
      <c r="O386" s="3">
        <v>95</v>
      </c>
      <c r="P386" s="3" t="str">
        <f>IFERROR(MID(VLOOKUP($B386,Seqs!$A:$B,2,0),Q386,1),"")</f>
        <v/>
      </c>
      <c r="Q386" s="3" t="s">
        <v>23</v>
      </c>
      <c r="R386" s="3" t="str">
        <f>IFERROR(MID(VLOOKUP($B386,Seqs!$A:$B,2,0),S386,1),"")</f>
        <v/>
      </c>
      <c r="S386" s="3" t="s">
        <v>23</v>
      </c>
      <c r="T386" s="3" t="str">
        <f>IFERROR(MID(VLOOKUP($B386,Seqs!$A:$B,2,0),U386,1),"")</f>
        <v>P</v>
      </c>
      <c r="U386" s="3">
        <v>103</v>
      </c>
      <c r="V386" s="3" t="str">
        <f>IFERROR(MID(VLOOKUP($B386,Seqs!$A:$B,2,0),W386,1),"")</f>
        <v>V</v>
      </c>
      <c r="W386" s="105">
        <v>134</v>
      </c>
      <c r="X386" s="3" t="str">
        <f>IFERROR(MID(VLOOKUP($B386,Seqs!$A:$B,2,0),Y386,1),"")</f>
        <v/>
      </c>
      <c r="Y386" s="3" t="s">
        <v>23</v>
      </c>
      <c r="Z386" s="3" t="str">
        <f>IFERROR(MID(VLOOKUP($B386,Seqs!$A:$B,2,0),AA386,1),"")</f>
        <v/>
      </c>
      <c r="AA386" s="3" t="s">
        <v>23</v>
      </c>
      <c r="AB386" s="3" t="str">
        <f>IFERROR(MID(VLOOKUP($B386,Seqs!$A:$B,2,0),AC386,1),"")</f>
        <v>P</v>
      </c>
      <c r="AC386" s="9">
        <v>140</v>
      </c>
      <c r="AD386" s="3" t="str">
        <f>IFERROR(MID(VLOOKUP($B386,Seqs!$A:$B,2,0),AE386,1),"")</f>
        <v>M</v>
      </c>
      <c r="AE386" s="105">
        <v>164</v>
      </c>
      <c r="AF386" s="3" t="str">
        <f>IFERROR(MID(VLOOKUP($B386,Seqs!$A:$B,2,0),AG386,1),"")</f>
        <v>C</v>
      </c>
      <c r="AG386" s="3">
        <v>173</v>
      </c>
      <c r="AH386" s="3" t="str">
        <f>IFERROR(MID(VLOOKUP($B386,Seqs!$A:$B,2,0),AI386,1),"")</f>
        <v>T</v>
      </c>
      <c r="AI386" s="3">
        <v>175</v>
      </c>
      <c r="AJ386" s="3" t="str">
        <f>IFERROR(MID(VLOOKUP($B386,Seqs!$A:$B,2,0),AK386,1),"")</f>
        <v>S</v>
      </c>
      <c r="AK386" s="105">
        <v>183</v>
      </c>
      <c r="AL386" s="3" t="str">
        <f>IFERROR(MID(VLOOKUP($B386,Seqs!$A:$B,2,0),AM386,1),"")</f>
        <v>S</v>
      </c>
      <c r="AM386" s="3">
        <v>218</v>
      </c>
      <c r="AN386" s="3" t="str">
        <f>IFERROR(MID(VLOOKUP($B386,Seqs!$A:$B,2,0),AO386,1),"")</f>
        <v>H</v>
      </c>
      <c r="AO386" s="3">
        <v>222</v>
      </c>
      <c r="AP386" s="3" t="str">
        <f>IFERROR(MID(VLOOKUP($B386,Seqs!$A:$B,2,0),AQ386,1),"")</f>
        <v>K</v>
      </c>
      <c r="AQ386" s="3">
        <v>257</v>
      </c>
      <c r="AR386" s="3" t="str">
        <f>IFERROR(MID(VLOOKUP($B386,Seqs!$A:$B,2,0),AS386,1),"")</f>
        <v>C</v>
      </c>
      <c r="AS386" s="3">
        <v>263</v>
      </c>
      <c r="AT386" s="3" t="str">
        <f>IFERROR(MID(VLOOKUP($B386,Seqs!$A:$B,2,0),AU386,1),"")</f>
        <v>V</v>
      </c>
      <c r="AU386" s="3">
        <v>294</v>
      </c>
      <c r="AV386" s="3" t="str">
        <f>IFERROR(MID(VLOOKUP($B386,Seqs!$A:$B,2,0),AW386,1),"")</f>
        <v>G</v>
      </c>
      <c r="AW386" s="3">
        <v>295</v>
      </c>
      <c r="AX386" s="3" t="str">
        <f>IFERROR(MID(VLOOKUP($B386,Seqs!$A:$B,2,0),AY386,1),"")</f>
        <v>R</v>
      </c>
      <c r="AY386" s="3">
        <v>310</v>
      </c>
      <c r="AZ386" s="77" t="str">
        <f>VLOOKUP(B386,Classification!A:D,2,0)</f>
        <v>A</v>
      </c>
      <c r="BA386" s="94" t="str">
        <f>VLOOKUP(B386,Classification!A:D,4,0)</f>
        <v>Chemokine</v>
      </c>
      <c r="BB386" s="27" t="b">
        <f t="shared" si="2542"/>
        <v>1</v>
      </c>
      <c r="BC386" s="23">
        <f t="shared" si="2515"/>
        <v>250</v>
      </c>
      <c r="BD386" s="4" t="s">
        <v>23</v>
      </c>
      <c r="BE386" s="3" t="s">
        <v>1291</v>
      </c>
      <c r="BF386" s="118">
        <v>2.89</v>
      </c>
      <c r="BG386" s="49" t="s">
        <v>1377</v>
      </c>
      <c r="BH386" s="49" t="s">
        <v>1377</v>
      </c>
      <c r="BI386" s="1"/>
      <c r="BJ386" s="70" t="s">
        <v>1287</v>
      </c>
      <c r="BK386" s="57" t="s">
        <v>1287</v>
      </c>
      <c r="BL386" s="57" t="s">
        <v>1287</v>
      </c>
      <c r="BM386" s="57" t="s">
        <v>1287</v>
      </c>
      <c r="BN386" s="57" t="s">
        <v>1287</v>
      </c>
      <c r="BO386" s="57" t="s">
        <v>1287</v>
      </c>
      <c r="BP386" s="57" t="s">
        <v>1287</v>
      </c>
      <c r="BQ386" s="57" t="s">
        <v>1287</v>
      </c>
      <c r="BR386" s="57" t="s">
        <v>1287</v>
      </c>
      <c r="BS386" s="57" t="s">
        <v>1287</v>
      </c>
      <c r="BT386" s="57" t="s">
        <v>1287</v>
      </c>
      <c r="BU386" s="57" t="s">
        <v>1287</v>
      </c>
      <c r="BV386" s="70">
        <f t="shared" si="2516"/>
        <v>25</v>
      </c>
      <c r="BW386" s="71" t="str">
        <f t="shared" si="2517"/>
        <v>-</v>
      </c>
      <c r="BX386" s="72">
        <f t="shared" si="2518"/>
        <v>66</v>
      </c>
      <c r="BY386" s="71" t="str">
        <f t="shared" si="2519"/>
        <v>-</v>
      </c>
      <c r="BZ386" s="72">
        <f t="shared" si="2520"/>
        <v>103</v>
      </c>
      <c r="CA386" s="71" t="str">
        <f t="shared" si="2521"/>
        <v>-</v>
      </c>
      <c r="CB386" s="72">
        <f t="shared" si="2522"/>
        <v>140</v>
      </c>
      <c r="CC386" s="71">
        <f t="shared" si="2523"/>
        <v>173</v>
      </c>
      <c r="CD386" s="72">
        <f t="shared" si="2524"/>
        <v>183</v>
      </c>
      <c r="CE386" s="71">
        <f t="shared" si="2525"/>
        <v>222</v>
      </c>
      <c r="CF386" s="72">
        <f t="shared" si="2526"/>
        <v>263</v>
      </c>
      <c r="CG386" s="71">
        <f t="shared" si="2527"/>
        <v>295</v>
      </c>
      <c r="CH386" s="70">
        <f t="shared" si="2528"/>
        <v>61</v>
      </c>
      <c r="CI386" s="71" t="str">
        <f t="shared" si="2529"/>
        <v>-</v>
      </c>
      <c r="CJ386" s="72">
        <f t="shared" si="2530"/>
        <v>95</v>
      </c>
      <c r="CK386" s="72" t="str">
        <f t="shared" si="2531"/>
        <v>-</v>
      </c>
      <c r="CL386" s="72">
        <f t="shared" si="2532"/>
        <v>134</v>
      </c>
      <c r="CM386" s="72" t="str">
        <f t="shared" si="2533"/>
        <v>-</v>
      </c>
      <c r="CN386" s="72">
        <f t="shared" si="2534"/>
        <v>164</v>
      </c>
      <c r="CO386" s="72">
        <f t="shared" si="2535"/>
        <v>175</v>
      </c>
      <c r="CP386" s="72">
        <f t="shared" si="2536"/>
        <v>218</v>
      </c>
      <c r="CQ386" s="72">
        <f t="shared" si="2537"/>
        <v>257</v>
      </c>
      <c r="CR386" s="72">
        <f t="shared" si="2538"/>
        <v>294</v>
      </c>
      <c r="CS386" s="72">
        <f t="shared" si="2539"/>
        <v>310</v>
      </c>
      <c r="CT386" s="23" t="e">
        <f t="shared" si="2540"/>
        <v>#VALUE!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30" x14ac:dyDescent="0.2">
      <c r="A387" s="3" t="str">
        <f t="shared" si="2541"/>
        <v>us28_hcmva_4XT3</v>
      </c>
      <c r="B387" s="2" t="s">
        <v>923</v>
      </c>
      <c r="C387" s="3" t="s">
        <v>1371</v>
      </c>
      <c r="D387" s="3" t="str">
        <f>IFERROR(MID(VLOOKUP($B387,Seqs!$A:$B,2,0),E387,1),"")</f>
        <v>F</v>
      </c>
      <c r="E387" s="105">
        <v>25</v>
      </c>
      <c r="F387" s="3" t="str">
        <f>IFERROR(MID(VLOOKUP($B387,Seqs!$A:$B,2,0),G387,1),"")</f>
        <v>R</v>
      </c>
      <c r="G387" s="105">
        <v>62</v>
      </c>
      <c r="H387" s="3" t="str">
        <f>IFERROR(MID(VLOOKUP($B387,Seqs!$A:$B,2,0),I387,1),"")</f>
        <v/>
      </c>
      <c r="I387" s="23" t="s">
        <v>23</v>
      </c>
      <c r="J387" s="3" t="str">
        <f>IFERROR(MID(VLOOKUP($B387,Seqs!$A:$B,2,0),K387,1),"")</f>
        <v/>
      </c>
      <c r="K387" s="23" t="s">
        <v>23</v>
      </c>
      <c r="L387" s="3" t="str">
        <f>IFERROR(MID(VLOOKUP($B387,Seqs!$A:$B,2,0),M387,1),"")</f>
        <v>C</v>
      </c>
      <c r="M387" s="3">
        <v>66</v>
      </c>
      <c r="N387" s="3" t="str">
        <f>IFERROR(MID(VLOOKUP($B387,Seqs!$A:$B,2,0),O387,1),"")</f>
        <v>D</v>
      </c>
      <c r="O387" s="3">
        <v>95</v>
      </c>
      <c r="P387" s="3" t="str">
        <f>IFERROR(MID(VLOOKUP($B387,Seqs!$A:$B,2,0),Q387,1),"")</f>
        <v/>
      </c>
      <c r="Q387" s="3" t="s">
        <v>23</v>
      </c>
      <c r="R387" s="3" t="str">
        <f>IFERROR(MID(VLOOKUP($B387,Seqs!$A:$B,2,0),S387,1),"")</f>
        <v/>
      </c>
      <c r="S387" s="3" t="s">
        <v>23</v>
      </c>
      <c r="T387" s="3" t="str">
        <f>IFERROR(MID(VLOOKUP($B387,Seqs!$A:$B,2,0),U387,1),"")</f>
        <v>P</v>
      </c>
      <c r="U387" s="3">
        <v>103</v>
      </c>
      <c r="V387" s="3" t="str">
        <f>IFERROR(MID(VLOOKUP($B387,Seqs!$A:$B,2,0),W387,1),"")</f>
        <v>V</v>
      </c>
      <c r="W387" s="105">
        <v>134</v>
      </c>
      <c r="X387" s="3" t="str">
        <f>IFERROR(MID(VLOOKUP($B387,Seqs!$A:$B,2,0),Y387,1),"")</f>
        <v/>
      </c>
      <c r="Y387" s="3" t="s">
        <v>23</v>
      </c>
      <c r="Z387" s="3" t="str">
        <f>IFERROR(MID(VLOOKUP($B387,Seqs!$A:$B,2,0),AA387,1),"")</f>
        <v/>
      </c>
      <c r="AA387" s="3" t="s">
        <v>23</v>
      </c>
      <c r="AB387" s="3" t="str">
        <f>IFERROR(MID(VLOOKUP($B387,Seqs!$A:$B,2,0),AC387,1),"")</f>
        <v>P</v>
      </c>
      <c r="AC387" s="9">
        <v>140</v>
      </c>
      <c r="AD387" s="3" t="str">
        <f>IFERROR(MID(VLOOKUP($B387,Seqs!$A:$B,2,0),AE387,1),"")</f>
        <v>M</v>
      </c>
      <c r="AE387" s="105">
        <v>164</v>
      </c>
      <c r="AF387" s="3" t="str">
        <f>IFERROR(MID(VLOOKUP($B387,Seqs!$A:$B,2,0),AG387,1),"")</f>
        <v>C</v>
      </c>
      <c r="AG387" s="3">
        <v>173</v>
      </c>
      <c r="AH387" s="3" t="str">
        <f>IFERROR(MID(VLOOKUP($B387,Seqs!$A:$B,2,0),AI387,1),"")</f>
        <v>T</v>
      </c>
      <c r="AI387" s="3">
        <v>175</v>
      </c>
      <c r="AJ387" s="3" t="str">
        <f>IFERROR(MID(VLOOKUP($B387,Seqs!$A:$B,2,0),AK387,1),"")</f>
        <v>S</v>
      </c>
      <c r="AK387" s="105">
        <v>183</v>
      </c>
      <c r="AL387" s="3" t="str">
        <f>IFERROR(MID(VLOOKUP($B387,Seqs!$A:$B,2,0),AM387,1),"")</f>
        <v>S</v>
      </c>
      <c r="AM387" s="3">
        <v>218</v>
      </c>
      <c r="AN387" s="3" t="str">
        <f>IFERROR(MID(VLOOKUP($B387,Seqs!$A:$B,2,0),AO387,1),"")</f>
        <v>H</v>
      </c>
      <c r="AO387" s="3">
        <v>222</v>
      </c>
      <c r="AP387" s="3" t="str">
        <f>IFERROR(MID(VLOOKUP($B387,Seqs!$A:$B,2,0),AQ387,1),"")</f>
        <v>K</v>
      </c>
      <c r="AQ387" s="3">
        <v>257</v>
      </c>
      <c r="AR387" s="3" t="str">
        <f>IFERROR(MID(VLOOKUP($B387,Seqs!$A:$B,2,0),AS387,1),"")</f>
        <v>C</v>
      </c>
      <c r="AS387" s="3">
        <v>263</v>
      </c>
      <c r="AT387" s="3" t="str">
        <f>IFERROR(MID(VLOOKUP($B387,Seqs!$A:$B,2,0),AU387,1),"")</f>
        <v>V</v>
      </c>
      <c r="AU387" s="3">
        <v>294</v>
      </c>
      <c r="AV387" s="3" t="str">
        <f>IFERROR(MID(VLOOKUP($B387,Seqs!$A:$B,2,0),AW387,1),"")</f>
        <v/>
      </c>
      <c r="AW387" s="3" t="s">
        <v>23</v>
      </c>
      <c r="AX387" s="3" t="str">
        <f>IFERROR(MID(VLOOKUP($B387,Seqs!$A:$B,2,0),AY387,1),"")</f>
        <v/>
      </c>
      <c r="AY387" s="3" t="s">
        <v>23</v>
      </c>
      <c r="AZ387" s="77" t="str">
        <f>VLOOKUP(B387,Classification!A:D,2,0)</f>
        <v>A</v>
      </c>
      <c r="BA387" s="94" t="str">
        <f>VLOOKUP(B387,Classification!A:D,4,0)</f>
        <v>Chemokine</v>
      </c>
      <c r="BB387" s="27" t="b">
        <f t="shared" ref="BB387:BB395" si="3299">AND(E387&lt;G387,OR(G387&lt;I387,I387="-"),OR(I387&lt;K387,I387="-"),OR(K387&lt;M387,K387="-"),M387&lt;O387,OR(O387&lt;Q387,Q387="-"),OR(Q387&lt;S387,Q387="-"),OR(S387&lt;U387,S387="-"),U387&lt;W387,OR(W387&lt;Y387,Y387="-"),OR(Y387&lt;AA387,Y387="-"),OR(AA387&lt;AC387,AA387="-"),AC387&lt;AE387,OR(AE387&lt;AG387,AG387="-"),OR(AG387&lt;AI387,AG387="-"),OR(AI387&lt;AK387,AI387="-"),AK387&lt;AM387,AM387&lt;AO387,AO387&lt;AQ387,AQ387&lt;AS387,AS387&lt;AU387,OR(AU387&lt;AW387,AW387="-"),OR(AW387&lt;AY387,AW387="-"))</f>
        <v>1</v>
      </c>
      <c r="BC387" s="23">
        <f t="shared" ref="BC387:BC395" si="3300">_xlfn.AGGREGATE(9,6,CH387:CS387)-_xlfn.AGGREGATE(9,6,BV387:CG387)+12</f>
        <v>236</v>
      </c>
      <c r="BD387" s="4" t="s">
        <v>23</v>
      </c>
      <c r="BE387" s="3" t="s">
        <v>1291</v>
      </c>
      <c r="BF387" s="118">
        <v>3.8</v>
      </c>
      <c r="BG387" s="49" t="s">
        <v>1377</v>
      </c>
      <c r="BH387" s="49" t="s">
        <v>1377</v>
      </c>
      <c r="BI387" s="1"/>
      <c r="BJ387" s="70" t="s">
        <v>1287</v>
      </c>
      <c r="BK387" s="57" t="s">
        <v>1287</v>
      </c>
      <c r="BL387" s="57" t="s">
        <v>1287</v>
      </c>
      <c r="BM387" s="57" t="s">
        <v>1287</v>
      </c>
      <c r="BN387" s="57" t="s">
        <v>1287</v>
      </c>
      <c r="BO387" s="57" t="s">
        <v>1287</v>
      </c>
      <c r="BP387" s="57" t="s">
        <v>1287</v>
      </c>
      <c r="BQ387" s="57" t="s">
        <v>1287</v>
      </c>
      <c r="BR387" s="57" t="s">
        <v>1287</v>
      </c>
      <c r="BS387" s="57" t="s">
        <v>1287</v>
      </c>
      <c r="BT387" s="57" t="s">
        <v>1287</v>
      </c>
      <c r="BU387" s="57" t="s">
        <v>1287</v>
      </c>
      <c r="BV387" s="70">
        <f t="shared" ref="BV387:BV395" si="3301">E387</f>
        <v>25</v>
      </c>
      <c r="BW387" s="71" t="str">
        <f t="shared" ref="BW387:BW395" si="3302">I387</f>
        <v>-</v>
      </c>
      <c r="BX387" s="72">
        <f t="shared" ref="BX387:BX395" si="3303">M387</f>
        <v>66</v>
      </c>
      <c r="BY387" s="71" t="str">
        <f t="shared" ref="BY387:BY395" si="3304">Q387</f>
        <v>-</v>
      </c>
      <c r="BZ387" s="72">
        <f t="shared" ref="BZ387:BZ395" si="3305">U387</f>
        <v>103</v>
      </c>
      <c r="CA387" s="71" t="str">
        <f t="shared" ref="CA387:CA395" si="3306">Y387</f>
        <v>-</v>
      </c>
      <c r="CB387" s="72">
        <f t="shared" ref="CB387:CB395" si="3307">AC387</f>
        <v>140</v>
      </c>
      <c r="CC387" s="71">
        <f t="shared" ref="CC387:CC395" si="3308">AG387</f>
        <v>173</v>
      </c>
      <c r="CD387" s="72">
        <f t="shared" ref="CD387:CD395" si="3309">AK387</f>
        <v>183</v>
      </c>
      <c r="CE387" s="71">
        <f t="shared" ref="CE387:CE395" si="3310">AO387</f>
        <v>222</v>
      </c>
      <c r="CF387" s="72">
        <f t="shared" ref="CF387:CF395" si="3311">AS387</f>
        <v>263</v>
      </c>
      <c r="CG387" s="71" t="str">
        <f t="shared" ref="CG387:CG395" si="3312">AW387</f>
        <v>-</v>
      </c>
      <c r="CH387" s="70">
        <f t="shared" ref="CH387:CH395" si="3313">G387</f>
        <v>62</v>
      </c>
      <c r="CI387" s="71" t="str">
        <f t="shared" ref="CI387:CI395" si="3314">K387</f>
        <v>-</v>
      </c>
      <c r="CJ387" s="72">
        <f t="shared" ref="CJ387:CJ395" si="3315">O387</f>
        <v>95</v>
      </c>
      <c r="CK387" s="72" t="str">
        <f t="shared" ref="CK387:CK395" si="3316">S387</f>
        <v>-</v>
      </c>
      <c r="CL387" s="72">
        <f t="shared" ref="CL387:CL395" si="3317">W387</f>
        <v>134</v>
      </c>
      <c r="CM387" s="72" t="str">
        <f t="shared" ref="CM387:CM395" si="3318">AA387</f>
        <v>-</v>
      </c>
      <c r="CN387" s="72">
        <f t="shared" ref="CN387:CN395" si="3319">AE387</f>
        <v>164</v>
      </c>
      <c r="CO387" s="72">
        <f t="shared" ref="CO387:CO395" si="3320">AI387</f>
        <v>175</v>
      </c>
      <c r="CP387" s="72">
        <f t="shared" ref="CP387:CP395" si="3321">AM387</f>
        <v>218</v>
      </c>
      <c r="CQ387" s="72">
        <f t="shared" ref="CQ387:CQ395" si="3322">AQ387</f>
        <v>257</v>
      </c>
      <c r="CR387" s="72">
        <f t="shared" ref="CR387:CR395" si="3323">AU387</f>
        <v>294</v>
      </c>
      <c r="CS387" s="72" t="str">
        <f t="shared" ref="CS387:CS395" si="3324">AY387</f>
        <v>-</v>
      </c>
      <c r="CT387" s="23" t="e">
        <f t="shared" ref="CT387:CT395" si="3325">M387-K387</f>
        <v>#VALUE!</v>
      </c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Q387" s="6"/>
      <c r="KR387" s="6"/>
      <c r="KS387" s="6"/>
      <c r="KT387" s="6"/>
      <c r="KU387" s="6"/>
      <c r="KV387" s="6"/>
      <c r="KW387" s="6"/>
      <c r="KX387" s="6"/>
      <c r="KY387" s="6"/>
      <c r="KZ387" s="6"/>
      <c r="LA387" s="6"/>
      <c r="LB387" s="6"/>
      <c r="LC387" s="6"/>
      <c r="LD387" s="6"/>
      <c r="LE387" s="6"/>
      <c r="LF387" s="6"/>
      <c r="LG387" s="6"/>
      <c r="LH387" s="6"/>
      <c r="LI387" s="6"/>
      <c r="LJ387" s="6"/>
      <c r="LK387" s="6"/>
      <c r="LL387" s="6"/>
      <c r="LM387" s="6"/>
      <c r="LN387" s="6"/>
      <c r="LO387" s="6"/>
      <c r="LP387" s="6"/>
      <c r="LQ387" s="6"/>
      <c r="LR387" s="6"/>
      <c r="LS387" s="6"/>
      <c r="LT387" s="6"/>
      <c r="LU387" s="6"/>
      <c r="LV387" s="6"/>
      <c r="LW387" s="6"/>
      <c r="LX387" s="6"/>
      <c r="LY387" s="6"/>
      <c r="LZ387" s="6"/>
      <c r="MA387" s="6"/>
      <c r="MB387" s="6"/>
      <c r="MC387" s="6"/>
      <c r="MD387" s="6"/>
      <c r="ME387" s="6"/>
      <c r="MF387" s="6"/>
      <c r="MG387" s="6"/>
      <c r="MH387" s="6"/>
      <c r="MI387" s="6"/>
      <c r="MJ387" s="6"/>
      <c r="MK387" s="6"/>
      <c r="ML387" s="6"/>
      <c r="MM387" s="6"/>
      <c r="MN387" s="6"/>
      <c r="MO387" s="6"/>
      <c r="MP387" s="6"/>
      <c r="MQ387" s="6"/>
      <c r="MR387" s="6"/>
      <c r="MS387" s="6"/>
      <c r="MT387" s="6"/>
      <c r="MU387" s="6"/>
      <c r="MV387" s="6"/>
      <c r="MW387" s="6"/>
      <c r="MX387" s="6"/>
      <c r="MY387" s="6"/>
      <c r="MZ387" s="6"/>
      <c r="NA387" s="6"/>
      <c r="NB387" s="6"/>
      <c r="NC387" s="6"/>
      <c r="ND387" s="6"/>
      <c r="NE387" s="6"/>
      <c r="NF387" s="6"/>
      <c r="NG387" s="6"/>
      <c r="NH387" s="6"/>
      <c r="NI387" s="6"/>
      <c r="NJ387" s="6"/>
      <c r="NK387" s="6"/>
      <c r="NL387" s="6"/>
      <c r="NM387" s="6"/>
      <c r="NN387" s="6"/>
      <c r="NO387" s="6"/>
      <c r="NP387" s="6"/>
      <c r="NQ387" s="6"/>
      <c r="NR387" s="6"/>
      <c r="NS387" s="6"/>
      <c r="NT387" s="6"/>
      <c r="NU387" s="6"/>
      <c r="NV387" s="6"/>
      <c r="NW387" s="6"/>
      <c r="NX387" s="6"/>
      <c r="NY387" s="6"/>
      <c r="NZ387" s="6"/>
      <c r="OA387" s="6"/>
      <c r="OB387" s="6"/>
      <c r="OC387" s="6"/>
      <c r="OD387" s="6"/>
      <c r="OE387" s="6"/>
      <c r="OF387" s="6"/>
      <c r="OG387" s="6"/>
      <c r="OH387" s="6"/>
      <c r="OI387" s="6"/>
      <c r="OJ387" s="6"/>
      <c r="OK387" s="6"/>
      <c r="OL387" s="6"/>
      <c r="OM387" s="6"/>
      <c r="ON387" s="6"/>
      <c r="OO387" s="6"/>
      <c r="OP387" s="6"/>
      <c r="OQ387" s="6"/>
      <c r="OR387" s="6"/>
      <c r="OS387" s="6"/>
      <c r="OT387" s="6"/>
      <c r="OU387" s="6"/>
      <c r="OV387" s="6"/>
      <c r="OW387" s="6"/>
      <c r="OX387" s="6"/>
      <c r="OY387" s="6"/>
      <c r="OZ387" s="6"/>
      <c r="PA387" s="6"/>
      <c r="PB387" s="6"/>
      <c r="PC387" s="6"/>
      <c r="PD387" s="6"/>
      <c r="PE387" s="6"/>
      <c r="PF387" s="6"/>
      <c r="PG387" s="6"/>
      <c r="PH387" s="6"/>
      <c r="PI387" s="6"/>
      <c r="PJ387" s="6"/>
      <c r="PK387" s="6"/>
      <c r="PL387" s="6"/>
      <c r="PM387" s="6"/>
      <c r="PN387" s="6"/>
      <c r="PO387" s="6"/>
      <c r="PP387" s="6"/>
      <c r="PQ387" s="6"/>
      <c r="PR387" s="6"/>
      <c r="PS387" s="6"/>
      <c r="PT387" s="6"/>
      <c r="PU387" s="6"/>
      <c r="PV387" s="6"/>
      <c r="PW387" s="6"/>
      <c r="PX387" s="6"/>
      <c r="PY387" s="6"/>
      <c r="PZ387" s="6"/>
      <c r="QA387" s="6"/>
      <c r="QB387" s="6"/>
      <c r="QC387" s="6"/>
      <c r="QD387" s="6"/>
      <c r="QE387" s="6"/>
      <c r="QF387" s="6"/>
      <c r="QG387" s="6"/>
      <c r="QH387" s="6"/>
      <c r="QI387" s="6"/>
      <c r="QJ387" s="6"/>
      <c r="QK387" s="6"/>
      <c r="QL387" s="6"/>
      <c r="QM387" s="6"/>
      <c r="QN387" s="6"/>
      <c r="QO387" s="6"/>
      <c r="QP387" s="6"/>
      <c r="QQ387" s="6"/>
      <c r="QR387" s="6"/>
      <c r="QS387" s="6"/>
      <c r="QT387" s="6"/>
      <c r="QU387" s="6"/>
      <c r="QV387" s="6"/>
      <c r="QW387" s="6"/>
      <c r="QX387" s="6"/>
      <c r="QY387" s="6"/>
      <c r="QZ387" s="6"/>
      <c r="RA387" s="6"/>
      <c r="RB387" s="6"/>
      <c r="RC387" s="6"/>
      <c r="RD387" s="6"/>
      <c r="RE387" s="6"/>
      <c r="RF387" s="6"/>
      <c r="RG387" s="6"/>
      <c r="RH387" s="6"/>
      <c r="RI387" s="6"/>
      <c r="RJ387" s="6"/>
      <c r="RK387" s="6"/>
      <c r="RL387" s="6"/>
      <c r="RM387" s="6"/>
      <c r="RN387" s="6"/>
      <c r="RO387" s="6"/>
      <c r="RP387" s="6"/>
      <c r="RQ387" s="6"/>
      <c r="RR387" s="6"/>
      <c r="RS387" s="6"/>
      <c r="RT387" s="6"/>
      <c r="RU387" s="6"/>
      <c r="RV387" s="6"/>
      <c r="RW387" s="6"/>
      <c r="RX387" s="6"/>
      <c r="RY387" s="6"/>
      <c r="RZ387" s="6"/>
      <c r="SA387" s="6"/>
      <c r="SB387" s="6"/>
      <c r="SC387" s="6"/>
      <c r="SD387" s="6"/>
      <c r="SE387" s="6"/>
      <c r="SF387" s="6"/>
      <c r="SG387" s="6"/>
      <c r="SH387" s="6"/>
      <c r="SI387" s="6"/>
      <c r="SJ387" s="6"/>
      <c r="SK387" s="6"/>
      <c r="SL387" s="6"/>
      <c r="SM387" s="6"/>
      <c r="SN387" s="6"/>
      <c r="SO387" s="6"/>
      <c r="SP387" s="6"/>
      <c r="SQ387" s="6"/>
      <c r="SR387" s="6"/>
      <c r="SS387" s="6"/>
      <c r="ST387" s="6"/>
      <c r="SU387" s="6"/>
      <c r="SV387" s="6"/>
      <c r="SW387" s="6"/>
      <c r="SX387" s="6"/>
      <c r="SY387" s="6"/>
      <c r="SZ387" s="6"/>
      <c r="TA387" s="6"/>
      <c r="TB387" s="6"/>
      <c r="TC387" s="6"/>
      <c r="TD387" s="6"/>
      <c r="TE387" s="6"/>
      <c r="TF387" s="6"/>
      <c r="TG387" s="6"/>
      <c r="TH387" s="6"/>
      <c r="TI387" s="6"/>
      <c r="TJ387" s="6"/>
      <c r="TK387" s="6"/>
      <c r="TL387" s="6"/>
      <c r="TM387" s="6"/>
      <c r="TN387" s="6"/>
      <c r="TO387" s="6"/>
      <c r="TP387" s="6"/>
      <c r="TQ387" s="6"/>
      <c r="TR387" s="6"/>
      <c r="TS387" s="6"/>
      <c r="TT387" s="6"/>
      <c r="TU387" s="6"/>
      <c r="TV387" s="6"/>
      <c r="TW387" s="6"/>
      <c r="TX387" s="6"/>
      <c r="TY387" s="6"/>
      <c r="TZ387" s="6"/>
      <c r="UA387" s="6"/>
      <c r="UB387" s="6"/>
      <c r="UC387" s="6"/>
      <c r="UD387" s="6"/>
      <c r="UE387" s="6"/>
      <c r="UF387" s="6"/>
      <c r="UG387" s="6"/>
      <c r="UH387" s="6"/>
      <c r="UI387" s="6"/>
      <c r="UJ387" s="6"/>
      <c r="UK387" s="6"/>
      <c r="UL387" s="6"/>
      <c r="UM387" s="6"/>
      <c r="UN387" s="6"/>
      <c r="UO387" s="6"/>
      <c r="UP387" s="6"/>
      <c r="UQ387" s="6"/>
      <c r="UR387" s="6"/>
      <c r="US387" s="6"/>
      <c r="UT387" s="6"/>
      <c r="UU387" s="6"/>
      <c r="UV387" s="6"/>
      <c r="UW387" s="6"/>
      <c r="UX387" s="6"/>
      <c r="UY387" s="6"/>
      <c r="UZ387" s="6"/>
      <c r="VA387" s="6"/>
      <c r="VB387" s="6"/>
      <c r="VC387" s="6"/>
      <c r="VD387" s="6"/>
      <c r="VE387" s="6"/>
      <c r="VF387" s="6"/>
      <c r="VG387" s="6"/>
      <c r="VH387" s="6"/>
      <c r="VI387" s="6"/>
      <c r="VJ387" s="6"/>
      <c r="VK387" s="6"/>
      <c r="VL387" s="6"/>
      <c r="VM387" s="6"/>
      <c r="VN387" s="6"/>
      <c r="VO387" s="6"/>
      <c r="VP387" s="6"/>
      <c r="VQ387" s="6"/>
      <c r="VR387" s="6"/>
      <c r="VS387" s="6"/>
      <c r="VT387" s="6"/>
      <c r="VU387" s="6"/>
      <c r="VV387" s="6"/>
      <c r="VW387" s="6"/>
      <c r="VX387" s="6"/>
      <c r="VY387" s="6"/>
      <c r="VZ387" s="6"/>
      <c r="WA387" s="6"/>
      <c r="WB387" s="6"/>
      <c r="WC387" s="6"/>
      <c r="WD387" s="6"/>
      <c r="WE387" s="6"/>
      <c r="WF387" s="6"/>
      <c r="WG387" s="6"/>
      <c r="WH387" s="6"/>
      <c r="WI387" s="6"/>
      <c r="WJ387" s="6"/>
      <c r="WK387" s="6"/>
      <c r="WL387" s="6"/>
      <c r="WM387" s="6"/>
      <c r="WN387" s="6"/>
      <c r="WO387" s="6"/>
      <c r="WP387" s="6"/>
      <c r="WQ387" s="6"/>
      <c r="WR387" s="6"/>
      <c r="WS387" s="6"/>
      <c r="WT387" s="6"/>
      <c r="WU387" s="6"/>
      <c r="WV387" s="6"/>
      <c r="WW387" s="6"/>
      <c r="WX387" s="6"/>
      <c r="WY387" s="6"/>
      <c r="WZ387" s="6"/>
      <c r="XA387" s="6"/>
      <c r="XB387" s="6"/>
      <c r="XC387" s="6"/>
      <c r="XD387" s="6"/>
      <c r="XE387" s="6"/>
      <c r="XF387" s="6"/>
      <c r="XG387" s="6"/>
      <c r="XH387" s="6"/>
      <c r="XI387" s="6"/>
      <c r="XJ387" s="6"/>
      <c r="XK387" s="6"/>
      <c r="XL387" s="6"/>
      <c r="XM387" s="6"/>
      <c r="XN387" s="6"/>
      <c r="XO387" s="6"/>
      <c r="XP387" s="6"/>
      <c r="XQ387" s="6"/>
      <c r="XR387" s="6"/>
      <c r="XS387" s="6"/>
      <c r="XT387" s="6"/>
      <c r="XU387" s="6"/>
      <c r="XV387" s="6"/>
      <c r="XW387" s="6"/>
      <c r="XX387" s="6"/>
      <c r="XY387" s="6"/>
      <c r="XZ387" s="6"/>
      <c r="YA387" s="6"/>
      <c r="YB387" s="6"/>
      <c r="YC387" s="6"/>
      <c r="YD387" s="6"/>
      <c r="YE387" s="6"/>
      <c r="YF387" s="6"/>
      <c r="YG387" s="6"/>
      <c r="YH387" s="6"/>
      <c r="YI387" s="6"/>
      <c r="YJ387" s="6"/>
      <c r="YK387" s="6"/>
      <c r="YL387" s="6"/>
      <c r="YM387" s="6"/>
      <c r="YN387" s="6"/>
      <c r="YO387" s="6"/>
      <c r="YP387" s="6"/>
      <c r="YQ387" s="6"/>
      <c r="YR387" s="6"/>
      <c r="YS387" s="6"/>
      <c r="YT387" s="6"/>
      <c r="YU387" s="6"/>
      <c r="YV387" s="6"/>
      <c r="YW387" s="6"/>
      <c r="YX387" s="6"/>
      <c r="YY387" s="6"/>
      <c r="YZ387" s="6"/>
      <c r="ZA387" s="6"/>
      <c r="ZB387" s="6"/>
      <c r="ZC387" s="6"/>
      <c r="ZD387" s="6"/>
      <c r="ZE387" s="6"/>
      <c r="ZF387" s="6"/>
      <c r="ZG387" s="6"/>
      <c r="ZH387" s="6"/>
      <c r="ZI387" s="6"/>
      <c r="ZJ387" s="6"/>
      <c r="ZK387" s="6"/>
      <c r="ZL387" s="6"/>
      <c r="ZM387" s="6"/>
      <c r="ZN387" s="6"/>
      <c r="ZO387" s="6"/>
      <c r="ZP387" s="6"/>
      <c r="ZQ387" s="6"/>
      <c r="ZR387" s="6"/>
      <c r="ZS387" s="6"/>
      <c r="ZT387" s="6"/>
      <c r="ZU387" s="6"/>
      <c r="ZV387" s="6"/>
      <c r="ZW387" s="6"/>
      <c r="ZX387" s="6"/>
      <c r="ZY387" s="6"/>
      <c r="ZZ387" s="6"/>
      <c r="AAA387" s="6"/>
      <c r="AAB387" s="6"/>
      <c r="AAC387" s="6"/>
      <c r="AAD387" s="6"/>
      <c r="AAE387" s="6"/>
      <c r="AAF387" s="6"/>
      <c r="AAG387" s="6"/>
      <c r="AAH387" s="6"/>
      <c r="AAI387" s="6"/>
      <c r="AAJ387" s="6"/>
      <c r="AAK387" s="6"/>
      <c r="AAL387" s="6"/>
      <c r="AAM387" s="6"/>
      <c r="AAN387" s="6"/>
      <c r="AAO387" s="6"/>
      <c r="AAP387" s="6"/>
      <c r="AAQ387" s="6"/>
      <c r="AAR387" s="6"/>
      <c r="AAS387" s="6"/>
      <c r="AAT387" s="6"/>
      <c r="AAU387" s="6"/>
      <c r="AAV387" s="6"/>
      <c r="AAW387" s="6"/>
      <c r="AAX387" s="6"/>
      <c r="AAY387" s="6"/>
      <c r="AAZ387" s="6"/>
      <c r="ABA387" s="6"/>
      <c r="ABB387" s="6"/>
      <c r="ABC387" s="6"/>
      <c r="ABD387" s="6"/>
      <c r="ABE387" s="6"/>
      <c r="ABF387" s="6"/>
      <c r="ABG387" s="6"/>
      <c r="ABH387" s="6"/>
      <c r="ABI387" s="6"/>
      <c r="ABJ387" s="6"/>
      <c r="ABK387" s="6"/>
      <c r="ABL387" s="6"/>
      <c r="ABM387" s="6"/>
      <c r="ABN387" s="6"/>
      <c r="ABO387" s="6"/>
      <c r="ABP387" s="6"/>
      <c r="ABQ387" s="6"/>
      <c r="ABR387" s="6"/>
      <c r="ABS387" s="6"/>
      <c r="ABT387" s="6"/>
      <c r="ABU387" s="6"/>
      <c r="ABV387" s="6"/>
      <c r="ABW387" s="6"/>
      <c r="ABX387" s="6"/>
      <c r="ABY387" s="6"/>
      <c r="ABZ387" s="6"/>
      <c r="ACA387" s="6"/>
      <c r="ACB387" s="6"/>
      <c r="ACC387" s="6"/>
      <c r="ACD387" s="6"/>
      <c r="ACE387" s="6"/>
      <c r="ACF387" s="6"/>
      <c r="ACG387" s="6"/>
      <c r="ACH387" s="6"/>
      <c r="ACI387" s="6"/>
      <c r="ACJ387" s="6"/>
      <c r="ACK387" s="6"/>
      <c r="ACL387" s="6"/>
      <c r="ACM387" s="6"/>
      <c r="ACN387" s="6"/>
      <c r="ACO387" s="6"/>
      <c r="ACP387" s="6"/>
      <c r="ACQ387" s="6"/>
      <c r="ACR387" s="6"/>
      <c r="ACS387" s="6"/>
      <c r="ACT387" s="6"/>
      <c r="ACU387" s="6"/>
      <c r="ACV387" s="6"/>
      <c r="ACW387" s="6"/>
      <c r="ACX387" s="6"/>
      <c r="ACY387" s="6"/>
      <c r="ACZ387" s="6"/>
      <c r="ADA387" s="6"/>
      <c r="ADB387" s="6"/>
      <c r="ADC387" s="6"/>
      <c r="ADD387" s="6"/>
      <c r="ADE387" s="6"/>
      <c r="ADF387" s="6"/>
      <c r="ADG387" s="6"/>
      <c r="ADH387" s="6"/>
      <c r="ADI387" s="6"/>
      <c r="ADJ387" s="6"/>
      <c r="ADK387" s="6"/>
      <c r="ADL387" s="6"/>
      <c r="ADM387" s="6"/>
      <c r="ADN387" s="6"/>
      <c r="ADO387" s="6"/>
      <c r="ADP387" s="6"/>
      <c r="ADQ387" s="6"/>
      <c r="ADR387" s="6"/>
      <c r="ADS387" s="6"/>
      <c r="ADT387" s="6"/>
      <c r="ADU387" s="6"/>
      <c r="ADV387" s="6"/>
      <c r="ADW387" s="6"/>
      <c r="ADX387" s="6"/>
      <c r="ADY387" s="6"/>
      <c r="ADZ387" s="6"/>
      <c r="AEA387" s="6"/>
      <c r="AEB387" s="6"/>
      <c r="AEC387" s="6"/>
      <c r="AED387" s="6"/>
      <c r="AEE387" s="6"/>
      <c r="AEF387" s="6"/>
      <c r="AEG387" s="6"/>
      <c r="AEH387" s="6"/>
      <c r="AEI387" s="6"/>
      <c r="AEJ387" s="6"/>
      <c r="AEK387" s="6"/>
      <c r="AEL387" s="6"/>
      <c r="AEM387" s="6"/>
      <c r="AEN387" s="6"/>
      <c r="AEO387" s="6"/>
      <c r="AEP387" s="6"/>
      <c r="AEQ387" s="6"/>
      <c r="AER387" s="6"/>
      <c r="AES387" s="6"/>
      <c r="AET387" s="6"/>
      <c r="AEU387" s="6"/>
      <c r="AEV387" s="6"/>
      <c r="AEW387" s="6"/>
      <c r="AEX387" s="6"/>
      <c r="AEY387" s="6"/>
      <c r="AEZ387" s="6"/>
      <c r="AFA387" s="6"/>
      <c r="AFB387" s="6"/>
      <c r="AFC387" s="6"/>
      <c r="AFD387" s="6"/>
      <c r="AFE387" s="6"/>
      <c r="AFF387" s="6"/>
      <c r="AFG387" s="6"/>
      <c r="AFH387" s="6"/>
      <c r="AFI387" s="6"/>
      <c r="AFJ387" s="6"/>
      <c r="AFK387" s="6"/>
      <c r="AFL387" s="6"/>
      <c r="AFM387" s="6"/>
      <c r="AFN387" s="6"/>
      <c r="AFO387" s="6"/>
      <c r="AFP387" s="6"/>
      <c r="AFQ387" s="6"/>
      <c r="AFR387" s="6"/>
      <c r="AFS387" s="6"/>
      <c r="AFT387" s="6"/>
      <c r="AFU387" s="6"/>
      <c r="AFV387" s="6"/>
      <c r="AFW387" s="6"/>
      <c r="AFX387" s="6"/>
      <c r="AFY387" s="6"/>
      <c r="AFZ387" s="6"/>
      <c r="AGA387" s="6"/>
      <c r="AGB387" s="6"/>
      <c r="AGC387" s="6"/>
      <c r="AGD387" s="6"/>
      <c r="AGE387" s="6"/>
      <c r="AGF387" s="6"/>
      <c r="AGG387" s="6"/>
      <c r="AGH387" s="6"/>
      <c r="AGI387" s="6"/>
      <c r="AGJ387" s="6"/>
      <c r="AGK387" s="6"/>
      <c r="AGL387" s="6"/>
      <c r="AGM387" s="6"/>
      <c r="AGN387" s="6"/>
      <c r="AGO387" s="6"/>
      <c r="AGP387" s="6"/>
      <c r="AGQ387" s="6"/>
      <c r="AGR387" s="6"/>
      <c r="AGS387" s="6"/>
      <c r="AGT387" s="6"/>
      <c r="AGU387" s="6"/>
      <c r="AGV387" s="6"/>
      <c r="AGW387" s="6"/>
      <c r="AGX387" s="6"/>
      <c r="AGY387" s="6"/>
      <c r="AGZ387" s="6"/>
      <c r="AHA387" s="6"/>
      <c r="AHB387" s="6"/>
      <c r="AHC387" s="6"/>
      <c r="AHD387" s="6"/>
      <c r="AHE387" s="6"/>
      <c r="AHF387" s="6"/>
      <c r="AHG387" s="6"/>
      <c r="AHH387" s="6"/>
      <c r="AHI387" s="6"/>
      <c r="AHJ387" s="6"/>
      <c r="AHK387" s="6"/>
      <c r="AHL387" s="6"/>
      <c r="AHM387" s="6"/>
      <c r="AHN387" s="6"/>
      <c r="AHO387" s="6"/>
      <c r="AHP387" s="6"/>
      <c r="AHQ387" s="6"/>
      <c r="AHR387" s="6"/>
      <c r="AHS387" s="6"/>
      <c r="AHT387" s="6"/>
      <c r="AHU387" s="6"/>
      <c r="AHV387" s="6"/>
      <c r="AHW387" s="6"/>
      <c r="AHX387" s="6"/>
      <c r="AHY387" s="6"/>
      <c r="AHZ387" s="6"/>
      <c r="AIA387" s="6"/>
      <c r="AIB387" s="6"/>
      <c r="AIC387" s="6"/>
      <c r="AID387" s="6"/>
      <c r="AIE387" s="6"/>
      <c r="AIF387" s="6"/>
      <c r="AIG387" s="6"/>
      <c r="AIH387" s="6"/>
      <c r="AII387" s="6"/>
      <c r="AIJ387" s="6"/>
      <c r="AIK387" s="6"/>
      <c r="AIL387" s="6"/>
      <c r="AIM387" s="6"/>
      <c r="AIN387" s="6"/>
      <c r="AIO387" s="6"/>
      <c r="AIP387" s="6"/>
      <c r="AIQ387" s="6"/>
      <c r="AIR387" s="6"/>
      <c r="AIS387" s="6"/>
      <c r="AIT387" s="6"/>
      <c r="AIU387" s="6"/>
      <c r="AIV387" s="6"/>
      <c r="AIW387" s="6"/>
      <c r="AIX387" s="6"/>
      <c r="AIY387" s="6"/>
      <c r="AIZ387" s="6"/>
      <c r="AJA387" s="6"/>
      <c r="AJB387" s="6"/>
      <c r="AJC387" s="6"/>
      <c r="AJD387" s="6"/>
      <c r="AJE387" s="6"/>
      <c r="AJF387" s="6"/>
      <c r="AJG387" s="6"/>
      <c r="AJH387" s="6"/>
      <c r="AJI387" s="6"/>
      <c r="AJJ387" s="6"/>
      <c r="AJK387" s="6"/>
      <c r="AJL387" s="6"/>
      <c r="AJM387" s="6"/>
      <c r="AJN387" s="6"/>
      <c r="AJO387" s="6"/>
      <c r="AJP387" s="6"/>
      <c r="AJQ387" s="6"/>
      <c r="AJR387" s="6"/>
      <c r="AJS387" s="6"/>
      <c r="AJT387" s="6"/>
      <c r="AJU387" s="6"/>
      <c r="AJV387" s="6"/>
      <c r="AJW387" s="6"/>
      <c r="AJX387" s="6"/>
      <c r="AJY387" s="6"/>
      <c r="AJZ387" s="6"/>
      <c r="AKA387" s="6"/>
      <c r="AKB387" s="6"/>
      <c r="AKC387" s="6"/>
      <c r="AKD387" s="6"/>
      <c r="AKE387" s="6"/>
      <c r="AKF387" s="6"/>
      <c r="AKG387" s="6"/>
      <c r="AKH387" s="6"/>
      <c r="AKI387" s="6"/>
      <c r="AKJ387" s="6"/>
      <c r="AKK387" s="6"/>
      <c r="AKL387" s="6"/>
      <c r="AKM387" s="6"/>
      <c r="AKN387" s="6"/>
      <c r="AKO387" s="6"/>
      <c r="AKP387" s="6"/>
      <c r="AKQ387" s="6"/>
      <c r="AKR387" s="6"/>
      <c r="AKS387" s="6"/>
      <c r="AKT387" s="6"/>
      <c r="AKU387" s="6"/>
      <c r="AKV387" s="6"/>
      <c r="AKW387" s="6"/>
      <c r="AKX387" s="6"/>
      <c r="AKY387" s="6"/>
      <c r="AKZ387" s="6"/>
      <c r="ALA387" s="6"/>
      <c r="ALB387" s="6"/>
      <c r="ALC387" s="6"/>
      <c r="ALD387" s="6"/>
      <c r="ALE387" s="6"/>
      <c r="ALF387" s="6"/>
      <c r="ALG387" s="6"/>
      <c r="ALH387" s="6"/>
      <c r="ALI387" s="6"/>
      <c r="ALJ387" s="6"/>
      <c r="ALK387" s="6"/>
      <c r="ALL387" s="6"/>
      <c r="ALM387" s="6"/>
      <c r="ALN387" s="6"/>
      <c r="ALO387" s="6"/>
      <c r="ALP387" s="6"/>
      <c r="ALQ387" s="6"/>
      <c r="ALR387" s="6"/>
      <c r="ALS387" s="6"/>
      <c r="ALT387" s="6"/>
      <c r="ALU387" s="6"/>
      <c r="ALV387" s="6"/>
      <c r="ALW387" s="6"/>
      <c r="ALX387" s="6"/>
      <c r="ALY387" s="6"/>
      <c r="ALZ387" s="6"/>
      <c r="AMA387" s="6"/>
      <c r="AMB387" s="6"/>
      <c r="AMC387" s="6"/>
      <c r="AMD387" s="6"/>
      <c r="AME387" s="6"/>
      <c r="AMF387" s="6"/>
      <c r="AMG387" s="6"/>
      <c r="AMH387" s="6"/>
      <c r="AMI387" s="6"/>
      <c r="AMJ387" s="6"/>
      <c r="AMK387" s="6"/>
      <c r="AML387" s="6"/>
      <c r="AMM387" s="6"/>
      <c r="AMN387" s="6"/>
      <c r="AMO387" s="6"/>
      <c r="AMP387" s="6"/>
    </row>
    <row r="388" spans="1:1030" x14ac:dyDescent="0.2">
      <c r="A388" s="9" t="str">
        <f t="shared" ref="A388:A398" si="3326">CONCATENATE(B388,"_",C388)</f>
        <v>q80km9_hcmv__wt</v>
      </c>
      <c r="B388" s="40" t="s">
        <v>1507</v>
      </c>
      <c r="C388" s="9" t="s">
        <v>100</v>
      </c>
      <c r="D388" s="9" t="str">
        <f>IFERROR(MID(VLOOKUP($B388,Seqs!$A:$B,2,0),E388,1),"")</f>
        <v>F</v>
      </c>
      <c r="E388" s="9">
        <v>25</v>
      </c>
      <c r="F388" s="9" t="str">
        <f>IFERROR(MID(VLOOKUP($B388,Seqs!$A:$B,2,0),G388,1),"")</f>
        <v>R</v>
      </c>
      <c r="G388" s="9">
        <v>61</v>
      </c>
      <c r="H388" s="9" t="str">
        <f>IFERROR(MID(VLOOKUP($B388,Seqs!$A:$B,2,0),I388,1),"")</f>
        <v>R</v>
      </c>
      <c r="I388" s="109">
        <v>62</v>
      </c>
      <c r="J388" s="9" t="str">
        <f>IFERROR(MID(VLOOKUP($B388,Seqs!$A:$B,2,0),K388,1),"")</f>
        <v>Q</v>
      </c>
      <c r="K388" s="109">
        <v>65</v>
      </c>
      <c r="L388" s="9" t="str">
        <f>IFERROR(MID(VLOOKUP($B388,Seqs!$A:$B,2,0),M388,1),"")</f>
        <v>C</v>
      </c>
      <c r="M388" s="9">
        <v>66</v>
      </c>
      <c r="N388" s="9" t="str">
        <f>IFERROR(MID(VLOOKUP($B388,Seqs!$A:$B,2,0),O388,1),"")</f>
        <v>D</v>
      </c>
      <c r="O388" s="9">
        <v>95</v>
      </c>
      <c r="P388" s="9" t="str">
        <f>IFERROR(MID(VLOOKUP($B388,Seqs!$A:$B,2,0),Q388,1),"")</f>
        <v/>
      </c>
      <c r="Q388" s="9" t="s">
        <v>23</v>
      </c>
      <c r="R388" s="9" t="str">
        <f>IFERROR(MID(VLOOKUP($B388,Seqs!$A:$B,2,0),S388,1),"")</f>
        <v/>
      </c>
      <c r="S388" s="9" t="s">
        <v>23</v>
      </c>
      <c r="T388" s="9" t="str">
        <f>IFERROR(MID(VLOOKUP($B388,Seqs!$A:$B,2,0),U388,1),"")</f>
        <v>A</v>
      </c>
      <c r="U388" s="9">
        <v>100</v>
      </c>
      <c r="V388" s="9" t="str">
        <f>IFERROR(MID(VLOOKUP($B388,Seqs!$A:$B,2,0),W388,1),"")</f>
        <v>V</v>
      </c>
      <c r="W388" s="9">
        <v>134</v>
      </c>
      <c r="X388" s="9" t="str">
        <f>IFERROR(MID(VLOOKUP($B388,Seqs!$A:$B,2,0),Y388,1),"")</f>
        <v/>
      </c>
      <c r="Y388" s="9" t="s">
        <v>23</v>
      </c>
      <c r="Z388" s="9" t="str">
        <f>IFERROR(MID(VLOOKUP($B388,Seqs!$A:$B,2,0),AA388,1),"")</f>
        <v/>
      </c>
      <c r="AA388" s="9" t="s">
        <v>23</v>
      </c>
      <c r="AB388" s="9" t="str">
        <f>IFERROR(MID(VLOOKUP($B388,Seqs!$A:$B,2,0),AC388,1),"")</f>
        <v>P</v>
      </c>
      <c r="AC388" s="9">
        <v>140</v>
      </c>
      <c r="AD388" s="9" t="str">
        <f>IFERROR(MID(VLOOKUP($B388,Seqs!$A:$B,2,0),AE388,1),"")</f>
        <v>M</v>
      </c>
      <c r="AE388" s="9">
        <v>164</v>
      </c>
      <c r="AF388" s="9" t="str">
        <f>IFERROR(MID(VLOOKUP($B388,Seqs!$A:$B,2,0),AG388,1),"")</f>
        <v>C</v>
      </c>
      <c r="AG388" s="9">
        <v>173</v>
      </c>
      <c r="AH388" s="9" t="str">
        <f>IFERROR(MID(VLOOKUP($B388,Seqs!$A:$B,2,0),AI388,1),"")</f>
        <v>T</v>
      </c>
      <c r="AI388" s="9">
        <v>175</v>
      </c>
      <c r="AJ388" s="9" t="str">
        <f>IFERROR(MID(VLOOKUP($B388,Seqs!$A:$B,2,0),AK388,1),"")</f>
        <v>S</v>
      </c>
      <c r="AK388" s="9">
        <v>183</v>
      </c>
      <c r="AL388" s="9" t="str">
        <f>IFERROR(MID(VLOOKUP($B388,Seqs!$A:$B,2,0),AM388,1),"")</f>
        <v>S</v>
      </c>
      <c r="AM388" s="9">
        <v>218</v>
      </c>
      <c r="AN388" s="9" t="str">
        <f>IFERROR(MID(VLOOKUP($B388,Seqs!$A:$B,2,0),AO388,1),"")</f>
        <v>H</v>
      </c>
      <c r="AO388" s="9">
        <v>222</v>
      </c>
      <c r="AP388" s="9" t="str">
        <f>IFERROR(MID(VLOOKUP($B388,Seqs!$A:$B,2,0),AQ388,1),"")</f>
        <v>K</v>
      </c>
      <c r="AQ388" s="9">
        <v>257</v>
      </c>
      <c r="AR388" s="9" t="str">
        <f>IFERROR(MID(VLOOKUP($B388,Seqs!$A:$B,2,0),AS388,1),"")</f>
        <v>S</v>
      </c>
      <c r="AS388" s="9">
        <v>262</v>
      </c>
      <c r="AT388" s="9" t="str">
        <f>IFERROR(MID(VLOOKUP($B388,Seqs!$A:$B,2,0),AU388,1),"")</f>
        <v>V</v>
      </c>
      <c r="AU388" s="9">
        <v>294</v>
      </c>
      <c r="AV388" s="9" t="str">
        <f>IFERROR(MID(VLOOKUP($B388,Seqs!$A:$B,2,0),AW388,1),"")</f>
        <v>G</v>
      </c>
      <c r="AW388" s="9">
        <v>295</v>
      </c>
      <c r="AX388" s="9" t="str">
        <f>IFERROR(MID(VLOOKUP($B388,Seqs!$A:$B,2,0),AY388,1),"")</f>
        <v>R</v>
      </c>
      <c r="AY388" s="9">
        <v>310</v>
      </c>
      <c r="AZ388" s="110" t="str">
        <f>VLOOKUP(B388,Classification!A:D,2,0)</f>
        <v>A</v>
      </c>
      <c r="BA388" s="98" t="str">
        <f>VLOOKUP(B388,Classification!A:D,4,0)</f>
        <v>Chemokine</v>
      </c>
      <c r="BB388" s="36" t="b">
        <f t="shared" si="3299"/>
        <v>1</v>
      </c>
      <c r="BC388" s="109">
        <f t="shared" si="3300"/>
        <v>257</v>
      </c>
      <c r="BD388" s="11" t="s">
        <v>23</v>
      </c>
      <c r="BE388" s="9" t="s">
        <v>23</v>
      </c>
      <c r="BF388" s="119" t="s">
        <v>23</v>
      </c>
      <c r="BG388" s="51" t="s">
        <v>1377</v>
      </c>
      <c r="BH388" s="51" t="s">
        <v>1377</v>
      </c>
      <c r="BI388" s="12"/>
      <c r="BJ388" s="111" t="s">
        <v>1287</v>
      </c>
      <c r="BK388" s="112" t="s">
        <v>1287</v>
      </c>
      <c r="BL388" s="112" t="s">
        <v>1287</v>
      </c>
      <c r="BM388" s="112" t="s">
        <v>1287</v>
      </c>
      <c r="BN388" s="112" t="s">
        <v>1287</v>
      </c>
      <c r="BO388" s="112" t="s">
        <v>1287</v>
      </c>
      <c r="BP388" s="112" t="s">
        <v>1287</v>
      </c>
      <c r="BQ388" s="112" t="s">
        <v>1287</v>
      </c>
      <c r="BR388" s="112" t="s">
        <v>1287</v>
      </c>
      <c r="BS388" s="112" t="s">
        <v>1287</v>
      </c>
      <c r="BT388" s="112" t="s">
        <v>1287</v>
      </c>
      <c r="BU388" s="112" t="s">
        <v>1287</v>
      </c>
      <c r="BV388" s="111">
        <f t="shared" si="3301"/>
        <v>25</v>
      </c>
      <c r="BW388" s="113">
        <f t="shared" si="3302"/>
        <v>62</v>
      </c>
      <c r="BX388" s="114">
        <f t="shared" si="3303"/>
        <v>66</v>
      </c>
      <c r="BY388" s="113" t="str">
        <f t="shared" si="3304"/>
        <v>-</v>
      </c>
      <c r="BZ388" s="114">
        <f t="shared" si="3305"/>
        <v>100</v>
      </c>
      <c r="CA388" s="113" t="str">
        <f t="shared" si="3306"/>
        <v>-</v>
      </c>
      <c r="CB388" s="114">
        <f t="shared" si="3307"/>
        <v>140</v>
      </c>
      <c r="CC388" s="113">
        <f t="shared" si="3308"/>
        <v>173</v>
      </c>
      <c r="CD388" s="114">
        <f t="shared" si="3309"/>
        <v>183</v>
      </c>
      <c r="CE388" s="113">
        <f t="shared" si="3310"/>
        <v>222</v>
      </c>
      <c r="CF388" s="114">
        <f t="shared" si="3311"/>
        <v>262</v>
      </c>
      <c r="CG388" s="113">
        <f t="shared" si="3312"/>
        <v>295</v>
      </c>
      <c r="CH388" s="111">
        <f t="shared" si="3313"/>
        <v>61</v>
      </c>
      <c r="CI388" s="113">
        <f t="shared" si="3314"/>
        <v>65</v>
      </c>
      <c r="CJ388" s="114">
        <f t="shared" si="3315"/>
        <v>95</v>
      </c>
      <c r="CK388" s="114" t="str">
        <f t="shared" si="3316"/>
        <v>-</v>
      </c>
      <c r="CL388" s="114">
        <f t="shared" si="3317"/>
        <v>134</v>
      </c>
      <c r="CM388" s="114" t="str">
        <f t="shared" si="3318"/>
        <v>-</v>
      </c>
      <c r="CN388" s="114">
        <f t="shared" si="3319"/>
        <v>164</v>
      </c>
      <c r="CO388" s="114">
        <f t="shared" si="3320"/>
        <v>175</v>
      </c>
      <c r="CP388" s="114">
        <f t="shared" si="3321"/>
        <v>218</v>
      </c>
      <c r="CQ388" s="114">
        <f t="shared" si="3322"/>
        <v>257</v>
      </c>
      <c r="CR388" s="114">
        <f t="shared" si="3323"/>
        <v>294</v>
      </c>
      <c r="CS388" s="114">
        <f t="shared" si="3324"/>
        <v>310</v>
      </c>
      <c r="CT388" s="109">
        <f t="shared" si="3325"/>
        <v>1</v>
      </c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6"/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Q388" s="6"/>
      <c r="KR388" s="6"/>
      <c r="KS388" s="6"/>
      <c r="KT388" s="6"/>
      <c r="KU388" s="6"/>
      <c r="KV388" s="6"/>
      <c r="KW388" s="6"/>
      <c r="KX388" s="6"/>
      <c r="KY388" s="6"/>
      <c r="KZ388" s="6"/>
      <c r="LA388" s="6"/>
      <c r="LB388" s="6"/>
      <c r="LC388" s="6"/>
      <c r="LD388" s="6"/>
      <c r="LE388" s="6"/>
      <c r="LF388" s="6"/>
      <c r="LG388" s="6"/>
      <c r="LH388" s="6"/>
      <c r="LI388" s="6"/>
      <c r="LJ388" s="6"/>
      <c r="LK388" s="6"/>
      <c r="LL388" s="6"/>
      <c r="LM388" s="6"/>
      <c r="LN388" s="6"/>
      <c r="LO388" s="6"/>
      <c r="LP388" s="6"/>
      <c r="LQ388" s="6"/>
      <c r="LR388" s="6"/>
      <c r="LS388" s="6"/>
      <c r="LT388" s="6"/>
      <c r="LU388" s="6"/>
      <c r="LV388" s="6"/>
      <c r="LW388" s="6"/>
      <c r="LX388" s="6"/>
      <c r="LY388" s="6"/>
      <c r="LZ388" s="6"/>
      <c r="MA388" s="6"/>
      <c r="MB388" s="6"/>
      <c r="MC388" s="6"/>
      <c r="MD388" s="6"/>
      <c r="ME388" s="6"/>
      <c r="MF388" s="6"/>
      <c r="MG388" s="6"/>
      <c r="MH388" s="6"/>
      <c r="MI388" s="6"/>
      <c r="MJ388" s="6"/>
      <c r="MK388" s="6"/>
      <c r="ML388" s="6"/>
      <c r="MM388" s="6"/>
      <c r="MN388" s="6"/>
      <c r="MO388" s="6"/>
      <c r="MP388" s="6"/>
      <c r="MQ388" s="6"/>
      <c r="MR388" s="6"/>
      <c r="MS388" s="6"/>
      <c r="MT388" s="6"/>
      <c r="MU388" s="6"/>
      <c r="MV388" s="6"/>
      <c r="MW388" s="6"/>
      <c r="MX388" s="6"/>
      <c r="MY388" s="6"/>
      <c r="MZ388" s="6"/>
      <c r="NA388" s="6"/>
      <c r="NB388" s="6"/>
      <c r="NC388" s="6"/>
      <c r="ND388" s="6"/>
      <c r="NE388" s="6"/>
      <c r="NF388" s="6"/>
      <c r="NG388" s="6"/>
      <c r="NH388" s="6"/>
      <c r="NI388" s="6"/>
      <c r="NJ388" s="6"/>
      <c r="NK388" s="6"/>
      <c r="NL388" s="6"/>
      <c r="NM388" s="6"/>
      <c r="NN388" s="6"/>
      <c r="NO388" s="6"/>
      <c r="NP388" s="6"/>
      <c r="NQ388" s="6"/>
      <c r="NR388" s="6"/>
      <c r="NS388" s="6"/>
      <c r="NT388" s="6"/>
      <c r="NU388" s="6"/>
      <c r="NV388" s="6"/>
      <c r="NW388" s="6"/>
      <c r="NX388" s="6"/>
      <c r="NY388" s="6"/>
      <c r="NZ388" s="6"/>
      <c r="OA388" s="6"/>
      <c r="OB388" s="6"/>
      <c r="OC388" s="6"/>
      <c r="OD388" s="6"/>
      <c r="OE388" s="6"/>
      <c r="OF388" s="6"/>
      <c r="OG388" s="6"/>
      <c r="OH388" s="6"/>
      <c r="OI388" s="6"/>
      <c r="OJ388" s="6"/>
      <c r="OK388" s="6"/>
      <c r="OL388" s="6"/>
      <c r="OM388" s="6"/>
      <c r="ON388" s="6"/>
      <c r="OO388" s="6"/>
      <c r="OP388" s="6"/>
      <c r="OQ388" s="6"/>
      <c r="OR388" s="6"/>
      <c r="OS388" s="6"/>
      <c r="OT388" s="6"/>
      <c r="OU388" s="6"/>
      <c r="OV388" s="6"/>
      <c r="OW388" s="6"/>
      <c r="OX388" s="6"/>
      <c r="OY388" s="6"/>
      <c r="OZ388" s="6"/>
      <c r="PA388" s="6"/>
      <c r="PB388" s="6"/>
      <c r="PC388" s="6"/>
      <c r="PD388" s="6"/>
      <c r="PE388" s="6"/>
      <c r="PF388" s="6"/>
      <c r="PG388" s="6"/>
      <c r="PH388" s="6"/>
      <c r="PI388" s="6"/>
      <c r="PJ388" s="6"/>
      <c r="PK388" s="6"/>
      <c r="PL388" s="6"/>
      <c r="PM388" s="6"/>
      <c r="PN388" s="6"/>
      <c r="PO388" s="6"/>
      <c r="PP388" s="6"/>
      <c r="PQ388" s="6"/>
      <c r="PR388" s="6"/>
      <c r="PS388" s="6"/>
      <c r="PT388" s="6"/>
      <c r="PU388" s="6"/>
      <c r="PV388" s="6"/>
      <c r="PW388" s="6"/>
      <c r="PX388" s="6"/>
      <c r="PY388" s="6"/>
      <c r="PZ388" s="6"/>
      <c r="QA388" s="6"/>
      <c r="QB388" s="6"/>
      <c r="QC388" s="6"/>
      <c r="QD388" s="6"/>
      <c r="QE388" s="6"/>
      <c r="QF388" s="6"/>
      <c r="QG388" s="6"/>
      <c r="QH388" s="6"/>
      <c r="QI388" s="6"/>
      <c r="QJ388" s="6"/>
      <c r="QK388" s="6"/>
      <c r="QL388" s="6"/>
      <c r="QM388" s="6"/>
      <c r="QN388" s="6"/>
      <c r="QO388" s="6"/>
      <c r="QP388" s="6"/>
      <c r="QQ388" s="6"/>
      <c r="QR388" s="6"/>
      <c r="QS388" s="6"/>
      <c r="QT388" s="6"/>
      <c r="QU388" s="6"/>
      <c r="QV388" s="6"/>
      <c r="QW388" s="6"/>
      <c r="QX388" s="6"/>
      <c r="QY388" s="6"/>
      <c r="QZ388" s="6"/>
      <c r="RA388" s="6"/>
      <c r="RB388" s="6"/>
      <c r="RC388" s="6"/>
      <c r="RD388" s="6"/>
      <c r="RE388" s="6"/>
      <c r="RF388" s="6"/>
      <c r="RG388" s="6"/>
      <c r="RH388" s="6"/>
      <c r="RI388" s="6"/>
      <c r="RJ388" s="6"/>
      <c r="RK388" s="6"/>
      <c r="RL388" s="6"/>
      <c r="RM388" s="6"/>
      <c r="RN388" s="6"/>
      <c r="RO388" s="6"/>
      <c r="RP388" s="6"/>
      <c r="RQ388" s="6"/>
      <c r="RR388" s="6"/>
      <c r="RS388" s="6"/>
      <c r="RT388" s="6"/>
      <c r="RU388" s="6"/>
      <c r="RV388" s="6"/>
      <c r="RW388" s="6"/>
      <c r="RX388" s="6"/>
      <c r="RY388" s="6"/>
      <c r="RZ388" s="6"/>
      <c r="SA388" s="6"/>
      <c r="SB388" s="6"/>
      <c r="SC388" s="6"/>
      <c r="SD388" s="6"/>
      <c r="SE388" s="6"/>
      <c r="SF388" s="6"/>
      <c r="SG388" s="6"/>
      <c r="SH388" s="6"/>
      <c r="SI388" s="6"/>
      <c r="SJ388" s="6"/>
      <c r="SK388" s="6"/>
      <c r="SL388" s="6"/>
      <c r="SM388" s="6"/>
      <c r="SN388" s="6"/>
      <c r="SO388" s="6"/>
      <c r="SP388" s="6"/>
      <c r="SQ388" s="6"/>
      <c r="SR388" s="6"/>
      <c r="SS388" s="6"/>
      <c r="ST388" s="6"/>
      <c r="SU388" s="6"/>
      <c r="SV388" s="6"/>
      <c r="SW388" s="6"/>
      <c r="SX388" s="6"/>
      <c r="SY388" s="6"/>
      <c r="SZ388" s="6"/>
      <c r="TA388" s="6"/>
      <c r="TB388" s="6"/>
      <c r="TC388" s="6"/>
      <c r="TD388" s="6"/>
      <c r="TE388" s="6"/>
      <c r="TF388" s="6"/>
      <c r="TG388" s="6"/>
      <c r="TH388" s="6"/>
      <c r="TI388" s="6"/>
      <c r="TJ388" s="6"/>
      <c r="TK388" s="6"/>
      <c r="TL388" s="6"/>
      <c r="TM388" s="6"/>
      <c r="TN388" s="6"/>
      <c r="TO388" s="6"/>
      <c r="TP388" s="6"/>
      <c r="TQ388" s="6"/>
      <c r="TR388" s="6"/>
      <c r="TS388" s="6"/>
      <c r="TT388" s="6"/>
      <c r="TU388" s="6"/>
      <c r="TV388" s="6"/>
      <c r="TW388" s="6"/>
      <c r="TX388" s="6"/>
      <c r="TY388" s="6"/>
      <c r="TZ388" s="6"/>
      <c r="UA388" s="6"/>
      <c r="UB388" s="6"/>
      <c r="UC388" s="6"/>
      <c r="UD388" s="6"/>
      <c r="UE388" s="6"/>
      <c r="UF388" s="6"/>
      <c r="UG388" s="6"/>
      <c r="UH388" s="6"/>
      <c r="UI388" s="6"/>
      <c r="UJ388" s="6"/>
      <c r="UK388" s="6"/>
      <c r="UL388" s="6"/>
      <c r="UM388" s="6"/>
      <c r="UN388" s="6"/>
      <c r="UO388" s="6"/>
      <c r="UP388" s="6"/>
      <c r="UQ388" s="6"/>
      <c r="UR388" s="6"/>
      <c r="US388" s="6"/>
      <c r="UT388" s="6"/>
      <c r="UU388" s="6"/>
      <c r="UV388" s="6"/>
      <c r="UW388" s="6"/>
      <c r="UX388" s="6"/>
      <c r="UY388" s="6"/>
      <c r="UZ388" s="6"/>
      <c r="VA388" s="6"/>
      <c r="VB388" s="6"/>
      <c r="VC388" s="6"/>
      <c r="VD388" s="6"/>
      <c r="VE388" s="6"/>
      <c r="VF388" s="6"/>
      <c r="VG388" s="6"/>
      <c r="VH388" s="6"/>
      <c r="VI388" s="6"/>
      <c r="VJ388" s="6"/>
      <c r="VK388" s="6"/>
      <c r="VL388" s="6"/>
      <c r="VM388" s="6"/>
      <c r="VN388" s="6"/>
      <c r="VO388" s="6"/>
      <c r="VP388" s="6"/>
      <c r="VQ388" s="6"/>
      <c r="VR388" s="6"/>
      <c r="VS388" s="6"/>
      <c r="VT388" s="6"/>
      <c r="VU388" s="6"/>
      <c r="VV388" s="6"/>
      <c r="VW388" s="6"/>
      <c r="VX388" s="6"/>
      <c r="VY388" s="6"/>
      <c r="VZ388" s="6"/>
      <c r="WA388" s="6"/>
      <c r="WB388" s="6"/>
      <c r="WC388" s="6"/>
      <c r="WD388" s="6"/>
      <c r="WE388" s="6"/>
      <c r="WF388" s="6"/>
      <c r="WG388" s="6"/>
      <c r="WH388" s="6"/>
      <c r="WI388" s="6"/>
      <c r="WJ388" s="6"/>
      <c r="WK388" s="6"/>
      <c r="WL388" s="6"/>
      <c r="WM388" s="6"/>
      <c r="WN388" s="6"/>
      <c r="WO388" s="6"/>
      <c r="WP388" s="6"/>
      <c r="WQ388" s="6"/>
      <c r="WR388" s="6"/>
      <c r="WS388" s="6"/>
      <c r="WT388" s="6"/>
      <c r="WU388" s="6"/>
      <c r="WV388" s="6"/>
      <c r="WW388" s="6"/>
      <c r="WX388" s="6"/>
      <c r="WY388" s="6"/>
      <c r="WZ388" s="6"/>
      <c r="XA388" s="6"/>
      <c r="XB388" s="6"/>
      <c r="XC388" s="6"/>
      <c r="XD388" s="6"/>
      <c r="XE388" s="6"/>
      <c r="XF388" s="6"/>
      <c r="XG388" s="6"/>
      <c r="XH388" s="6"/>
      <c r="XI388" s="6"/>
      <c r="XJ388" s="6"/>
      <c r="XK388" s="6"/>
      <c r="XL388" s="6"/>
      <c r="XM388" s="6"/>
      <c r="XN388" s="6"/>
      <c r="XO388" s="6"/>
      <c r="XP388" s="6"/>
      <c r="XQ388" s="6"/>
      <c r="XR388" s="6"/>
      <c r="XS388" s="6"/>
      <c r="XT388" s="6"/>
      <c r="XU388" s="6"/>
      <c r="XV388" s="6"/>
      <c r="XW388" s="6"/>
      <c r="XX388" s="6"/>
      <c r="XY388" s="6"/>
      <c r="XZ388" s="6"/>
      <c r="YA388" s="6"/>
      <c r="YB388" s="6"/>
      <c r="YC388" s="6"/>
      <c r="YD388" s="6"/>
      <c r="YE388" s="6"/>
      <c r="YF388" s="6"/>
      <c r="YG388" s="6"/>
      <c r="YH388" s="6"/>
      <c r="YI388" s="6"/>
      <c r="YJ388" s="6"/>
      <c r="YK388" s="6"/>
      <c r="YL388" s="6"/>
      <c r="YM388" s="6"/>
      <c r="YN388" s="6"/>
      <c r="YO388" s="6"/>
      <c r="YP388" s="6"/>
      <c r="YQ388" s="6"/>
      <c r="YR388" s="6"/>
      <c r="YS388" s="6"/>
      <c r="YT388" s="6"/>
      <c r="YU388" s="6"/>
      <c r="YV388" s="6"/>
      <c r="YW388" s="6"/>
      <c r="YX388" s="6"/>
      <c r="YY388" s="6"/>
      <c r="YZ388" s="6"/>
      <c r="ZA388" s="6"/>
      <c r="ZB388" s="6"/>
      <c r="ZC388" s="6"/>
      <c r="ZD388" s="6"/>
      <c r="ZE388" s="6"/>
      <c r="ZF388" s="6"/>
      <c r="ZG388" s="6"/>
      <c r="ZH388" s="6"/>
      <c r="ZI388" s="6"/>
      <c r="ZJ388" s="6"/>
      <c r="ZK388" s="6"/>
      <c r="ZL388" s="6"/>
      <c r="ZM388" s="6"/>
      <c r="ZN388" s="6"/>
      <c r="ZO388" s="6"/>
      <c r="ZP388" s="6"/>
      <c r="ZQ388" s="6"/>
      <c r="ZR388" s="6"/>
      <c r="ZS388" s="6"/>
      <c r="ZT388" s="6"/>
      <c r="ZU388" s="6"/>
      <c r="ZV388" s="6"/>
      <c r="ZW388" s="6"/>
      <c r="ZX388" s="6"/>
      <c r="ZY388" s="6"/>
      <c r="ZZ388" s="6"/>
      <c r="AAA388" s="6"/>
      <c r="AAB388" s="6"/>
      <c r="AAC388" s="6"/>
      <c r="AAD388" s="6"/>
      <c r="AAE388" s="6"/>
      <c r="AAF388" s="6"/>
      <c r="AAG388" s="6"/>
      <c r="AAH388" s="6"/>
      <c r="AAI388" s="6"/>
      <c r="AAJ388" s="6"/>
      <c r="AAK388" s="6"/>
      <c r="AAL388" s="6"/>
      <c r="AAM388" s="6"/>
      <c r="AAN388" s="6"/>
      <c r="AAO388" s="6"/>
      <c r="AAP388" s="6"/>
      <c r="AAQ388" s="6"/>
      <c r="AAR388" s="6"/>
      <c r="AAS388" s="6"/>
      <c r="AAT388" s="6"/>
      <c r="AAU388" s="6"/>
      <c r="AAV388" s="6"/>
      <c r="AAW388" s="6"/>
      <c r="AAX388" s="6"/>
      <c r="AAY388" s="6"/>
      <c r="AAZ388" s="6"/>
      <c r="ABA388" s="6"/>
      <c r="ABB388" s="6"/>
      <c r="ABC388" s="6"/>
      <c r="ABD388" s="6"/>
      <c r="ABE388" s="6"/>
      <c r="ABF388" s="6"/>
      <c r="ABG388" s="6"/>
      <c r="ABH388" s="6"/>
      <c r="ABI388" s="6"/>
      <c r="ABJ388" s="6"/>
      <c r="ABK388" s="6"/>
      <c r="ABL388" s="6"/>
      <c r="ABM388" s="6"/>
      <c r="ABN388" s="6"/>
      <c r="ABO388" s="6"/>
      <c r="ABP388" s="6"/>
      <c r="ABQ388" s="6"/>
      <c r="ABR388" s="6"/>
      <c r="ABS388" s="6"/>
      <c r="ABT388" s="6"/>
      <c r="ABU388" s="6"/>
      <c r="ABV388" s="6"/>
      <c r="ABW388" s="6"/>
      <c r="ABX388" s="6"/>
      <c r="ABY388" s="6"/>
      <c r="ABZ388" s="6"/>
      <c r="ACA388" s="6"/>
      <c r="ACB388" s="6"/>
      <c r="ACC388" s="6"/>
      <c r="ACD388" s="6"/>
      <c r="ACE388" s="6"/>
      <c r="ACF388" s="6"/>
      <c r="ACG388" s="6"/>
      <c r="ACH388" s="6"/>
      <c r="ACI388" s="6"/>
      <c r="ACJ388" s="6"/>
      <c r="ACK388" s="6"/>
      <c r="ACL388" s="6"/>
      <c r="ACM388" s="6"/>
      <c r="ACN388" s="6"/>
      <c r="ACO388" s="6"/>
      <c r="ACP388" s="6"/>
      <c r="ACQ388" s="6"/>
      <c r="ACR388" s="6"/>
      <c r="ACS388" s="6"/>
      <c r="ACT388" s="6"/>
      <c r="ACU388" s="6"/>
      <c r="ACV388" s="6"/>
      <c r="ACW388" s="6"/>
      <c r="ACX388" s="6"/>
      <c r="ACY388" s="6"/>
      <c r="ACZ388" s="6"/>
      <c r="ADA388" s="6"/>
      <c r="ADB388" s="6"/>
      <c r="ADC388" s="6"/>
      <c r="ADD388" s="6"/>
      <c r="ADE388" s="6"/>
      <c r="ADF388" s="6"/>
      <c r="ADG388" s="6"/>
      <c r="ADH388" s="6"/>
      <c r="ADI388" s="6"/>
      <c r="ADJ388" s="6"/>
      <c r="ADK388" s="6"/>
      <c r="ADL388" s="6"/>
      <c r="ADM388" s="6"/>
      <c r="ADN388" s="6"/>
      <c r="ADO388" s="6"/>
      <c r="ADP388" s="6"/>
      <c r="ADQ388" s="6"/>
      <c r="ADR388" s="6"/>
      <c r="ADS388" s="6"/>
      <c r="ADT388" s="6"/>
      <c r="ADU388" s="6"/>
      <c r="ADV388" s="6"/>
      <c r="ADW388" s="6"/>
      <c r="ADX388" s="6"/>
      <c r="ADY388" s="6"/>
      <c r="ADZ388" s="6"/>
      <c r="AEA388" s="6"/>
      <c r="AEB388" s="6"/>
      <c r="AEC388" s="6"/>
      <c r="AED388" s="6"/>
      <c r="AEE388" s="6"/>
      <c r="AEF388" s="6"/>
      <c r="AEG388" s="6"/>
      <c r="AEH388" s="6"/>
      <c r="AEI388" s="6"/>
      <c r="AEJ388" s="6"/>
      <c r="AEK388" s="6"/>
      <c r="AEL388" s="6"/>
      <c r="AEM388" s="6"/>
      <c r="AEN388" s="6"/>
      <c r="AEO388" s="6"/>
      <c r="AEP388" s="6"/>
      <c r="AEQ388" s="6"/>
      <c r="AER388" s="6"/>
      <c r="AES388" s="6"/>
      <c r="AET388" s="6"/>
      <c r="AEU388" s="6"/>
      <c r="AEV388" s="6"/>
      <c r="AEW388" s="6"/>
      <c r="AEX388" s="6"/>
      <c r="AEY388" s="6"/>
      <c r="AEZ388" s="6"/>
      <c r="AFA388" s="6"/>
      <c r="AFB388" s="6"/>
      <c r="AFC388" s="6"/>
      <c r="AFD388" s="6"/>
      <c r="AFE388" s="6"/>
      <c r="AFF388" s="6"/>
      <c r="AFG388" s="6"/>
      <c r="AFH388" s="6"/>
      <c r="AFI388" s="6"/>
      <c r="AFJ388" s="6"/>
      <c r="AFK388" s="6"/>
      <c r="AFL388" s="6"/>
      <c r="AFM388" s="6"/>
      <c r="AFN388" s="6"/>
      <c r="AFO388" s="6"/>
      <c r="AFP388" s="6"/>
      <c r="AFQ388" s="6"/>
      <c r="AFR388" s="6"/>
      <c r="AFS388" s="6"/>
      <c r="AFT388" s="6"/>
      <c r="AFU388" s="6"/>
      <c r="AFV388" s="6"/>
      <c r="AFW388" s="6"/>
      <c r="AFX388" s="6"/>
      <c r="AFY388" s="6"/>
      <c r="AFZ388" s="6"/>
      <c r="AGA388" s="6"/>
      <c r="AGB388" s="6"/>
      <c r="AGC388" s="6"/>
      <c r="AGD388" s="6"/>
      <c r="AGE388" s="6"/>
      <c r="AGF388" s="6"/>
      <c r="AGG388" s="6"/>
      <c r="AGH388" s="6"/>
      <c r="AGI388" s="6"/>
      <c r="AGJ388" s="6"/>
      <c r="AGK388" s="6"/>
      <c r="AGL388" s="6"/>
      <c r="AGM388" s="6"/>
      <c r="AGN388" s="6"/>
      <c r="AGO388" s="6"/>
      <c r="AGP388" s="6"/>
      <c r="AGQ388" s="6"/>
      <c r="AGR388" s="6"/>
      <c r="AGS388" s="6"/>
      <c r="AGT388" s="6"/>
      <c r="AGU388" s="6"/>
      <c r="AGV388" s="6"/>
      <c r="AGW388" s="6"/>
      <c r="AGX388" s="6"/>
      <c r="AGY388" s="6"/>
      <c r="AGZ388" s="6"/>
      <c r="AHA388" s="6"/>
      <c r="AHB388" s="6"/>
      <c r="AHC388" s="6"/>
      <c r="AHD388" s="6"/>
      <c r="AHE388" s="6"/>
      <c r="AHF388" s="6"/>
      <c r="AHG388" s="6"/>
      <c r="AHH388" s="6"/>
      <c r="AHI388" s="6"/>
      <c r="AHJ388" s="6"/>
      <c r="AHK388" s="6"/>
      <c r="AHL388" s="6"/>
      <c r="AHM388" s="6"/>
      <c r="AHN388" s="6"/>
      <c r="AHO388" s="6"/>
      <c r="AHP388" s="6"/>
      <c r="AHQ388" s="6"/>
      <c r="AHR388" s="6"/>
      <c r="AHS388" s="6"/>
      <c r="AHT388" s="6"/>
      <c r="AHU388" s="6"/>
      <c r="AHV388" s="6"/>
      <c r="AHW388" s="6"/>
      <c r="AHX388" s="6"/>
      <c r="AHY388" s="6"/>
      <c r="AHZ388" s="6"/>
      <c r="AIA388" s="6"/>
      <c r="AIB388" s="6"/>
      <c r="AIC388" s="6"/>
      <c r="AID388" s="6"/>
      <c r="AIE388" s="6"/>
      <c r="AIF388" s="6"/>
      <c r="AIG388" s="6"/>
      <c r="AIH388" s="6"/>
      <c r="AII388" s="6"/>
      <c r="AIJ388" s="6"/>
      <c r="AIK388" s="6"/>
      <c r="AIL388" s="6"/>
      <c r="AIM388" s="6"/>
      <c r="AIN388" s="6"/>
      <c r="AIO388" s="6"/>
      <c r="AIP388" s="6"/>
      <c r="AIQ388" s="6"/>
      <c r="AIR388" s="6"/>
      <c r="AIS388" s="6"/>
      <c r="AIT388" s="6"/>
      <c r="AIU388" s="6"/>
      <c r="AIV388" s="6"/>
      <c r="AIW388" s="6"/>
      <c r="AIX388" s="6"/>
      <c r="AIY388" s="6"/>
      <c r="AIZ388" s="6"/>
      <c r="AJA388" s="6"/>
      <c r="AJB388" s="6"/>
      <c r="AJC388" s="6"/>
      <c r="AJD388" s="6"/>
      <c r="AJE388" s="6"/>
      <c r="AJF388" s="6"/>
      <c r="AJG388" s="6"/>
      <c r="AJH388" s="6"/>
      <c r="AJI388" s="6"/>
      <c r="AJJ388" s="6"/>
      <c r="AJK388" s="6"/>
      <c r="AJL388" s="6"/>
      <c r="AJM388" s="6"/>
      <c r="AJN388" s="6"/>
      <c r="AJO388" s="6"/>
      <c r="AJP388" s="6"/>
      <c r="AJQ388" s="6"/>
      <c r="AJR388" s="6"/>
      <c r="AJS388" s="6"/>
      <c r="AJT388" s="6"/>
      <c r="AJU388" s="6"/>
      <c r="AJV388" s="6"/>
      <c r="AJW388" s="6"/>
      <c r="AJX388" s="6"/>
      <c r="AJY388" s="6"/>
      <c r="AJZ388" s="6"/>
      <c r="AKA388" s="6"/>
      <c r="AKB388" s="6"/>
      <c r="AKC388" s="6"/>
      <c r="AKD388" s="6"/>
      <c r="AKE388" s="6"/>
      <c r="AKF388" s="6"/>
      <c r="AKG388" s="6"/>
      <c r="AKH388" s="6"/>
      <c r="AKI388" s="6"/>
      <c r="AKJ388" s="6"/>
      <c r="AKK388" s="6"/>
      <c r="AKL388" s="6"/>
      <c r="AKM388" s="6"/>
      <c r="AKN388" s="6"/>
      <c r="AKO388" s="6"/>
      <c r="AKP388" s="6"/>
      <c r="AKQ388" s="6"/>
      <c r="AKR388" s="6"/>
      <c r="AKS388" s="6"/>
      <c r="AKT388" s="6"/>
      <c r="AKU388" s="6"/>
      <c r="AKV388" s="6"/>
      <c r="AKW388" s="6"/>
      <c r="AKX388" s="6"/>
      <c r="AKY388" s="6"/>
      <c r="AKZ388" s="6"/>
      <c r="ALA388" s="6"/>
      <c r="ALB388" s="6"/>
      <c r="ALC388" s="6"/>
      <c r="ALD388" s="6"/>
      <c r="ALE388" s="6"/>
      <c r="ALF388" s="6"/>
      <c r="ALG388" s="6"/>
      <c r="ALH388" s="6"/>
      <c r="ALI388" s="6"/>
      <c r="ALJ388" s="6"/>
      <c r="ALK388" s="6"/>
      <c r="ALL388" s="6"/>
      <c r="ALM388" s="6"/>
      <c r="ALN388" s="6"/>
      <c r="ALO388" s="6"/>
      <c r="ALP388" s="6"/>
      <c r="ALQ388" s="6"/>
      <c r="ALR388" s="6"/>
      <c r="ALS388" s="6"/>
      <c r="ALT388" s="6"/>
      <c r="ALU388" s="6"/>
      <c r="ALV388" s="6"/>
      <c r="ALW388" s="6"/>
      <c r="ALX388" s="6"/>
      <c r="ALY388" s="6"/>
      <c r="ALZ388" s="6"/>
      <c r="AMA388" s="6"/>
      <c r="AMB388" s="6"/>
      <c r="AMC388" s="6"/>
      <c r="AMD388" s="6"/>
      <c r="AME388" s="6"/>
      <c r="AMF388" s="6"/>
      <c r="AMG388" s="6"/>
      <c r="AMH388" s="6"/>
      <c r="AMI388" s="6"/>
      <c r="AMJ388" s="6"/>
      <c r="AMK388" s="6"/>
      <c r="AML388" s="6"/>
      <c r="AMM388" s="6"/>
      <c r="AMN388" s="6"/>
      <c r="AMO388" s="6"/>
      <c r="AMP388" s="6"/>
    </row>
    <row r="389" spans="1:1030" x14ac:dyDescent="0.2">
      <c r="A389" s="9" t="str">
        <f t="shared" si="3326"/>
        <v>q80km9_hcmv_5WB1</v>
      </c>
      <c r="B389" s="40" t="s">
        <v>1507</v>
      </c>
      <c r="C389" s="9" t="s">
        <v>1509</v>
      </c>
      <c r="D389" s="9" t="str">
        <f>IFERROR(MID(VLOOKUP($B389,Seqs!$A:$B,2,0),E389,1),"")</f>
        <v>F</v>
      </c>
      <c r="E389" s="9">
        <v>25</v>
      </c>
      <c r="F389" s="9" t="str">
        <f>IFERROR(MID(VLOOKUP($B389,Seqs!$A:$B,2,0),G389,1),"")</f>
        <v>W</v>
      </c>
      <c r="G389" s="9">
        <v>60</v>
      </c>
      <c r="H389" s="9" t="str">
        <f>IFERROR(MID(VLOOKUP($B389,Seqs!$A:$B,2,0),I389,1),"")</f>
        <v/>
      </c>
      <c r="I389" s="109" t="s">
        <v>23</v>
      </c>
      <c r="J389" s="9" t="str">
        <f>IFERROR(MID(VLOOKUP($B389,Seqs!$A:$B,2,0),K389,1),"")</f>
        <v/>
      </c>
      <c r="K389" s="109" t="s">
        <v>23</v>
      </c>
      <c r="L389" s="9" t="str">
        <f>IFERROR(MID(VLOOKUP($B389,Seqs!$A:$B,2,0),M389,1),"")</f>
        <v>C</v>
      </c>
      <c r="M389" s="9">
        <v>66</v>
      </c>
      <c r="N389" s="9" t="str">
        <f>IFERROR(MID(VLOOKUP($B389,Seqs!$A:$B,2,0),O389,1),"")</f>
        <v>D</v>
      </c>
      <c r="O389" s="9">
        <v>95</v>
      </c>
      <c r="P389" s="9" t="str">
        <f>IFERROR(MID(VLOOKUP($B389,Seqs!$A:$B,2,0),Q389,1),"")</f>
        <v/>
      </c>
      <c r="Q389" s="9" t="s">
        <v>23</v>
      </c>
      <c r="R389" s="9" t="str">
        <f>IFERROR(MID(VLOOKUP($B389,Seqs!$A:$B,2,0),S389,1),"")</f>
        <v/>
      </c>
      <c r="S389" s="9" t="s">
        <v>23</v>
      </c>
      <c r="T389" s="9" t="str">
        <f>IFERROR(MID(VLOOKUP($B389,Seqs!$A:$B,2,0),U389,1),"")</f>
        <v>A</v>
      </c>
      <c r="U389" s="9">
        <v>100</v>
      </c>
      <c r="V389" s="9" t="str">
        <f>IFERROR(MID(VLOOKUP($B389,Seqs!$A:$B,2,0),W389,1),"")</f>
        <v>V</v>
      </c>
      <c r="W389" s="9">
        <v>134</v>
      </c>
      <c r="X389" s="9" t="str">
        <f>IFERROR(MID(VLOOKUP($B389,Seqs!$A:$B,2,0),Y389,1),"")</f>
        <v/>
      </c>
      <c r="Y389" s="9" t="s">
        <v>23</v>
      </c>
      <c r="Z389" s="9" t="str">
        <f>IFERROR(MID(VLOOKUP($B389,Seqs!$A:$B,2,0),AA389,1),"")</f>
        <v/>
      </c>
      <c r="AA389" s="9" t="s">
        <v>23</v>
      </c>
      <c r="AB389" s="9" t="str">
        <f>IFERROR(MID(VLOOKUP($B389,Seqs!$A:$B,2,0),AC389,1),"")</f>
        <v>P</v>
      </c>
      <c r="AC389" s="9">
        <v>140</v>
      </c>
      <c r="AD389" s="9" t="str">
        <f>IFERROR(MID(VLOOKUP($B389,Seqs!$A:$B,2,0),AE389,1),"")</f>
        <v>M</v>
      </c>
      <c r="AE389" s="9">
        <v>164</v>
      </c>
      <c r="AF389" s="9" t="str">
        <f>IFERROR(MID(VLOOKUP($B389,Seqs!$A:$B,2,0),AG389,1),"")</f>
        <v>C</v>
      </c>
      <c r="AG389" s="9">
        <v>173</v>
      </c>
      <c r="AH389" s="9" t="str">
        <f>IFERROR(MID(VLOOKUP($B389,Seqs!$A:$B,2,0),AI389,1),"")</f>
        <v>T</v>
      </c>
      <c r="AI389" s="9">
        <v>175</v>
      </c>
      <c r="AJ389" s="9" t="str">
        <f>IFERROR(MID(VLOOKUP($B389,Seqs!$A:$B,2,0),AK389,1),"")</f>
        <v>S</v>
      </c>
      <c r="AK389" s="9">
        <v>183</v>
      </c>
      <c r="AL389" s="9" t="str">
        <f>IFERROR(MID(VLOOKUP($B389,Seqs!$A:$B,2,0),AM389,1),"")</f>
        <v>S</v>
      </c>
      <c r="AM389" s="9">
        <v>218</v>
      </c>
      <c r="AN389" s="9" t="str">
        <f>IFERROR(MID(VLOOKUP($B389,Seqs!$A:$B,2,0),AO389,1),"")</f>
        <v>H</v>
      </c>
      <c r="AO389" s="9">
        <v>222</v>
      </c>
      <c r="AP389" s="9" t="str">
        <f>IFERROR(MID(VLOOKUP($B389,Seqs!$A:$B,2,0),AQ389,1),"")</f>
        <v>K</v>
      </c>
      <c r="AQ389" s="9">
        <v>257</v>
      </c>
      <c r="AR389" s="9" t="str">
        <f>IFERROR(MID(VLOOKUP($B389,Seqs!$A:$B,2,0),AS389,1),"")</f>
        <v>S</v>
      </c>
      <c r="AS389" s="9">
        <v>262</v>
      </c>
      <c r="AT389" s="9" t="str">
        <f>IFERROR(MID(VLOOKUP($B389,Seqs!$A:$B,2,0),AU389,1),"")</f>
        <v>V</v>
      </c>
      <c r="AU389" s="9">
        <v>294</v>
      </c>
      <c r="AV389" s="9" t="str">
        <f>IFERROR(MID(VLOOKUP($B389,Seqs!$A:$B,2,0),AW389,1),"")</f>
        <v>G</v>
      </c>
      <c r="AW389" s="9">
        <v>295</v>
      </c>
      <c r="AX389" s="9" t="str">
        <f>IFERROR(MID(VLOOKUP($B389,Seqs!$A:$B,2,0),AY389,1),"")</f>
        <v>R</v>
      </c>
      <c r="AY389" s="9">
        <v>310</v>
      </c>
      <c r="AZ389" s="110" t="str">
        <f>VLOOKUP(B389,Classification!A:D,2,0)</f>
        <v>A</v>
      </c>
      <c r="BA389" s="98" t="str">
        <f>VLOOKUP(B389,Classification!A:D,4,0)</f>
        <v>Chemokine</v>
      </c>
      <c r="BB389" s="36" t="b">
        <f t="shared" si="3299"/>
        <v>1</v>
      </c>
      <c r="BC389" s="109">
        <f t="shared" si="3300"/>
        <v>253</v>
      </c>
      <c r="BD389" s="11" t="s">
        <v>1375</v>
      </c>
      <c r="BE389" s="9" t="s">
        <v>1291</v>
      </c>
      <c r="BF389" s="119">
        <v>3.51</v>
      </c>
      <c r="BG389" s="51" t="s">
        <v>1</v>
      </c>
      <c r="BH389" s="51" t="s">
        <v>1</v>
      </c>
      <c r="BI389" s="12"/>
      <c r="BJ389" s="111" t="s">
        <v>1287</v>
      </c>
      <c r="BK389" s="112" t="s">
        <v>1287</v>
      </c>
      <c r="BL389" s="112" t="s">
        <v>1287</v>
      </c>
      <c r="BM389" s="112" t="s">
        <v>1287</v>
      </c>
      <c r="BN389" s="112" t="s">
        <v>1287</v>
      </c>
      <c r="BO389" s="112" t="s">
        <v>1287</v>
      </c>
      <c r="BP389" s="112" t="s">
        <v>1287</v>
      </c>
      <c r="BQ389" s="112" t="s">
        <v>1287</v>
      </c>
      <c r="BR389" s="112" t="s">
        <v>1287</v>
      </c>
      <c r="BS389" s="112" t="s">
        <v>1287</v>
      </c>
      <c r="BT389" s="112" t="s">
        <v>1287</v>
      </c>
      <c r="BU389" s="112" t="s">
        <v>1287</v>
      </c>
      <c r="BV389" s="111">
        <f t="shared" si="3301"/>
        <v>25</v>
      </c>
      <c r="BW389" s="113" t="str">
        <f t="shared" si="3302"/>
        <v>-</v>
      </c>
      <c r="BX389" s="114">
        <f t="shared" si="3303"/>
        <v>66</v>
      </c>
      <c r="BY389" s="113" t="str">
        <f t="shared" si="3304"/>
        <v>-</v>
      </c>
      <c r="BZ389" s="114">
        <f t="shared" si="3305"/>
        <v>100</v>
      </c>
      <c r="CA389" s="113" t="str">
        <f t="shared" si="3306"/>
        <v>-</v>
      </c>
      <c r="CB389" s="114">
        <f t="shared" si="3307"/>
        <v>140</v>
      </c>
      <c r="CC389" s="113">
        <f t="shared" si="3308"/>
        <v>173</v>
      </c>
      <c r="CD389" s="114">
        <f t="shared" si="3309"/>
        <v>183</v>
      </c>
      <c r="CE389" s="113">
        <f t="shared" si="3310"/>
        <v>222</v>
      </c>
      <c r="CF389" s="114">
        <f t="shared" si="3311"/>
        <v>262</v>
      </c>
      <c r="CG389" s="113">
        <f t="shared" si="3312"/>
        <v>295</v>
      </c>
      <c r="CH389" s="111">
        <f t="shared" si="3313"/>
        <v>60</v>
      </c>
      <c r="CI389" s="113" t="str">
        <f t="shared" si="3314"/>
        <v>-</v>
      </c>
      <c r="CJ389" s="114">
        <f t="shared" si="3315"/>
        <v>95</v>
      </c>
      <c r="CK389" s="114" t="str">
        <f t="shared" si="3316"/>
        <v>-</v>
      </c>
      <c r="CL389" s="114">
        <f t="shared" si="3317"/>
        <v>134</v>
      </c>
      <c r="CM389" s="114" t="str">
        <f t="shared" si="3318"/>
        <v>-</v>
      </c>
      <c r="CN389" s="114">
        <f t="shared" si="3319"/>
        <v>164</v>
      </c>
      <c r="CO389" s="114">
        <f t="shared" si="3320"/>
        <v>175</v>
      </c>
      <c r="CP389" s="114">
        <f t="shared" si="3321"/>
        <v>218</v>
      </c>
      <c r="CQ389" s="114">
        <f t="shared" si="3322"/>
        <v>257</v>
      </c>
      <c r="CR389" s="114">
        <f t="shared" si="3323"/>
        <v>294</v>
      </c>
      <c r="CS389" s="114">
        <f t="shared" si="3324"/>
        <v>310</v>
      </c>
      <c r="CT389" s="109" t="e">
        <f t="shared" si="3325"/>
        <v>#VALUE!</v>
      </c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"/>
      <c r="JN389" s="6"/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6"/>
      <c r="KB389" s="6"/>
      <c r="KC389" s="6"/>
      <c r="KD389" s="6"/>
      <c r="KE389" s="6"/>
      <c r="KF389" s="6"/>
      <c r="KG389" s="6"/>
      <c r="KH389" s="6"/>
      <c r="KI389" s="6"/>
      <c r="KJ389" s="6"/>
      <c r="KK389" s="6"/>
      <c r="KL389" s="6"/>
      <c r="KM389" s="6"/>
      <c r="KN389" s="6"/>
      <c r="KO389" s="6"/>
      <c r="KP389" s="6"/>
      <c r="KQ389" s="6"/>
      <c r="KR389" s="6"/>
      <c r="KS389" s="6"/>
      <c r="KT389" s="6"/>
      <c r="KU389" s="6"/>
      <c r="KV389" s="6"/>
      <c r="KW389" s="6"/>
      <c r="KX389" s="6"/>
      <c r="KY389" s="6"/>
      <c r="KZ389" s="6"/>
      <c r="LA389" s="6"/>
      <c r="LB389" s="6"/>
      <c r="LC389" s="6"/>
      <c r="LD389" s="6"/>
      <c r="LE389" s="6"/>
      <c r="LF389" s="6"/>
      <c r="LG389" s="6"/>
      <c r="LH389" s="6"/>
      <c r="LI389" s="6"/>
      <c r="LJ389" s="6"/>
      <c r="LK389" s="6"/>
      <c r="LL389" s="6"/>
      <c r="LM389" s="6"/>
      <c r="LN389" s="6"/>
      <c r="LO389" s="6"/>
      <c r="LP389" s="6"/>
      <c r="LQ389" s="6"/>
      <c r="LR389" s="6"/>
      <c r="LS389" s="6"/>
      <c r="LT389" s="6"/>
      <c r="LU389" s="6"/>
      <c r="LV389" s="6"/>
      <c r="LW389" s="6"/>
      <c r="LX389" s="6"/>
      <c r="LY389" s="6"/>
      <c r="LZ389" s="6"/>
      <c r="MA389" s="6"/>
      <c r="MB389" s="6"/>
      <c r="MC389" s="6"/>
      <c r="MD389" s="6"/>
      <c r="ME389" s="6"/>
      <c r="MF389" s="6"/>
      <c r="MG389" s="6"/>
      <c r="MH389" s="6"/>
      <c r="MI389" s="6"/>
      <c r="MJ389" s="6"/>
      <c r="MK389" s="6"/>
      <c r="ML389" s="6"/>
      <c r="MM389" s="6"/>
      <c r="MN389" s="6"/>
      <c r="MO389" s="6"/>
      <c r="MP389" s="6"/>
      <c r="MQ389" s="6"/>
      <c r="MR389" s="6"/>
      <c r="MS389" s="6"/>
      <c r="MT389" s="6"/>
      <c r="MU389" s="6"/>
      <c r="MV389" s="6"/>
      <c r="MW389" s="6"/>
      <c r="MX389" s="6"/>
      <c r="MY389" s="6"/>
      <c r="MZ389" s="6"/>
      <c r="NA389" s="6"/>
      <c r="NB389" s="6"/>
      <c r="NC389" s="6"/>
      <c r="ND389" s="6"/>
      <c r="NE389" s="6"/>
      <c r="NF389" s="6"/>
      <c r="NG389" s="6"/>
      <c r="NH389" s="6"/>
      <c r="NI389" s="6"/>
      <c r="NJ389" s="6"/>
      <c r="NK389" s="6"/>
      <c r="NL389" s="6"/>
      <c r="NM389" s="6"/>
      <c r="NN389" s="6"/>
      <c r="NO389" s="6"/>
      <c r="NP389" s="6"/>
      <c r="NQ389" s="6"/>
      <c r="NR389" s="6"/>
      <c r="NS389" s="6"/>
      <c r="NT389" s="6"/>
      <c r="NU389" s="6"/>
      <c r="NV389" s="6"/>
      <c r="NW389" s="6"/>
      <c r="NX389" s="6"/>
      <c r="NY389" s="6"/>
      <c r="NZ389" s="6"/>
      <c r="OA389" s="6"/>
      <c r="OB389" s="6"/>
      <c r="OC389" s="6"/>
      <c r="OD389" s="6"/>
      <c r="OE389" s="6"/>
      <c r="OF389" s="6"/>
      <c r="OG389" s="6"/>
      <c r="OH389" s="6"/>
      <c r="OI389" s="6"/>
      <c r="OJ389" s="6"/>
      <c r="OK389" s="6"/>
      <c r="OL389" s="6"/>
      <c r="OM389" s="6"/>
      <c r="ON389" s="6"/>
      <c r="OO389" s="6"/>
      <c r="OP389" s="6"/>
      <c r="OQ389" s="6"/>
      <c r="OR389" s="6"/>
      <c r="OS389" s="6"/>
      <c r="OT389" s="6"/>
      <c r="OU389" s="6"/>
      <c r="OV389" s="6"/>
      <c r="OW389" s="6"/>
      <c r="OX389" s="6"/>
      <c r="OY389" s="6"/>
      <c r="OZ389" s="6"/>
      <c r="PA389" s="6"/>
      <c r="PB389" s="6"/>
      <c r="PC389" s="6"/>
      <c r="PD389" s="6"/>
      <c r="PE389" s="6"/>
      <c r="PF389" s="6"/>
      <c r="PG389" s="6"/>
      <c r="PH389" s="6"/>
      <c r="PI389" s="6"/>
      <c r="PJ389" s="6"/>
      <c r="PK389" s="6"/>
      <c r="PL389" s="6"/>
      <c r="PM389" s="6"/>
      <c r="PN389" s="6"/>
      <c r="PO389" s="6"/>
      <c r="PP389" s="6"/>
      <c r="PQ389" s="6"/>
      <c r="PR389" s="6"/>
      <c r="PS389" s="6"/>
      <c r="PT389" s="6"/>
      <c r="PU389" s="6"/>
      <c r="PV389" s="6"/>
      <c r="PW389" s="6"/>
      <c r="PX389" s="6"/>
      <c r="PY389" s="6"/>
      <c r="PZ389" s="6"/>
      <c r="QA389" s="6"/>
      <c r="QB389" s="6"/>
      <c r="QC389" s="6"/>
      <c r="QD389" s="6"/>
      <c r="QE389" s="6"/>
      <c r="QF389" s="6"/>
      <c r="QG389" s="6"/>
      <c r="QH389" s="6"/>
      <c r="QI389" s="6"/>
      <c r="QJ389" s="6"/>
      <c r="QK389" s="6"/>
      <c r="QL389" s="6"/>
      <c r="QM389" s="6"/>
      <c r="QN389" s="6"/>
      <c r="QO389" s="6"/>
      <c r="QP389" s="6"/>
      <c r="QQ389" s="6"/>
      <c r="QR389" s="6"/>
      <c r="QS389" s="6"/>
      <c r="QT389" s="6"/>
      <c r="QU389" s="6"/>
      <c r="QV389" s="6"/>
      <c r="QW389" s="6"/>
      <c r="QX389" s="6"/>
      <c r="QY389" s="6"/>
      <c r="QZ389" s="6"/>
      <c r="RA389" s="6"/>
      <c r="RB389" s="6"/>
      <c r="RC389" s="6"/>
      <c r="RD389" s="6"/>
      <c r="RE389" s="6"/>
      <c r="RF389" s="6"/>
      <c r="RG389" s="6"/>
      <c r="RH389" s="6"/>
      <c r="RI389" s="6"/>
      <c r="RJ389" s="6"/>
      <c r="RK389" s="6"/>
      <c r="RL389" s="6"/>
      <c r="RM389" s="6"/>
      <c r="RN389" s="6"/>
      <c r="RO389" s="6"/>
      <c r="RP389" s="6"/>
      <c r="RQ389" s="6"/>
      <c r="RR389" s="6"/>
      <c r="RS389" s="6"/>
      <c r="RT389" s="6"/>
      <c r="RU389" s="6"/>
      <c r="RV389" s="6"/>
      <c r="RW389" s="6"/>
      <c r="RX389" s="6"/>
      <c r="RY389" s="6"/>
      <c r="RZ389" s="6"/>
      <c r="SA389" s="6"/>
      <c r="SB389" s="6"/>
      <c r="SC389" s="6"/>
      <c r="SD389" s="6"/>
      <c r="SE389" s="6"/>
      <c r="SF389" s="6"/>
      <c r="SG389" s="6"/>
      <c r="SH389" s="6"/>
      <c r="SI389" s="6"/>
      <c r="SJ389" s="6"/>
      <c r="SK389" s="6"/>
      <c r="SL389" s="6"/>
      <c r="SM389" s="6"/>
      <c r="SN389" s="6"/>
      <c r="SO389" s="6"/>
      <c r="SP389" s="6"/>
      <c r="SQ389" s="6"/>
      <c r="SR389" s="6"/>
      <c r="SS389" s="6"/>
      <c r="ST389" s="6"/>
      <c r="SU389" s="6"/>
      <c r="SV389" s="6"/>
      <c r="SW389" s="6"/>
      <c r="SX389" s="6"/>
      <c r="SY389" s="6"/>
      <c r="SZ389" s="6"/>
      <c r="TA389" s="6"/>
      <c r="TB389" s="6"/>
      <c r="TC389" s="6"/>
      <c r="TD389" s="6"/>
      <c r="TE389" s="6"/>
      <c r="TF389" s="6"/>
      <c r="TG389" s="6"/>
      <c r="TH389" s="6"/>
      <c r="TI389" s="6"/>
      <c r="TJ389" s="6"/>
      <c r="TK389" s="6"/>
      <c r="TL389" s="6"/>
      <c r="TM389" s="6"/>
      <c r="TN389" s="6"/>
      <c r="TO389" s="6"/>
      <c r="TP389" s="6"/>
      <c r="TQ389" s="6"/>
      <c r="TR389" s="6"/>
      <c r="TS389" s="6"/>
      <c r="TT389" s="6"/>
      <c r="TU389" s="6"/>
      <c r="TV389" s="6"/>
      <c r="TW389" s="6"/>
      <c r="TX389" s="6"/>
      <c r="TY389" s="6"/>
      <c r="TZ389" s="6"/>
      <c r="UA389" s="6"/>
      <c r="UB389" s="6"/>
      <c r="UC389" s="6"/>
      <c r="UD389" s="6"/>
      <c r="UE389" s="6"/>
      <c r="UF389" s="6"/>
      <c r="UG389" s="6"/>
      <c r="UH389" s="6"/>
      <c r="UI389" s="6"/>
      <c r="UJ389" s="6"/>
      <c r="UK389" s="6"/>
      <c r="UL389" s="6"/>
      <c r="UM389" s="6"/>
      <c r="UN389" s="6"/>
      <c r="UO389" s="6"/>
      <c r="UP389" s="6"/>
      <c r="UQ389" s="6"/>
      <c r="UR389" s="6"/>
      <c r="US389" s="6"/>
      <c r="UT389" s="6"/>
      <c r="UU389" s="6"/>
      <c r="UV389" s="6"/>
      <c r="UW389" s="6"/>
      <c r="UX389" s="6"/>
      <c r="UY389" s="6"/>
      <c r="UZ389" s="6"/>
      <c r="VA389" s="6"/>
      <c r="VB389" s="6"/>
      <c r="VC389" s="6"/>
      <c r="VD389" s="6"/>
      <c r="VE389" s="6"/>
      <c r="VF389" s="6"/>
      <c r="VG389" s="6"/>
      <c r="VH389" s="6"/>
      <c r="VI389" s="6"/>
      <c r="VJ389" s="6"/>
      <c r="VK389" s="6"/>
      <c r="VL389" s="6"/>
      <c r="VM389" s="6"/>
      <c r="VN389" s="6"/>
      <c r="VO389" s="6"/>
      <c r="VP389" s="6"/>
      <c r="VQ389" s="6"/>
      <c r="VR389" s="6"/>
      <c r="VS389" s="6"/>
      <c r="VT389" s="6"/>
      <c r="VU389" s="6"/>
      <c r="VV389" s="6"/>
      <c r="VW389" s="6"/>
      <c r="VX389" s="6"/>
      <c r="VY389" s="6"/>
      <c r="VZ389" s="6"/>
      <c r="WA389" s="6"/>
      <c r="WB389" s="6"/>
      <c r="WC389" s="6"/>
      <c r="WD389" s="6"/>
      <c r="WE389" s="6"/>
      <c r="WF389" s="6"/>
      <c r="WG389" s="6"/>
      <c r="WH389" s="6"/>
      <c r="WI389" s="6"/>
      <c r="WJ389" s="6"/>
      <c r="WK389" s="6"/>
      <c r="WL389" s="6"/>
      <c r="WM389" s="6"/>
      <c r="WN389" s="6"/>
      <c r="WO389" s="6"/>
      <c r="WP389" s="6"/>
      <c r="WQ389" s="6"/>
      <c r="WR389" s="6"/>
      <c r="WS389" s="6"/>
      <c r="WT389" s="6"/>
      <c r="WU389" s="6"/>
      <c r="WV389" s="6"/>
      <c r="WW389" s="6"/>
      <c r="WX389" s="6"/>
      <c r="WY389" s="6"/>
      <c r="WZ389" s="6"/>
      <c r="XA389" s="6"/>
      <c r="XB389" s="6"/>
      <c r="XC389" s="6"/>
      <c r="XD389" s="6"/>
      <c r="XE389" s="6"/>
      <c r="XF389" s="6"/>
      <c r="XG389" s="6"/>
      <c r="XH389" s="6"/>
      <c r="XI389" s="6"/>
      <c r="XJ389" s="6"/>
      <c r="XK389" s="6"/>
      <c r="XL389" s="6"/>
      <c r="XM389" s="6"/>
      <c r="XN389" s="6"/>
      <c r="XO389" s="6"/>
      <c r="XP389" s="6"/>
      <c r="XQ389" s="6"/>
      <c r="XR389" s="6"/>
      <c r="XS389" s="6"/>
      <c r="XT389" s="6"/>
      <c r="XU389" s="6"/>
      <c r="XV389" s="6"/>
      <c r="XW389" s="6"/>
      <c r="XX389" s="6"/>
      <c r="XY389" s="6"/>
      <c r="XZ389" s="6"/>
      <c r="YA389" s="6"/>
      <c r="YB389" s="6"/>
      <c r="YC389" s="6"/>
      <c r="YD389" s="6"/>
      <c r="YE389" s="6"/>
      <c r="YF389" s="6"/>
      <c r="YG389" s="6"/>
      <c r="YH389" s="6"/>
      <c r="YI389" s="6"/>
      <c r="YJ389" s="6"/>
      <c r="YK389" s="6"/>
      <c r="YL389" s="6"/>
      <c r="YM389" s="6"/>
      <c r="YN389" s="6"/>
      <c r="YO389" s="6"/>
      <c r="YP389" s="6"/>
      <c r="YQ389" s="6"/>
      <c r="YR389" s="6"/>
      <c r="YS389" s="6"/>
      <c r="YT389" s="6"/>
      <c r="YU389" s="6"/>
      <c r="YV389" s="6"/>
      <c r="YW389" s="6"/>
      <c r="YX389" s="6"/>
      <c r="YY389" s="6"/>
      <c r="YZ389" s="6"/>
      <c r="ZA389" s="6"/>
      <c r="ZB389" s="6"/>
      <c r="ZC389" s="6"/>
      <c r="ZD389" s="6"/>
      <c r="ZE389" s="6"/>
      <c r="ZF389" s="6"/>
      <c r="ZG389" s="6"/>
      <c r="ZH389" s="6"/>
      <c r="ZI389" s="6"/>
      <c r="ZJ389" s="6"/>
      <c r="ZK389" s="6"/>
      <c r="ZL389" s="6"/>
      <c r="ZM389" s="6"/>
      <c r="ZN389" s="6"/>
      <c r="ZO389" s="6"/>
      <c r="ZP389" s="6"/>
      <c r="ZQ389" s="6"/>
      <c r="ZR389" s="6"/>
      <c r="ZS389" s="6"/>
      <c r="ZT389" s="6"/>
      <c r="ZU389" s="6"/>
      <c r="ZV389" s="6"/>
      <c r="ZW389" s="6"/>
      <c r="ZX389" s="6"/>
      <c r="ZY389" s="6"/>
      <c r="ZZ389" s="6"/>
      <c r="AAA389" s="6"/>
      <c r="AAB389" s="6"/>
      <c r="AAC389" s="6"/>
      <c r="AAD389" s="6"/>
      <c r="AAE389" s="6"/>
      <c r="AAF389" s="6"/>
      <c r="AAG389" s="6"/>
      <c r="AAH389" s="6"/>
      <c r="AAI389" s="6"/>
      <c r="AAJ389" s="6"/>
      <c r="AAK389" s="6"/>
      <c r="AAL389" s="6"/>
      <c r="AAM389" s="6"/>
      <c r="AAN389" s="6"/>
      <c r="AAO389" s="6"/>
      <c r="AAP389" s="6"/>
      <c r="AAQ389" s="6"/>
      <c r="AAR389" s="6"/>
      <c r="AAS389" s="6"/>
      <c r="AAT389" s="6"/>
      <c r="AAU389" s="6"/>
      <c r="AAV389" s="6"/>
      <c r="AAW389" s="6"/>
      <c r="AAX389" s="6"/>
      <c r="AAY389" s="6"/>
      <c r="AAZ389" s="6"/>
      <c r="ABA389" s="6"/>
      <c r="ABB389" s="6"/>
      <c r="ABC389" s="6"/>
      <c r="ABD389" s="6"/>
      <c r="ABE389" s="6"/>
      <c r="ABF389" s="6"/>
      <c r="ABG389" s="6"/>
      <c r="ABH389" s="6"/>
      <c r="ABI389" s="6"/>
      <c r="ABJ389" s="6"/>
      <c r="ABK389" s="6"/>
      <c r="ABL389" s="6"/>
      <c r="ABM389" s="6"/>
      <c r="ABN389" s="6"/>
      <c r="ABO389" s="6"/>
      <c r="ABP389" s="6"/>
      <c r="ABQ389" s="6"/>
      <c r="ABR389" s="6"/>
      <c r="ABS389" s="6"/>
      <c r="ABT389" s="6"/>
      <c r="ABU389" s="6"/>
      <c r="ABV389" s="6"/>
      <c r="ABW389" s="6"/>
      <c r="ABX389" s="6"/>
      <c r="ABY389" s="6"/>
      <c r="ABZ389" s="6"/>
      <c r="ACA389" s="6"/>
      <c r="ACB389" s="6"/>
      <c r="ACC389" s="6"/>
      <c r="ACD389" s="6"/>
      <c r="ACE389" s="6"/>
      <c r="ACF389" s="6"/>
      <c r="ACG389" s="6"/>
      <c r="ACH389" s="6"/>
      <c r="ACI389" s="6"/>
      <c r="ACJ389" s="6"/>
      <c r="ACK389" s="6"/>
      <c r="ACL389" s="6"/>
      <c r="ACM389" s="6"/>
      <c r="ACN389" s="6"/>
      <c r="ACO389" s="6"/>
      <c r="ACP389" s="6"/>
      <c r="ACQ389" s="6"/>
      <c r="ACR389" s="6"/>
      <c r="ACS389" s="6"/>
      <c r="ACT389" s="6"/>
      <c r="ACU389" s="6"/>
      <c r="ACV389" s="6"/>
      <c r="ACW389" s="6"/>
      <c r="ACX389" s="6"/>
      <c r="ACY389" s="6"/>
      <c r="ACZ389" s="6"/>
      <c r="ADA389" s="6"/>
      <c r="ADB389" s="6"/>
      <c r="ADC389" s="6"/>
      <c r="ADD389" s="6"/>
      <c r="ADE389" s="6"/>
      <c r="ADF389" s="6"/>
      <c r="ADG389" s="6"/>
      <c r="ADH389" s="6"/>
      <c r="ADI389" s="6"/>
      <c r="ADJ389" s="6"/>
      <c r="ADK389" s="6"/>
      <c r="ADL389" s="6"/>
      <c r="ADM389" s="6"/>
      <c r="ADN389" s="6"/>
      <c r="ADO389" s="6"/>
      <c r="ADP389" s="6"/>
      <c r="ADQ389" s="6"/>
      <c r="ADR389" s="6"/>
      <c r="ADS389" s="6"/>
      <c r="ADT389" s="6"/>
      <c r="ADU389" s="6"/>
      <c r="ADV389" s="6"/>
      <c r="ADW389" s="6"/>
      <c r="ADX389" s="6"/>
      <c r="ADY389" s="6"/>
      <c r="ADZ389" s="6"/>
      <c r="AEA389" s="6"/>
      <c r="AEB389" s="6"/>
      <c r="AEC389" s="6"/>
      <c r="AED389" s="6"/>
      <c r="AEE389" s="6"/>
      <c r="AEF389" s="6"/>
      <c r="AEG389" s="6"/>
      <c r="AEH389" s="6"/>
      <c r="AEI389" s="6"/>
      <c r="AEJ389" s="6"/>
      <c r="AEK389" s="6"/>
      <c r="AEL389" s="6"/>
      <c r="AEM389" s="6"/>
      <c r="AEN389" s="6"/>
      <c r="AEO389" s="6"/>
      <c r="AEP389" s="6"/>
      <c r="AEQ389" s="6"/>
      <c r="AER389" s="6"/>
      <c r="AES389" s="6"/>
      <c r="AET389" s="6"/>
      <c r="AEU389" s="6"/>
      <c r="AEV389" s="6"/>
      <c r="AEW389" s="6"/>
      <c r="AEX389" s="6"/>
      <c r="AEY389" s="6"/>
      <c r="AEZ389" s="6"/>
      <c r="AFA389" s="6"/>
      <c r="AFB389" s="6"/>
      <c r="AFC389" s="6"/>
      <c r="AFD389" s="6"/>
      <c r="AFE389" s="6"/>
      <c r="AFF389" s="6"/>
      <c r="AFG389" s="6"/>
      <c r="AFH389" s="6"/>
      <c r="AFI389" s="6"/>
      <c r="AFJ389" s="6"/>
      <c r="AFK389" s="6"/>
      <c r="AFL389" s="6"/>
      <c r="AFM389" s="6"/>
      <c r="AFN389" s="6"/>
      <c r="AFO389" s="6"/>
      <c r="AFP389" s="6"/>
      <c r="AFQ389" s="6"/>
      <c r="AFR389" s="6"/>
      <c r="AFS389" s="6"/>
      <c r="AFT389" s="6"/>
      <c r="AFU389" s="6"/>
      <c r="AFV389" s="6"/>
      <c r="AFW389" s="6"/>
      <c r="AFX389" s="6"/>
      <c r="AFY389" s="6"/>
      <c r="AFZ389" s="6"/>
      <c r="AGA389" s="6"/>
      <c r="AGB389" s="6"/>
      <c r="AGC389" s="6"/>
      <c r="AGD389" s="6"/>
      <c r="AGE389" s="6"/>
      <c r="AGF389" s="6"/>
      <c r="AGG389" s="6"/>
      <c r="AGH389" s="6"/>
      <c r="AGI389" s="6"/>
      <c r="AGJ389" s="6"/>
      <c r="AGK389" s="6"/>
      <c r="AGL389" s="6"/>
      <c r="AGM389" s="6"/>
      <c r="AGN389" s="6"/>
      <c r="AGO389" s="6"/>
      <c r="AGP389" s="6"/>
      <c r="AGQ389" s="6"/>
      <c r="AGR389" s="6"/>
      <c r="AGS389" s="6"/>
      <c r="AGT389" s="6"/>
      <c r="AGU389" s="6"/>
      <c r="AGV389" s="6"/>
      <c r="AGW389" s="6"/>
      <c r="AGX389" s="6"/>
      <c r="AGY389" s="6"/>
      <c r="AGZ389" s="6"/>
      <c r="AHA389" s="6"/>
      <c r="AHB389" s="6"/>
      <c r="AHC389" s="6"/>
      <c r="AHD389" s="6"/>
      <c r="AHE389" s="6"/>
      <c r="AHF389" s="6"/>
      <c r="AHG389" s="6"/>
      <c r="AHH389" s="6"/>
      <c r="AHI389" s="6"/>
      <c r="AHJ389" s="6"/>
      <c r="AHK389" s="6"/>
      <c r="AHL389" s="6"/>
      <c r="AHM389" s="6"/>
      <c r="AHN389" s="6"/>
      <c r="AHO389" s="6"/>
      <c r="AHP389" s="6"/>
      <c r="AHQ389" s="6"/>
      <c r="AHR389" s="6"/>
      <c r="AHS389" s="6"/>
      <c r="AHT389" s="6"/>
      <c r="AHU389" s="6"/>
      <c r="AHV389" s="6"/>
      <c r="AHW389" s="6"/>
      <c r="AHX389" s="6"/>
      <c r="AHY389" s="6"/>
      <c r="AHZ389" s="6"/>
      <c r="AIA389" s="6"/>
      <c r="AIB389" s="6"/>
      <c r="AIC389" s="6"/>
      <c r="AID389" s="6"/>
      <c r="AIE389" s="6"/>
      <c r="AIF389" s="6"/>
      <c r="AIG389" s="6"/>
      <c r="AIH389" s="6"/>
      <c r="AII389" s="6"/>
      <c r="AIJ389" s="6"/>
      <c r="AIK389" s="6"/>
      <c r="AIL389" s="6"/>
      <c r="AIM389" s="6"/>
      <c r="AIN389" s="6"/>
      <c r="AIO389" s="6"/>
      <c r="AIP389" s="6"/>
      <c r="AIQ389" s="6"/>
      <c r="AIR389" s="6"/>
      <c r="AIS389" s="6"/>
      <c r="AIT389" s="6"/>
      <c r="AIU389" s="6"/>
      <c r="AIV389" s="6"/>
      <c r="AIW389" s="6"/>
      <c r="AIX389" s="6"/>
      <c r="AIY389" s="6"/>
      <c r="AIZ389" s="6"/>
      <c r="AJA389" s="6"/>
      <c r="AJB389" s="6"/>
      <c r="AJC389" s="6"/>
      <c r="AJD389" s="6"/>
      <c r="AJE389" s="6"/>
      <c r="AJF389" s="6"/>
      <c r="AJG389" s="6"/>
      <c r="AJH389" s="6"/>
      <c r="AJI389" s="6"/>
      <c r="AJJ389" s="6"/>
      <c r="AJK389" s="6"/>
      <c r="AJL389" s="6"/>
      <c r="AJM389" s="6"/>
      <c r="AJN389" s="6"/>
      <c r="AJO389" s="6"/>
      <c r="AJP389" s="6"/>
      <c r="AJQ389" s="6"/>
      <c r="AJR389" s="6"/>
      <c r="AJS389" s="6"/>
      <c r="AJT389" s="6"/>
      <c r="AJU389" s="6"/>
      <c r="AJV389" s="6"/>
      <c r="AJW389" s="6"/>
      <c r="AJX389" s="6"/>
      <c r="AJY389" s="6"/>
      <c r="AJZ389" s="6"/>
      <c r="AKA389" s="6"/>
      <c r="AKB389" s="6"/>
      <c r="AKC389" s="6"/>
      <c r="AKD389" s="6"/>
      <c r="AKE389" s="6"/>
      <c r="AKF389" s="6"/>
      <c r="AKG389" s="6"/>
      <c r="AKH389" s="6"/>
      <c r="AKI389" s="6"/>
      <c r="AKJ389" s="6"/>
      <c r="AKK389" s="6"/>
      <c r="AKL389" s="6"/>
      <c r="AKM389" s="6"/>
      <c r="AKN389" s="6"/>
      <c r="AKO389" s="6"/>
      <c r="AKP389" s="6"/>
      <c r="AKQ389" s="6"/>
      <c r="AKR389" s="6"/>
      <c r="AKS389" s="6"/>
      <c r="AKT389" s="6"/>
      <c r="AKU389" s="6"/>
      <c r="AKV389" s="6"/>
      <c r="AKW389" s="6"/>
      <c r="AKX389" s="6"/>
      <c r="AKY389" s="6"/>
      <c r="AKZ389" s="6"/>
      <c r="ALA389" s="6"/>
      <c r="ALB389" s="6"/>
      <c r="ALC389" s="6"/>
      <c r="ALD389" s="6"/>
      <c r="ALE389" s="6"/>
      <c r="ALF389" s="6"/>
      <c r="ALG389" s="6"/>
      <c r="ALH389" s="6"/>
      <c r="ALI389" s="6"/>
      <c r="ALJ389" s="6"/>
      <c r="ALK389" s="6"/>
      <c r="ALL389" s="6"/>
      <c r="ALM389" s="6"/>
      <c r="ALN389" s="6"/>
      <c r="ALO389" s="6"/>
      <c r="ALP389" s="6"/>
      <c r="ALQ389" s="6"/>
      <c r="ALR389" s="6"/>
      <c r="ALS389" s="6"/>
      <c r="ALT389" s="6"/>
      <c r="ALU389" s="6"/>
      <c r="ALV389" s="6"/>
      <c r="ALW389" s="6"/>
      <c r="ALX389" s="6"/>
      <c r="ALY389" s="6"/>
      <c r="ALZ389" s="6"/>
      <c r="AMA389" s="6"/>
      <c r="AMB389" s="6"/>
      <c r="AMC389" s="6"/>
      <c r="AMD389" s="6"/>
      <c r="AME389" s="6"/>
      <c r="AMF389" s="6"/>
      <c r="AMG389" s="6"/>
      <c r="AMH389" s="6"/>
      <c r="AMI389" s="6"/>
      <c r="AMJ389" s="6"/>
      <c r="AMK389" s="6"/>
      <c r="AML389" s="6"/>
      <c r="AMM389" s="6"/>
      <c r="AMN389" s="6"/>
      <c r="AMO389" s="6"/>
      <c r="AMP389" s="6"/>
    </row>
    <row r="390" spans="1:1030" x14ac:dyDescent="0.2">
      <c r="A390" s="9" t="str">
        <f t="shared" si="3326"/>
        <v>q80km9_hcmv_5WB2</v>
      </c>
      <c r="B390" s="40" t="s">
        <v>1507</v>
      </c>
      <c r="C390" s="9" t="s">
        <v>1510</v>
      </c>
      <c r="D390" s="9" t="str">
        <f>IFERROR(MID(VLOOKUP($B390,Seqs!$A:$B,2,0),E390,1),"")</f>
        <v>F</v>
      </c>
      <c r="E390" s="9">
        <v>25</v>
      </c>
      <c r="F390" s="9" t="str">
        <f>IFERROR(MID(VLOOKUP($B390,Seqs!$A:$B,2,0),G390,1),"")</f>
        <v>W</v>
      </c>
      <c r="G390" s="9">
        <v>60</v>
      </c>
      <c r="H390" s="9" t="str">
        <f>IFERROR(MID(VLOOKUP($B390,Seqs!$A:$B,2,0),I390,1),"")</f>
        <v/>
      </c>
      <c r="I390" s="109" t="s">
        <v>23</v>
      </c>
      <c r="J390" s="9" t="str">
        <f>IFERROR(MID(VLOOKUP($B390,Seqs!$A:$B,2,0),K390,1),"")</f>
        <v/>
      </c>
      <c r="K390" s="109" t="s">
        <v>23</v>
      </c>
      <c r="L390" s="9" t="str">
        <f>IFERROR(MID(VLOOKUP($B390,Seqs!$A:$B,2,0),M390,1),"")</f>
        <v>C</v>
      </c>
      <c r="M390" s="9">
        <v>66</v>
      </c>
      <c r="N390" s="9" t="str">
        <f>IFERROR(MID(VLOOKUP($B390,Seqs!$A:$B,2,0),O390,1),"")</f>
        <v>D</v>
      </c>
      <c r="O390" s="9">
        <v>95</v>
      </c>
      <c r="P390" s="9" t="str">
        <f>IFERROR(MID(VLOOKUP($B390,Seqs!$A:$B,2,0),Q390,1),"")</f>
        <v/>
      </c>
      <c r="Q390" s="9" t="s">
        <v>23</v>
      </c>
      <c r="R390" s="9" t="str">
        <f>IFERROR(MID(VLOOKUP($B390,Seqs!$A:$B,2,0),S390,1),"")</f>
        <v/>
      </c>
      <c r="S390" s="9" t="s">
        <v>23</v>
      </c>
      <c r="T390" s="9" t="str">
        <f>IFERROR(MID(VLOOKUP($B390,Seqs!$A:$B,2,0),U390,1),"")</f>
        <v>A</v>
      </c>
      <c r="U390" s="9">
        <v>100</v>
      </c>
      <c r="V390" s="9" t="str">
        <f>IFERROR(MID(VLOOKUP($B390,Seqs!$A:$B,2,0),W390,1),"")</f>
        <v>V</v>
      </c>
      <c r="W390" s="9">
        <v>134</v>
      </c>
      <c r="X390" s="9" t="str">
        <f>IFERROR(MID(VLOOKUP($B390,Seqs!$A:$B,2,0),Y390,1),"")</f>
        <v/>
      </c>
      <c r="Y390" s="9" t="s">
        <v>23</v>
      </c>
      <c r="Z390" s="9" t="str">
        <f>IFERROR(MID(VLOOKUP($B390,Seqs!$A:$B,2,0),AA390,1),"")</f>
        <v/>
      </c>
      <c r="AA390" s="9" t="s">
        <v>23</v>
      </c>
      <c r="AB390" s="9" t="str">
        <f>IFERROR(MID(VLOOKUP($B390,Seqs!$A:$B,2,0),AC390,1),"")</f>
        <v>P</v>
      </c>
      <c r="AC390" s="9">
        <v>140</v>
      </c>
      <c r="AD390" s="9" t="str">
        <f>IFERROR(MID(VLOOKUP($B390,Seqs!$A:$B,2,0),AE390,1),"")</f>
        <v>M</v>
      </c>
      <c r="AE390" s="9">
        <v>164</v>
      </c>
      <c r="AF390" s="9" t="str">
        <f>IFERROR(MID(VLOOKUP($B390,Seqs!$A:$B,2,0),AG390,1),"")</f>
        <v>C</v>
      </c>
      <c r="AG390" s="9">
        <v>173</v>
      </c>
      <c r="AH390" s="9" t="str">
        <f>IFERROR(MID(VLOOKUP($B390,Seqs!$A:$B,2,0),AI390,1),"")</f>
        <v>T</v>
      </c>
      <c r="AI390" s="9">
        <v>175</v>
      </c>
      <c r="AJ390" s="9" t="str">
        <f>IFERROR(MID(VLOOKUP($B390,Seqs!$A:$B,2,0),AK390,1),"")</f>
        <v>S</v>
      </c>
      <c r="AK390" s="9">
        <v>183</v>
      </c>
      <c r="AL390" s="9" t="str">
        <f>IFERROR(MID(VLOOKUP($B390,Seqs!$A:$B,2,0),AM390,1),"")</f>
        <v>S</v>
      </c>
      <c r="AM390" s="9">
        <v>218</v>
      </c>
      <c r="AN390" s="9" t="str">
        <f>IFERROR(MID(VLOOKUP($B390,Seqs!$A:$B,2,0),AO390,1),"")</f>
        <v>H</v>
      </c>
      <c r="AO390" s="9">
        <v>222</v>
      </c>
      <c r="AP390" s="9" t="str">
        <f>IFERROR(MID(VLOOKUP($B390,Seqs!$A:$B,2,0),AQ390,1),"")</f>
        <v>K</v>
      </c>
      <c r="AQ390" s="9">
        <v>257</v>
      </c>
      <c r="AR390" s="9" t="str">
        <f>IFERROR(MID(VLOOKUP($B390,Seqs!$A:$B,2,0),AS390,1),"")</f>
        <v>S</v>
      </c>
      <c r="AS390" s="9">
        <v>262</v>
      </c>
      <c r="AT390" s="9" t="str">
        <f>IFERROR(MID(VLOOKUP($B390,Seqs!$A:$B,2,0),AU390,1),"")</f>
        <v>V</v>
      </c>
      <c r="AU390" s="9">
        <v>294</v>
      </c>
      <c r="AV390" s="9" t="str">
        <f>IFERROR(MID(VLOOKUP($B390,Seqs!$A:$B,2,0),AW390,1),"")</f>
        <v>G</v>
      </c>
      <c r="AW390" s="9">
        <v>295</v>
      </c>
      <c r="AX390" s="9" t="str">
        <f>IFERROR(MID(VLOOKUP($B390,Seqs!$A:$B,2,0),AY390,1),"")</f>
        <v>A</v>
      </c>
      <c r="AY390" s="9">
        <v>307</v>
      </c>
      <c r="AZ390" s="110" t="str">
        <f>VLOOKUP(B390,Classification!A:D,2,0)</f>
        <v>A</v>
      </c>
      <c r="BA390" s="98" t="str">
        <f>VLOOKUP(B390,Classification!A:D,4,0)</f>
        <v>Chemokine</v>
      </c>
      <c r="BB390" s="36" t="b">
        <f t="shared" si="3299"/>
        <v>1</v>
      </c>
      <c r="BC390" s="109">
        <f t="shared" si="3300"/>
        <v>250</v>
      </c>
      <c r="BD390" s="11" t="s">
        <v>23</v>
      </c>
      <c r="BE390" s="9" t="s">
        <v>1291</v>
      </c>
      <c r="BF390" s="119">
        <v>3.5</v>
      </c>
      <c r="BG390" s="51" t="s">
        <v>1</v>
      </c>
      <c r="BH390" s="51" t="s">
        <v>1</v>
      </c>
      <c r="BI390" s="12"/>
      <c r="BJ390" s="111" t="s">
        <v>1287</v>
      </c>
      <c r="BK390" s="112" t="s">
        <v>1287</v>
      </c>
      <c r="BL390" s="112" t="s">
        <v>1287</v>
      </c>
      <c r="BM390" s="112" t="s">
        <v>1287</v>
      </c>
      <c r="BN390" s="112" t="s">
        <v>1287</v>
      </c>
      <c r="BO390" s="112" t="s">
        <v>1287</v>
      </c>
      <c r="BP390" s="112" t="s">
        <v>1287</v>
      </c>
      <c r="BQ390" s="112" t="s">
        <v>1287</v>
      </c>
      <c r="BR390" s="112" t="s">
        <v>1287</v>
      </c>
      <c r="BS390" s="112" t="s">
        <v>1287</v>
      </c>
      <c r="BT390" s="112" t="s">
        <v>1287</v>
      </c>
      <c r="BU390" s="112" t="s">
        <v>1287</v>
      </c>
      <c r="BV390" s="111">
        <f t="shared" si="3301"/>
        <v>25</v>
      </c>
      <c r="BW390" s="113" t="str">
        <f t="shared" si="3302"/>
        <v>-</v>
      </c>
      <c r="BX390" s="114">
        <f t="shared" si="3303"/>
        <v>66</v>
      </c>
      <c r="BY390" s="113" t="str">
        <f t="shared" si="3304"/>
        <v>-</v>
      </c>
      <c r="BZ390" s="114">
        <f t="shared" si="3305"/>
        <v>100</v>
      </c>
      <c r="CA390" s="113" t="str">
        <f t="shared" si="3306"/>
        <v>-</v>
      </c>
      <c r="CB390" s="114">
        <f t="shared" si="3307"/>
        <v>140</v>
      </c>
      <c r="CC390" s="113">
        <f t="shared" si="3308"/>
        <v>173</v>
      </c>
      <c r="CD390" s="114">
        <f t="shared" si="3309"/>
        <v>183</v>
      </c>
      <c r="CE390" s="113">
        <f t="shared" si="3310"/>
        <v>222</v>
      </c>
      <c r="CF390" s="114">
        <f t="shared" si="3311"/>
        <v>262</v>
      </c>
      <c r="CG390" s="113">
        <f t="shared" si="3312"/>
        <v>295</v>
      </c>
      <c r="CH390" s="111">
        <f t="shared" si="3313"/>
        <v>60</v>
      </c>
      <c r="CI390" s="113" t="str">
        <f t="shared" si="3314"/>
        <v>-</v>
      </c>
      <c r="CJ390" s="114">
        <f t="shared" si="3315"/>
        <v>95</v>
      </c>
      <c r="CK390" s="114" t="str">
        <f t="shared" si="3316"/>
        <v>-</v>
      </c>
      <c r="CL390" s="114">
        <f t="shared" si="3317"/>
        <v>134</v>
      </c>
      <c r="CM390" s="114" t="str">
        <f t="shared" si="3318"/>
        <v>-</v>
      </c>
      <c r="CN390" s="114">
        <f t="shared" si="3319"/>
        <v>164</v>
      </c>
      <c r="CO390" s="114">
        <f t="shared" si="3320"/>
        <v>175</v>
      </c>
      <c r="CP390" s="114">
        <f t="shared" si="3321"/>
        <v>218</v>
      </c>
      <c r="CQ390" s="114">
        <f t="shared" si="3322"/>
        <v>257</v>
      </c>
      <c r="CR390" s="114">
        <f t="shared" si="3323"/>
        <v>294</v>
      </c>
      <c r="CS390" s="114">
        <f t="shared" si="3324"/>
        <v>307</v>
      </c>
      <c r="CT390" s="109" t="e">
        <f t="shared" si="3325"/>
        <v>#VALUE!</v>
      </c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"/>
      <c r="JN390" s="6"/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6"/>
      <c r="KB390" s="6"/>
      <c r="KC390" s="6"/>
      <c r="KD390" s="6"/>
      <c r="KE390" s="6"/>
      <c r="KF390" s="6"/>
      <c r="KG390" s="6"/>
      <c r="KH390" s="6"/>
      <c r="KI390" s="6"/>
      <c r="KJ390" s="6"/>
      <c r="KK390" s="6"/>
      <c r="KL390" s="6"/>
      <c r="KM390" s="6"/>
      <c r="KN390" s="6"/>
      <c r="KO390" s="6"/>
      <c r="KP390" s="6"/>
      <c r="KQ390" s="6"/>
      <c r="KR390" s="6"/>
      <c r="KS390" s="6"/>
      <c r="KT390" s="6"/>
      <c r="KU390" s="6"/>
      <c r="KV390" s="6"/>
      <c r="KW390" s="6"/>
      <c r="KX390" s="6"/>
      <c r="KY390" s="6"/>
      <c r="KZ390" s="6"/>
      <c r="LA390" s="6"/>
      <c r="LB390" s="6"/>
      <c r="LC390" s="6"/>
      <c r="LD390" s="6"/>
      <c r="LE390" s="6"/>
      <c r="LF390" s="6"/>
      <c r="LG390" s="6"/>
      <c r="LH390" s="6"/>
      <c r="LI390" s="6"/>
      <c r="LJ390" s="6"/>
      <c r="LK390" s="6"/>
      <c r="LL390" s="6"/>
      <c r="LM390" s="6"/>
      <c r="LN390" s="6"/>
      <c r="LO390" s="6"/>
      <c r="LP390" s="6"/>
      <c r="LQ390" s="6"/>
      <c r="LR390" s="6"/>
      <c r="LS390" s="6"/>
      <c r="LT390" s="6"/>
      <c r="LU390" s="6"/>
      <c r="LV390" s="6"/>
      <c r="LW390" s="6"/>
      <c r="LX390" s="6"/>
      <c r="LY390" s="6"/>
      <c r="LZ390" s="6"/>
      <c r="MA390" s="6"/>
      <c r="MB390" s="6"/>
      <c r="MC390" s="6"/>
      <c r="MD390" s="6"/>
      <c r="ME390" s="6"/>
      <c r="MF390" s="6"/>
      <c r="MG390" s="6"/>
      <c r="MH390" s="6"/>
      <c r="MI390" s="6"/>
      <c r="MJ390" s="6"/>
      <c r="MK390" s="6"/>
      <c r="ML390" s="6"/>
      <c r="MM390" s="6"/>
      <c r="MN390" s="6"/>
      <c r="MO390" s="6"/>
      <c r="MP390" s="6"/>
      <c r="MQ390" s="6"/>
      <c r="MR390" s="6"/>
      <c r="MS390" s="6"/>
      <c r="MT390" s="6"/>
      <c r="MU390" s="6"/>
      <c r="MV390" s="6"/>
      <c r="MW390" s="6"/>
      <c r="MX390" s="6"/>
      <c r="MY390" s="6"/>
      <c r="MZ390" s="6"/>
      <c r="NA390" s="6"/>
      <c r="NB390" s="6"/>
      <c r="NC390" s="6"/>
      <c r="ND390" s="6"/>
      <c r="NE390" s="6"/>
      <c r="NF390" s="6"/>
      <c r="NG390" s="6"/>
      <c r="NH390" s="6"/>
      <c r="NI390" s="6"/>
      <c r="NJ390" s="6"/>
      <c r="NK390" s="6"/>
      <c r="NL390" s="6"/>
      <c r="NM390" s="6"/>
      <c r="NN390" s="6"/>
      <c r="NO390" s="6"/>
      <c r="NP390" s="6"/>
      <c r="NQ390" s="6"/>
      <c r="NR390" s="6"/>
      <c r="NS390" s="6"/>
      <c r="NT390" s="6"/>
      <c r="NU390" s="6"/>
      <c r="NV390" s="6"/>
      <c r="NW390" s="6"/>
      <c r="NX390" s="6"/>
      <c r="NY390" s="6"/>
      <c r="NZ390" s="6"/>
      <c r="OA390" s="6"/>
      <c r="OB390" s="6"/>
      <c r="OC390" s="6"/>
      <c r="OD390" s="6"/>
      <c r="OE390" s="6"/>
      <c r="OF390" s="6"/>
      <c r="OG390" s="6"/>
      <c r="OH390" s="6"/>
      <c r="OI390" s="6"/>
      <c r="OJ390" s="6"/>
      <c r="OK390" s="6"/>
      <c r="OL390" s="6"/>
      <c r="OM390" s="6"/>
      <c r="ON390" s="6"/>
      <c r="OO390" s="6"/>
      <c r="OP390" s="6"/>
      <c r="OQ390" s="6"/>
      <c r="OR390" s="6"/>
      <c r="OS390" s="6"/>
      <c r="OT390" s="6"/>
      <c r="OU390" s="6"/>
      <c r="OV390" s="6"/>
      <c r="OW390" s="6"/>
      <c r="OX390" s="6"/>
      <c r="OY390" s="6"/>
      <c r="OZ390" s="6"/>
      <c r="PA390" s="6"/>
      <c r="PB390" s="6"/>
      <c r="PC390" s="6"/>
      <c r="PD390" s="6"/>
      <c r="PE390" s="6"/>
      <c r="PF390" s="6"/>
      <c r="PG390" s="6"/>
      <c r="PH390" s="6"/>
      <c r="PI390" s="6"/>
      <c r="PJ390" s="6"/>
      <c r="PK390" s="6"/>
      <c r="PL390" s="6"/>
      <c r="PM390" s="6"/>
      <c r="PN390" s="6"/>
      <c r="PO390" s="6"/>
      <c r="PP390" s="6"/>
      <c r="PQ390" s="6"/>
      <c r="PR390" s="6"/>
      <c r="PS390" s="6"/>
      <c r="PT390" s="6"/>
      <c r="PU390" s="6"/>
      <c r="PV390" s="6"/>
      <c r="PW390" s="6"/>
      <c r="PX390" s="6"/>
      <c r="PY390" s="6"/>
      <c r="PZ390" s="6"/>
      <c r="QA390" s="6"/>
      <c r="QB390" s="6"/>
      <c r="QC390" s="6"/>
      <c r="QD390" s="6"/>
      <c r="QE390" s="6"/>
      <c r="QF390" s="6"/>
      <c r="QG390" s="6"/>
      <c r="QH390" s="6"/>
      <c r="QI390" s="6"/>
      <c r="QJ390" s="6"/>
      <c r="QK390" s="6"/>
      <c r="QL390" s="6"/>
      <c r="QM390" s="6"/>
      <c r="QN390" s="6"/>
      <c r="QO390" s="6"/>
      <c r="QP390" s="6"/>
      <c r="QQ390" s="6"/>
      <c r="QR390" s="6"/>
      <c r="QS390" s="6"/>
      <c r="QT390" s="6"/>
      <c r="QU390" s="6"/>
      <c r="QV390" s="6"/>
      <c r="QW390" s="6"/>
      <c r="QX390" s="6"/>
      <c r="QY390" s="6"/>
      <c r="QZ390" s="6"/>
      <c r="RA390" s="6"/>
      <c r="RB390" s="6"/>
      <c r="RC390" s="6"/>
      <c r="RD390" s="6"/>
      <c r="RE390" s="6"/>
      <c r="RF390" s="6"/>
      <c r="RG390" s="6"/>
      <c r="RH390" s="6"/>
      <c r="RI390" s="6"/>
      <c r="RJ390" s="6"/>
      <c r="RK390" s="6"/>
      <c r="RL390" s="6"/>
      <c r="RM390" s="6"/>
      <c r="RN390" s="6"/>
      <c r="RO390" s="6"/>
      <c r="RP390" s="6"/>
      <c r="RQ390" s="6"/>
      <c r="RR390" s="6"/>
      <c r="RS390" s="6"/>
      <c r="RT390" s="6"/>
      <c r="RU390" s="6"/>
      <c r="RV390" s="6"/>
      <c r="RW390" s="6"/>
      <c r="RX390" s="6"/>
      <c r="RY390" s="6"/>
      <c r="RZ390" s="6"/>
      <c r="SA390" s="6"/>
      <c r="SB390" s="6"/>
      <c r="SC390" s="6"/>
      <c r="SD390" s="6"/>
      <c r="SE390" s="6"/>
      <c r="SF390" s="6"/>
      <c r="SG390" s="6"/>
      <c r="SH390" s="6"/>
      <c r="SI390" s="6"/>
      <c r="SJ390" s="6"/>
      <c r="SK390" s="6"/>
      <c r="SL390" s="6"/>
      <c r="SM390" s="6"/>
      <c r="SN390" s="6"/>
      <c r="SO390" s="6"/>
      <c r="SP390" s="6"/>
      <c r="SQ390" s="6"/>
      <c r="SR390" s="6"/>
      <c r="SS390" s="6"/>
      <c r="ST390" s="6"/>
      <c r="SU390" s="6"/>
      <c r="SV390" s="6"/>
      <c r="SW390" s="6"/>
      <c r="SX390" s="6"/>
      <c r="SY390" s="6"/>
      <c r="SZ390" s="6"/>
      <c r="TA390" s="6"/>
      <c r="TB390" s="6"/>
      <c r="TC390" s="6"/>
      <c r="TD390" s="6"/>
      <c r="TE390" s="6"/>
      <c r="TF390" s="6"/>
      <c r="TG390" s="6"/>
      <c r="TH390" s="6"/>
      <c r="TI390" s="6"/>
      <c r="TJ390" s="6"/>
      <c r="TK390" s="6"/>
      <c r="TL390" s="6"/>
      <c r="TM390" s="6"/>
      <c r="TN390" s="6"/>
      <c r="TO390" s="6"/>
      <c r="TP390" s="6"/>
      <c r="TQ390" s="6"/>
      <c r="TR390" s="6"/>
      <c r="TS390" s="6"/>
      <c r="TT390" s="6"/>
      <c r="TU390" s="6"/>
      <c r="TV390" s="6"/>
      <c r="TW390" s="6"/>
      <c r="TX390" s="6"/>
      <c r="TY390" s="6"/>
      <c r="TZ390" s="6"/>
      <c r="UA390" s="6"/>
      <c r="UB390" s="6"/>
      <c r="UC390" s="6"/>
      <c r="UD390" s="6"/>
      <c r="UE390" s="6"/>
      <c r="UF390" s="6"/>
      <c r="UG390" s="6"/>
      <c r="UH390" s="6"/>
      <c r="UI390" s="6"/>
      <c r="UJ390" s="6"/>
      <c r="UK390" s="6"/>
      <c r="UL390" s="6"/>
      <c r="UM390" s="6"/>
      <c r="UN390" s="6"/>
      <c r="UO390" s="6"/>
      <c r="UP390" s="6"/>
      <c r="UQ390" s="6"/>
      <c r="UR390" s="6"/>
      <c r="US390" s="6"/>
      <c r="UT390" s="6"/>
      <c r="UU390" s="6"/>
      <c r="UV390" s="6"/>
      <c r="UW390" s="6"/>
      <c r="UX390" s="6"/>
      <c r="UY390" s="6"/>
      <c r="UZ390" s="6"/>
      <c r="VA390" s="6"/>
      <c r="VB390" s="6"/>
      <c r="VC390" s="6"/>
      <c r="VD390" s="6"/>
      <c r="VE390" s="6"/>
      <c r="VF390" s="6"/>
      <c r="VG390" s="6"/>
      <c r="VH390" s="6"/>
      <c r="VI390" s="6"/>
      <c r="VJ390" s="6"/>
      <c r="VK390" s="6"/>
      <c r="VL390" s="6"/>
      <c r="VM390" s="6"/>
      <c r="VN390" s="6"/>
      <c r="VO390" s="6"/>
      <c r="VP390" s="6"/>
      <c r="VQ390" s="6"/>
      <c r="VR390" s="6"/>
      <c r="VS390" s="6"/>
      <c r="VT390" s="6"/>
      <c r="VU390" s="6"/>
      <c r="VV390" s="6"/>
      <c r="VW390" s="6"/>
      <c r="VX390" s="6"/>
      <c r="VY390" s="6"/>
      <c r="VZ390" s="6"/>
      <c r="WA390" s="6"/>
      <c r="WB390" s="6"/>
      <c r="WC390" s="6"/>
      <c r="WD390" s="6"/>
      <c r="WE390" s="6"/>
      <c r="WF390" s="6"/>
      <c r="WG390" s="6"/>
      <c r="WH390" s="6"/>
      <c r="WI390" s="6"/>
      <c r="WJ390" s="6"/>
      <c r="WK390" s="6"/>
      <c r="WL390" s="6"/>
      <c r="WM390" s="6"/>
      <c r="WN390" s="6"/>
      <c r="WO390" s="6"/>
      <c r="WP390" s="6"/>
      <c r="WQ390" s="6"/>
      <c r="WR390" s="6"/>
      <c r="WS390" s="6"/>
      <c r="WT390" s="6"/>
      <c r="WU390" s="6"/>
      <c r="WV390" s="6"/>
      <c r="WW390" s="6"/>
      <c r="WX390" s="6"/>
      <c r="WY390" s="6"/>
      <c r="WZ390" s="6"/>
      <c r="XA390" s="6"/>
      <c r="XB390" s="6"/>
      <c r="XC390" s="6"/>
      <c r="XD390" s="6"/>
      <c r="XE390" s="6"/>
      <c r="XF390" s="6"/>
      <c r="XG390" s="6"/>
      <c r="XH390" s="6"/>
      <c r="XI390" s="6"/>
      <c r="XJ390" s="6"/>
      <c r="XK390" s="6"/>
      <c r="XL390" s="6"/>
      <c r="XM390" s="6"/>
      <c r="XN390" s="6"/>
      <c r="XO390" s="6"/>
      <c r="XP390" s="6"/>
      <c r="XQ390" s="6"/>
      <c r="XR390" s="6"/>
      <c r="XS390" s="6"/>
      <c r="XT390" s="6"/>
      <c r="XU390" s="6"/>
      <c r="XV390" s="6"/>
      <c r="XW390" s="6"/>
      <c r="XX390" s="6"/>
      <c r="XY390" s="6"/>
      <c r="XZ390" s="6"/>
      <c r="YA390" s="6"/>
      <c r="YB390" s="6"/>
      <c r="YC390" s="6"/>
      <c r="YD390" s="6"/>
      <c r="YE390" s="6"/>
      <c r="YF390" s="6"/>
      <c r="YG390" s="6"/>
      <c r="YH390" s="6"/>
      <c r="YI390" s="6"/>
      <c r="YJ390" s="6"/>
      <c r="YK390" s="6"/>
      <c r="YL390" s="6"/>
      <c r="YM390" s="6"/>
      <c r="YN390" s="6"/>
      <c r="YO390" s="6"/>
      <c r="YP390" s="6"/>
      <c r="YQ390" s="6"/>
      <c r="YR390" s="6"/>
      <c r="YS390" s="6"/>
      <c r="YT390" s="6"/>
      <c r="YU390" s="6"/>
      <c r="YV390" s="6"/>
      <c r="YW390" s="6"/>
      <c r="YX390" s="6"/>
      <c r="YY390" s="6"/>
      <c r="YZ390" s="6"/>
      <c r="ZA390" s="6"/>
      <c r="ZB390" s="6"/>
      <c r="ZC390" s="6"/>
      <c r="ZD390" s="6"/>
      <c r="ZE390" s="6"/>
      <c r="ZF390" s="6"/>
      <c r="ZG390" s="6"/>
      <c r="ZH390" s="6"/>
      <c r="ZI390" s="6"/>
      <c r="ZJ390" s="6"/>
      <c r="ZK390" s="6"/>
      <c r="ZL390" s="6"/>
      <c r="ZM390" s="6"/>
      <c r="ZN390" s="6"/>
      <c r="ZO390" s="6"/>
      <c r="ZP390" s="6"/>
      <c r="ZQ390" s="6"/>
      <c r="ZR390" s="6"/>
      <c r="ZS390" s="6"/>
      <c r="ZT390" s="6"/>
      <c r="ZU390" s="6"/>
      <c r="ZV390" s="6"/>
      <c r="ZW390" s="6"/>
      <c r="ZX390" s="6"/>
      <c r="ZY390" s="6"/>
      <c r="ZZ390" s="6"/>
      <c r="AAA390" s="6"/>
      <c r="AAB390" s="6"/>
      <c r="AAC390" s="6"/>
      <c r="AAD390" s="6"/>
      <c r="AAE390" s="6"/>
      <c r="AAF390" s="6"/>
      <c r="AAG390" s="6"/>
      <c r="AAH390" s="6"/>
      <c r="AAI390" s="6"/>
      <c r="AAJ390" s="6"/>
      <c r="AAK390" s="6"/>
      <c r="AAL390" s="6"/>
      <c r="AAM390" s="6"/>
      <c r="AAN390" s="6"/>
      <c r="AAO390" s="6"/>
      <c r="AAP390" s="6"/>
      <c r="AAQ390" s="6"/>
      <c r="AAR390" s="6"/>
      <c r="AAS390" s="6"/>
      <c r="AAT390" s="6"/>
      <c r="AAU390" s="6"/>
      <c r="AAV390" s="6"/>
      <c r="AAW390" s="6"/>
      <c r="AAX390" s="6"/>
      <c r="AAY390" s="6"/>
      <c r="AAZ390" s="6"/>
      <c r="ABA390" s="6"/>
      <c r="ABB390" s="6"/>
      <c r="ABC390" s="6"/>
      <c r="ABD390" s="6"/>
      <c r="ABE390" s="6"/>
      <c r="ABF390" s="6"/>
      <c r="ABG390" s="6"/>
      <c r="ABH390" s="6"/>
      <c r="ABI390" s="6"/>
      <c r="ABJ390" s="6"/>
      <c r="ABK390" s="6"/>
      <c r="ABL390" s="6"/>
      <c r="ABM390" s="6"/>
      <c r="ABN390" s="6"/>
      <c r="ABO390" s="6"/>
      <c r="ABP390" s="6"/>
      <c r="ABQ390" s="6"/>
      <c r="ABR390" s="6"/>
      <c r="ABS390" s="6"/>
      <c r="ABT390" s="6"/>
      <c r="ABU390" s="6"/>
      <c r="ABV390" s="6"/>
      <c r="ABW390" s="6"/>
      <c r="ABX390" s="6"/>
      <c r="ABY390" s="6"/>
      <c r="ABZ390" s="6"/>
      <c r="ACA390" s="6"/>
      <c r="ACB390" s="6"/>
      <c r="ACC390" s="6"/>
      <c r="ACD390" s="6"/>
      <c r="ACE390" s="6"/>
      <c r="ACF390" s="6"/>
      <c r="ACG390" s="6"/>
      <c r="ACH390" s="6"/>
      <c r="ACI390" s="6"/>
      <c r="ACJ390" s="6"/>
      <c r="ACK390" s="6"/>
      <c r="ACL390" s="6"/>
      <c r="ACM390" s="6"/>
      <c r="ACN390" s="6"/>
      <c r="ACO390" s="6"/>
      <c r="ACP390" s="6"/>
      <c r="ACQ390" s="6"/>
      <c r="ACR390" s="6"/>
      <c r="ACS390" s="6"/>
      <c r="ACT390" s="6"/>
      <c r="ACU390" s="6"/>
      <c r="ACV390" s="6"/>
      <c r="ACW390" s="6"/>
      <c r="ACX390" s="6"/>
      <c r="ACY390" s="6"/>
      <c r="ACZ390" s="6"/>
      <c r="ADA390" s="6"/>
      <c r="ADB390" s="6"/>
      <c r="ADC390" s="6"/>
      <c r="ADD390" s="6"/>
      <c r="ADE390" s="6"/>
      <c r="ADF390" s="6"/>
      <c r="ADG390" s="6"/>
      <c r="ADH390" s="6"/>
      <c r="ADI390" s="6"/>
      <c r="ADJ390" s="6"/>
      <c r="ADK390" s="6"/>
      <c r="ADL390" s="6"/>
      <c r="ADM390" s="6"/>
      <c r="ADN390" s="6"/>
      <c r="ADO390" s="6"/>
      <c r="ADP390" s="6"/>
      <c r="ADQ390" s="6"/>
      <c r="ADR390" s="6"/>
      <c r="ADS390" s="6"/>
      <c r="ADT390" s="6"/>
      <c r="ADU390" s="6"/>
      <c r="ADV390" s="6"/>
      <c r="ADW390" s="6"/>
      <c r="ADX390" s="6"/>
      <c r="ADY390" s="6"/>
      <c r="ADZ390" s="6"/>
      <c r="AEA390" s="6"/>
      <c r="AEB390" s="6"/>
      <c r="AEC390" s="6"/>
      <c r="AED390" s="6"/>
      <c r="AEE390" s="6"/>
      <c r="AEF390" s="6"/>
      <c r="AEG390" s="6"/>
      <c r="AEH390" s="6"/>
      <c r="AEI390" s="6"/>
      <c r="AEJ390" s="6"/>
      <c r="AEK390" s="6"/>
      <c r="AEL390" s="6"/>
      <c r="AEM390" s="6"/>
      <c r="AEN390" s="6"/>
      <c r="AEO390" s="6"/>
      <c r="AEP390" s="6"/>
      <c r="AEQ390" s="6"/>
      <c r="AER390" s="6"/>
      <c r="AES390" s="6"/>
      <c r="AET390" s="6"/>
      <c r="AEU390" s="6"/>
      <c r="AEV390" s="6"/>
      <c r="AEW390" s="6"/>
      <c r="AEX390" s="6"/>
      <c r="AEY390" s="6"/>
      <c r="AEZ390" s="6"/>
      <c r="AFA390" s="6"/>
      <c r="AFB390" s="6"/>
      <c r="AFC390" s="6"/>
      <c r="AFD390" s="6"/>
      <c r="AFE390" s="6"/>
      <c r="AFF390" s="6"/>
      <c r="AFG390" s="6"/>
      <c r="AFH390" s="6"/>
      <c r="AFI390" s="6"/>
      <c r="AFJ390" s="6"/>
      <c r="AFK390" s="6"/>
      <c r="AFL390" s="6"/>
      <c r="AFM390" s="6"/>
      <c r="AFN390" s="6"/>
      <c r="AFO390" s="6"/>
      <c r="AFP390" s="6"/>
      <c r="AFQ390" s="6"/>
      <c r="AFR390" s="6"/>
      <c r="AFS390" s="6"/>
      <c r="AFT390" s="6"/>
      <c r="AFU390" s="6"/>
      <c r="AFV390" s="6"/>
      <c r="AFW390" s="6"/>
      <c r="AFX390" s="6"/>
      <c r="AFY390" s="6"/>
      <c r="AFZ390" s="6"/>
      <c r="AGA390" s="6"/>
      <c r="AGB390" s="6"/>
      <c r="AGC390" s="6"/>
      <c r="AGD390" s="6"/>
      <c r="AGE390" s="6"/>
      <c r="AGF390" s="6"/>
      <c r="AGG390" s="6"/>
      <c r="AGH390" s="6"/>
      <c r="AGI390" s="6"/>
      <c r="AGJ390" s="6"/>
      <c r="AGK390" s="6"/>
      <c r="AGL390" s="6"/>
      <c r="AGM390" s="6"/>
      <c r="AGN390" s="6"/>
      <c r="AGO390" s="6"/>
      <c r="AGP390" s="6"/>
      <c r="AGQ390" s="6"/>
      <c r="AGR390" s="6"/>
      <c r="AGS390" s="6"/>
      <c r="AGT390" s="6"/>
      <c r="AGU390" s="6"/>
      <c r="AGV390" s="6"/>
      <c r="AGW390" s="6"/>
      <c r="AGX390" s="6"/>
      <c r="AGY390" s="6"/>
      <c r="AGZ390" s="6"/>
      <c r="AHA390" s="6"/>
      <c r="AHB390" s="6"/>
      <c r="AHC390" s="6"/>
      <c r="AHD390" s="6"/>
      <c r="AHE390" s="6"/>
      <c r="AHF390" s="6"/>
      <c r="AHG390" s="6"/>
      <c r="AHH390" s="6"/>
      <c r="AHI390" s="6"/>
      <c r="AHJ390" s="6"/>
      <c r="AHK390" s="6"/>
      <c r="AHL390" s="6"/>
      <c r="AHM390" s="6"/>
      <c r="AHN390" s="6"/>
      <c r="AHO390" s="6"/>
      <c r="AHP390" s="6"/>
      <c r="AHQ390" s="6"/>
      <c r="AHR390" s="6"/>
      <c r="AHS390" s="6"/>
      <c r="AHT390" s="6"/>
      <c r="AHU390" s="6"/>
      <c r="AHV390" s="6"/>
      <c r="AHW390" s="6"/>
      <c r="AHX390" s="6"/>
      <c r="AHY390" s="6"/>
      <c r="AHZ390" s="6"/>
      <c r="AIA390" s="6"/>
      <c r="AIB390" s="6"/>
      <c r="AIC390" s="6"/>
      <c r="AID390" s="6"/>
      <c r="AIE390" s="6"/>
      <c r="AIF390" s="6"/>
      <c r="AIG390" s="6"/>
      <c r="AIH390" s="6"/>
      <c r="AII390" s="6"/>
      <c r="AIJ390" s="6"/>
      <c r="AIK390" s="6"/>
      <c r="AIL390" s="6"/>
      <c r="AIM390" s="6"/>
      <c r="AIN390" s="6"/>
      <c r="AIO390" s="6"/>
      <c r="AIP390" s="6"/>
      <c r="AIQ390" s="6"/>
      <c r="AIR390" s="6"/>
      <c r="AIS390" s="6"/>
      <c r="AIT390" s="6"/>
      <c r="AIU390" s="6"/>
      <c r="AIV390" s="6"/>
      <c r="AIW390" s="6"/>
      <c r="AIX390" s="6"/>
      <c r="AIY390" s="6"/>
      <c r="AIZ390" s="6"/>
      <c r="AJA390" s="6"/>
      <c r="AJB390" s="6"/>
      <c r="AJC390" s="6"/>
      <c r="AJD390" s="6"/>
      <c r="AJE390" s="6"/>
      <c r="AJF390" s="6"/>
      <c r="AJG390" s="6"/>
      <c r="AJH390" s="6"/>
      <c r="AJI390" s="6"/>
      <c r="AJJ390" s="6"/>
      <c r="AJK390" s="6"/>
      <c r="AJL390" s="6"/>
      <c r="AJM390" s="6"/>
      <c r="AJN390" s="6"/>
      <c r="AJO390" s="6"/>
      <c r="AJP390" s="6"/>
      <c r="AJQ390" s="6"/>
      <c r="AJR390" s="6"/>
      <c r="AJS390" s="6"/>
      <c r="AJT390" s="6"/>
      <c r="AJU390" s="6"/>
      <c r="AJV390" s="6"/>
      <c r="AJW390" s="6"/>
      <c r="AJX390" s="6"/>
      <c r="AJY390" s="6"/>
      <c r="AJZ390" s="6"/>
      <c r="AKA390" s="6"/>
      <c r="AKB390" s="6"/>
      <c r="AKC390" s="6"/>
      <c r="AKD390" s="6"/>
      <c r="AKE390" s="6"/>
      <c r="AKF390" s="6"/>
      <c r="AKG390" s="6"/>
      <c r="AKH390" s="6"/>
      <c r="AKI390" s="6"/>
      <c r="AKJ390" s="6"/>
      <c r="AKK390" s="6"/>
      <c r="AKL390" s="6"/>
      <c r="AKM390" s="6"/>
      <c r="AKN390" s="6"/>
      <c r="AKO390" s="6"/>
      <c r="AKP390" s="6"/>
      <c r="AKQ390" s="6"/>
      <c r="AKR390" s="6"/>
      <c r="AKS390" s="6"/>
      <c r="AKT390" s="6"/>
      <c r="AKU390" s="6"/>
      <c r="AKV390" s="6"/>
      <c r="AKW390" s="6"/>
      <c r="AKX390" s="6"/>
      <c r="AKY390" s="6"/>
      <c r="AKZ390" s="6"/>
      <c r="ALA390" s="6"/>
      <c r="ALB390" s="6"/>
      <c r="ALC390" s="6"/>
      <c r="ALD390" s="6"/>
      <c r="ALE390" s="6"/>
      <c r="ALF390" s="6"/>
      <c r="ALG390" s="6"/>
      <c r="ALH390" s="6"/>
      <c r="ALI390" s="6"/>
      <c r="ALJ390" s="6"/>
      <c r="ALK390" s="6"/>
      <c r="ALL390" s="6"/>
      <c r="ALM390" s="6"/>
      <c r="ALN390" s="6"/>
      <c r="ALO390" s="6"/>
      <c r="ALP390" s="6"/>
      <c r="ALQ390" s="6"/>
      <c r="ALR390" s="6"/>
      <c r="ALS390" s="6"/>
      <c r="ALT390" s="6"/>
      <c r="ALU390" s="6"/>
      <c r="ALV390" s="6"/>
      <c r="ALW390" s="6"/>
      <c r="ALX390" s="6"/>
      <c r="ALY390" s="6"/>
      <c r="ALZ390" s="6"/>
      <c r="AMA390" s="6"/>
      <c r="AMB390" s="6"/>
      <c r="AMC390" s="6"/>
      <c r="AMD390" s="6"/>
      <c r="AME390" s="6"/>
      <c r="AMF390" s="6"/>
      <c r="AMG390" s="6"/>
      <c r="AMH390" s="6"/>
      <c r="AMI390" s="6"/>
      <c r="AMJ390" s="6"/>
      <c r="AMK390" s="6"/>
      <c r="AML390" s="6"/>
      <c r="AMM390" s="6"/>
      <c r="AMN390" s="6"/>
      <c r="AMO390" s="6"/>
      <c r="AMP390" s="6"/>
    </row>
    <row r="391" spans="1:1030" x14ac:dyDescent="0.2">
      <c r="A391" s="9" t="str">
        <f t="shared" ref="A391:A392" si="3327">CONCATENATE(B391,"_",C391)</f>
        <v>ta2r_human__wt</v>
      </c>
      <c r="B391" s="40" t="s">
        <v>473</v>
      </c>
      <c r="C391" s="9" t="s">
        <v>100</v>
      </c>
      <c r="D391" s="9" t="str">
        <f>IFERROR(MID(VLOOKUP($B391,Seqs!$A:$B,2,0),E391,1),"")</f>
        <v>S</v>
      </c>
      <c r="E391" s="9">
        <v>27</v>
      </c>
      <c r="F391" s="9" t="str">
        <f>IFERROR(MID(VLOOKUP($B391,Seqs!$A:$B,2,0),G391,1),"")</f>
        <v>Q</v>
      </c>
      <c r="G391" s="9">
        <v>54</v>
      </c>
      <c r="H391" s="9" t="str">
        <f>IFERROR(MID(VLOOKUP($B391,Seqs!$A:$B,2,0),I391,1),"")</f>
        <v/>
      </c>
      <c r="I391" s="109" t="s">
        <v>23</v>
      </c>
      <c r="J391" s="9" t="str">
        <f>IFERROR(MID(VLOOKUP($B391,Seqs!$A:$B,2,0),K391,1),"")</f>
        <v/>
      </c>
      <c r="K391" s="109" t="s">
        <v>23</v>
      </c>
      <c r="L391" s="9" t="str">
        <f>IFERROR(MID(VLOOKUP($B391,Seqs!$A:$B,2,0),M391,1),"")</f>
        <v>S</v>
      </c>
      <c r="M391" s="9">
        <v>61</v>
      </c>
      <c r="N391" s="9" t="str">
        <f>IFERROR(MID(VLOOKUP($B391,Seqs!$A:$B,2,0),O391,1),"")</f>
        <v>A</v>
      </c>
      <c r="O391" s="9">
        <v>91</v>
      </c>
      <c r="P391" s="9" t="str">
        <f>IFERROR(MID(VLOOKUP($B391,Seqs!$A:$B,2,0),Q391,1),"")</f>
        <v>E</v>
      </c>
      <c r="Q391" s="9">
        <v>94</v>
      </c>
      <c r="R391" s="9" t="str">
        <f>IFERROR(MID(VLOOKUP($B391,Seqs!$A:$B,2,0),S391,1),"")</f>
        <v>V</v>
      </c>
      <c r="S391" s="9">
        <v>98</v>
      </c>
      <c r="T391" s="9" t="str">
        <f>IFERROR(MID(VLOOKUP($B391,Seqs!$A:$B,2,0),U391,1),"")</f>
        <v>C</v>
      </c>
      <c r="U391" s="9">
        <v>102</v>
      </c>
      <c r="V391" s="9" t="str">
        <f>IFERROR(MID(VLOOKUP($B391,Seqs!$A:$B,2,0),W391,1),"")</f>
        <v>R</v>
      </c>
      <c r="W391" s="9">
        <v>136</v>
      </c>
      <c r="X391" s="9" t="str">
        <f>IFERROR(MID(VLOOKUP($B391,Seqs!$A:$B,2,0),Y391,1),"")</f>
        <v>P</v>
      </c>
      <c r="Y391" s="9">
        <v>137</v>
      </c>
      <c r="Z391" s="9" t="str">
        <f>IFERROR(MID(VLOOKUP($B391,Seqs!$A:$B,2,0),AA391,1),"")</f>
        <v>A</v>
      </c>
      <c r="AA391" s="9">
        <v>144</v>
      </c>
      <c r="AB391" s="9" t="str">
        <f>IFERROR(MID(VLOOKUP($B391,Seqs!$A:$B,2,0),AC391,1),"")</f>
        <v>S</v>
      </c>
      <c r="AC391" s="9">
        <v>145</v>
      </c>
      <c r="AD391" s="9" t="str">
        <f>IFERROR(MID(VLOOKUP($B391,Seqs!$A:$B,2,0),AE391,1),"")</f>
        <v>G</v>
      </c>
      <c r="AE391" s="9">
        <v>170</v>
      </c>
      <c r="AF391" s="9" t="str">
        <f>IFERROR(MID(VLOOKUP($B391,Seqs!$A:$B,2,0),AG391,1),"")</f>
        <v>C</v>
      </c>
      <c r="AG391" s="9">
        <v>183</v>
      </c>
      <c r="AH391" s="9" t="str">
        <f>IFERROR(MID(VLOOKUP($B391,Seqs!$A:$B,2,0),AI391,1),"")</f>
        <v>L</v>
      </c>
      <c r="AI391" s="9">
        <v>185</v>
      </c>
      <c r="AJ391" s="9" t="str">
        <f>IFERROR(MID(VLOOKUP($B391,Seqs!$A:$B,2,0),AK391,1),"")</f>
        <v>E</v>
      </c>
      <c r="AK391" s="9">
        <v>190</v>
      </c>
      <c r="AL391" s="9" t="str">
        <f>IFERROR(MID(VLOOKUP($B391,Seqs!$A:$B,2,0),AM391,1),"")</f>
        <v>P</v>
      </c>
      <c r="AM391" s="9">
        <v>236</v>
      </c>
      <c r="AN391" s="9" t="str">
        <f>IFERROR(MID(VLOOKUP($B391,Seqs!$A:$B,2,0),AO391,1),"")</f>
        <v>E</v>
      </c>
      <c r="AO391" s="9">
        <v>240</v>
      </c>
      <c r="AP391" s="9" t="str">
        <f>IFERROR(MID(VLOOKUP($B391,Seqs!$A:$B,2,0),AQ391,1),"")</f>
        <v>R</v>
      </c>
      <c r="AQ391" s="9">
        <v>271</v>
      </c>
      <c r="AR391" s="9" t="str">
        <f>IFERROR(MID(VLOOKUP($B391,Seqs!$A:$B,2,0),AS391,1),"")</f>
        <v>S</v>
      </c>
      <c r="AS391" s="9">
        <v>283</v>
      </c>
      <c r="AT391" s="9" t="str">
        <f>IFERROR(MID(VLOOKUP($B391,Seqs!$A:$B,2,0),AU391,1),"")</f>
        <v>F</v>
      </c>
      <c r="AU391" s="9">
        <v>311</v>
      </c>
      <c r="AV391" s="9" t="str">
        <f>IFERROR(MID(VLOOKUP($B391,Seqs!$A:$B,2,0),AW391,1),"")</f>
        <v>R</v>
      </c>
      <c r="AW391" s="9">
        <v>312</v>
      </c>
      <c r="AX391" s="9" t="str">
        <f>IFERROR(MID(VLOOKUP($B391,Seqs!$A:$B,2,0),AY391,1),"")</f>
        <v>S</v>
      </c>
      <c r="AY391" s="9">
        <v>331</v>
      </c>
      <c r="AZ391" s="110" t="str">
        <f>VLOOKUP(B391,Classification!A:D,2,0)</f>
        <v>A</v>
      </c>
      <c r="BA391" s="98" t="str">
        <f>VLOOKUP(B391,Classification!A:D,4,0)</f>
        <v>Prostanoid</v>
      </c>
      <c r="BB391" s="36" t="b">
        <f t="shared" ref="BB391:BB392" si="3328">AND(E391&lt;G391,OR(G391&lt;I391,I391="-"),OR(I391&lt;K391,I391="-"),OR(K391&lt;M391,K391="-"),M391&lt;O391,OR(O391&lt;Q391,Q391="-"),OR(Q391&lt;S391,Q391="-"),OR(S391&lt;U391,S391="-"),U391&lt;W391,OR(W391&lt;Y391,Y391="-"),OR(Y391&lt;AA391,Y391="-"),OR(AA391&lt;AC391,AA391="-"),AC391&lt;AE391,OR(AE391&lt;AG391,AG391="-"),OR(AG391&lt;AI391,AG391="-"),OR(AI391&lt;AK391,AI391="-"),AK391&lt;AM391,AM391&lt;AO391,AO391&lt;AQ391,AQ391&lt;AS391,AS391&lt;AU391,OR(AU391&lt;AW391,AW391="-"),OR(AW391&lt;AY391,AW391="-"))</f>
        <v>1</v>
      </c>
      <c r="BC391" s="109">
        <f t="shared" ref="BC391:BC392" si="3329">_xlfn.AGGREGATE(9,6,CH391:CS391)-_xlfn.AGGREGATE(9,6,BV391:CG391)+12</f>
        <v>265</v>
      </c>
      <c r="BD391" s="11" t="s">
        <v>23</v>
      </c>
      <c r="BE391" s="9" t="s">
        <v>23</v>
      </c>
      <c r="BF391" s="119" t="s">
        <v>23</v>
      </c>
      <c r="BG391" s="51" t="s">
        <v>1</v>
      </c>
      <c r="BH391" s="51" t="s">
        <v>1</v>
      </c>
      <c r="BI391" s="12"/>
      <c r="BJ391" s="111" t="s">
        <v>1287</v>
      </c>
      <c r="BK391" s="112" t="s">
        <v>1287</v>
      </c>
      <c r="BL391" s="112" t="s">
        <v>1287</v>
      </c>
      <c r="BM391" s="112" t="s">
        <v>1287</v>
      </c>
      <c r="BN391" s="112" t="s">
        <v>1287</v>
      </c>
      <c r="BO391" s="112" t="s">
        <v>1287</v>
      </c>
      <c r="BP391" s="112" t="s">
        <v>1287</v>
      </c>
      <c r="BQ391" s="112" t="s">
        <v>1287</v>
      </c>
      <c r="BR391" s="112" t="s">
        <v>1287</v>
      </c>
      <c r="BS391" s="112" t="s">
        <v>1287</v>
      </c>
      <c r="BT391" s="112" t="s">
        <v>1287</v>
      </c>
      <c r="BU391" s="112" t="s">
        <v>1287</v>
      </c>
      <c r="BV391" s="111">
        <f t="shared" ref="BV391:BV392" si="3330">E391</f>
        <v>27</v>
      </c>
      <c r="BW391" s="113" t="str">
        <f t="shared" ref="BW391:BW392" si="3331">I391</f>
        <v>-</v>
      </c>
      <c r="BX391" s="114">
        <f t="shared" ref="BX391:BX392" si="3332">M391</f>
        <v>61</v>
      </c>
      <c r="BY391" s="113">
        <f t="shared" ref="BY391:BY392" si="3333">Q391</f>
        <v>94</v>
      </c>
      <c r="BZ391" s="114">
        <f t="shared" ref="BZ391:BZ392" si="3334">U391</f>
        <v>102</v>
      </c>
      <c r="CA391" s="113">
        <f t="shared" ref="CA391:CA392" si="3335">Y391</f>
        <v>137</v>
      </c>
      <c r="CB391" s="114">
        <f t="shared" ref="CB391:CB392" si="3336">AC391</f>
        <v>145</v>
      </c>
      <c r="CC391" s="113">
        <f t="shared" ref="CC391:CC392" si="3337">AG391</f>
        <v>183</v>
      </c>
      <c r="CD391" s="114">
        <f t="shared" ref="CD391:CD392" si="3338">AK391</f>
        <v>190</v>
      </c>
      <c r="CE391" s="113">
        <f t="shared" ref="CE391:CE392" si="3339">AO391</f>
        <v>240</v>
      </c>
      <c r="CF391" s="114">
        <f t="shared" ref="CF391:CF392" si="3340">AS391</f>
        <v>283</v>
      </c>
      <c r="CG391" s="113">
        <f t="shared" ref="CG391:CG392" si="3341">AW391</f>
        <v>312</v>
      </c>
      <c r="CH391" s="111">
        <f t="shared" ref="CH391:CH392" si="3342">G391</f>
        <v>54</v>
      </c>
      <c r="CI391" s="113" t="str">
        <f t="shared" ref="CI391:CI392" si="3343">K391</f>
        <v>-</v>
      </c>
      <c r="CJ391" s="114">
        <f t="shared" ref="CJ391:CJ392" si="3344">O391</f>
        <v>91</v>
      </c>
      <c r="CK391" s="114">
        <f t="shared" ref="CK391:CK392" si="3345">S391</f>
        <v>98</v>
      </c>
      <c r="CL391" s="114">
        <f t="shared" ref="CL391:CL392" si="3346">W391</f>
        <v>136</v>
      </c>
      <c r="CM391" s="114">
        <f t="shared" ref="CM391:CM392" si="3347">AA391</f>
        <v>144</v>
      </c>
      <c r="CN391" s="114">
        <f t="shared" ref="CN391:CN392" si="3348">AE391</f>
        <v>170</v>
      </c>
      <c r="CO391" s="114">
        <f t="shared" ref="CO391:CO392" si="3349">AI391</f>
        <v>185</v>
      </c>
      <c r="CP391" s="114">
        <f t="shared" ref="CP391:CP392" si="3350">AM391</f>
        <v>236</v>
      </c>
      <c r="CQ391" s="114">
        <f t="shared" ref="CQ391:CQ392" si="3351">AQ391</f>
        <v>271</v>
      </c>
      <c r="CR391" s="114">
        <f t="shared" ref="CR391:CR392" si="3352">AU391</f>
        <v>311</v>
      </c>
      <c r="CS391" s="114">
        <f t="shared" ref="CS391:CS392" si="3353">AY391</f>
        <v>331</v>
      </c>
      <c r="CT391" s="109" t="e">
        <f t="shared" ref="CT391:CT392" si="3354">M391-K391</f>
        <v>#VALUE!</v>
      </c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Q391" s="6"/>
      <c r="KR391" s="6"/>
      <c r="KS391" s="6"/>
      <c r="KT391" s="6"/>
      <c r="KU391" s="6"/>
      <c r="KV391" s="6"/>
      <c r="KW391" s="6"/>
      <c r="KX391" s="6"/>
      <c r="KY391" s="6"/>
      <c r="KZ391" s="6"/>
      <c r="LA391" s="6"/>
      <c r="LB391" s="6"/>
      <c r="LC391" s="6"/>
      <c r="LD391" s="6"/>
      <c r="LE391" s="6"/>
      <c r="LF391" s="6"/>
      <c r="LG391" s="6"/>
      <c r="LH391" s="6"/>
      <c r="LI391" s="6"/>
      <c r="LJ391" s="6"/>
      <c r="LK391" s="6"/>
      <c r="LL391" s="6"/>
      <c r="LM391" s="6"/>
      <c r="LN391" s="6"/>
      <c r="LO391" s="6"/>
      <c r="LP391" s="6"/>
      <c r="LQ391" s="6"/>
      <c r="LR391" s="6"/>
      <c r="LS391" s="6"/>
      <c r="LT391" s="6"/>
      <c r="LU391" s="6"/>
      <c r="LV391" s="6"/>
      <c r="LW391" s="6"/>
      <c r="LX391" s="6"/>
      <c r="LY391" s="6"/>
      <c r="LZ391" s="6"/>
      <c r="MA391" s="6"/>
      <c r="MB391" s="6"/>
      <c r="MC391" s="6"/>
      <c r="MD391" s="6"/>
      <c r="ME391" s="6"/>
      <c r="MF391" s="6"/>
      <c r="MG391" s="6"/>
      <c r="MH391" s="6"/>
      <c r="MI391" s="6"/>
      <c r="MJ391" s="6"/>
      <c r="MK391" s="6"/>
      <c r="ML391" s="6"/>
      <c r="MM391" s="6"/>
      <c r="MN391" s="6"/>
      <c r="MO391" s="6"/>
      <c r="MP391" s="6"/>
      <c r="MQ391" s="6"/>
      <c r="MR391" s="6"/>
      <c r="MS391" s="6"/>
      <c r="MT391" s="6"/>
      <c r="MU391" s="6"/>
      <c r="MV391" s="6"/>
      <c r="MW391" s="6"/>
      <c r="MX391" s="6"/>
      <c r="MY391" s="6"/>
      <c r="MZ391" s="6"/>
      <c r="NA391" s="6"/>
      <c r="NB391" s="6"/>
      <c r="NC391" s="6"/>
      <c r="ND391" s="6"/>
      <c r="NE391" s="6"/>
      <c r="NF391" s="6"/>
      <c r="NG391" s="6"/>
      <c r="NH391" s="6"/>
      <c r="NI391" s="6"/>
      <c r="NJ391" s="6"/>
      <c r="NK391" s="6"/>
      <c r="NL391" s="6"/>
      <c r="NM391" s="6"/>
      <c r="NN391" s="6"/>
      <c r="NO391" s="6"/>
      <c r="NP391" s="6"/>
      <c r="NQ391" s="6"/>
      <c r="NR391" s="6"/>
      <c r="NS391" s="6"/>
      <c r="NT391" s="6"/>
      <c r="NU391" s="6"/>
      <c r="NV391" s="6"/>
      <c r="NW391" s="6"/>
      <c r="NX391" s="6"/>
      <c r="NY391" s="6"/>
      <c r="NZ391" s="6"/>
      <c r="OA391" s="6"/>
      <c r="OB391" s="6"/>
      <c r="OC391" s="6"/>
      <c r="OD391" s="6"/>
      <c r="OE391" s="6"/>
      <c r="OF391" s="6"/>
      <c r="OG391" s="6"/>
      <c r="OH391" s="6"/>
      <c r="OI391" s="6"/>
      <c r="OJ391" s="6"/>
      <c r="OK391" s="6"/>
      <c r="OL391" s="6"/>
      <c r="OM391" s="6"/>
      <c r="ON391" s="6"/>
      <c r="OO391" s="6"/>
      <c r="OP391" s="6"/>
      <c r="OQ391" s="6"/>
      <c r="OR391" s="6"/>
      <c r="OS391" s="6"/>
      <c r="OT391" s="6"/>
      <c r="OU391" s="6"/>
      <c r="OV391" s="6"/>
      <c r="OW391" s="6"/>
      <c r="OX391" s="6"/>
      <c r="OY391" s="6"/>
      <c r="OZ391" s="6"/>
      <c r="PA391" s="6"/>
      <c r="PB391" s="6"/>
      <c r="PC391" s="6"/>
      <c r="PD391" s="6"/>
      <c r="PE391" s="6"/>
      <c r="PF391" s="6"/>
      <c r="PG391" s="6"/>
      <c r="PH391" s="6"/>
      <c r="PI391" s="6"/>
      <c r="PJ391" s="6"/>
      <c r="PK391" s="6"/>
      <c r="PL391" s="6"/>
      <c r="PM391" s="6"/>
      <c r="PN391" s="6"/>
      <c r="PO391" s="6"/>
      <c r="PP391" s="6"/>
      <c r="PQ391" s="6"/>
      <c r="PR391" s="6"/>
      <c r="PS391" s="6"/>
      <c r="PT391" s="6"/>
      <c r="PU391" s="6"/>
      <c r="PV391" s="6"/>
      <c r="PW391" s="6"/>
      <c r="PX391" s="6"/>
      <c r="PY391" s="6"/>
      <c r="PZ391" s="6"/>
      <c r="QA391" s="6"/>
      <c r="QB391" s="6"/>
      <c r="QC391" s="6"/>
      <c r="QD391" s="6"/>
      <c r="QE391" s="6"/>
      <c r="QF391" s="6"/>
      <c r="QG391" s="6"/>
      <c r="QH391" s="6"/>
      <c r="QI391" s="6"/>
      <c r="QJ391" s="6"/>
      <c r="QK391" s="6"/>
      <c r="QL391" s="6"/>
      <c r="QM391" s="6"/>
      <c r="QN391" s="6"/>
      <c r="QO391" s="6"/>
      <c r="QP391" s="6"/>
      <c r="QQ391" s="6"/>
      <c r="QR391" s="6"/>
      <c r="QS391" s="6"/>
      <c r="QT391" s="6"/>
      <c r="QU391" s="6"/>
      <c r="QV391" s="6"/>
      <c r="QW391" s="6"/>
      <c r="QX391" s="6"/>
      <c r="QY391" s="6"/>
      <c r="QZ391" s="6"/>
      <c r="RA391" s="6"/>
      <c r="RB391" s="6"/>
      <c r="RC391" s="6"/>
      <c r="RD391" s="6"/>
      <c r="RE391" s="6"/>
      <c r="RF391" s="6"/>
      <c r="RG391" s="6"/>
      <c r="RH391" s="6"/>
      <c r="RI391" s="6"/>
      <c r="RJ391" s="6"/>
      <c r="RK391" s="6"/>
      <c r="RL391" s="6"/>
      <c r="RM391" s="6"/>
      <c r="RN391" s="6"/>
      <c r="RO391" s="6"/>
      <c r="RP391" s="6"/>
      <c r="RQ391" s="6"/>
      <c r="RR391" s="6"/>
      <c r="RS391" s="6"/>
      <c r="RT391" s="6"/>
      <c r="RU391" s="6"/>
      <c r="RV391" s="6"/>
      <c r="RW391" s="6"/>
      <c r="RX391" s="6"/>
      <c r="RY391" s="6"/>
      <c r="RZ391" s="6"/>
      <c r="SA391" s="6"/>
      <c r="SB391" s="6"/>
      <c r="SC391" s="6"/>
      <c r="SD391" s="6"/>
      <c r="SE391" s="6"/>
      <c r="SF391" s="6"/>
      <c r="SG391" s="6"/>
      <c r="SH391" s="6"/>
      <c r="SI391" s="6"/>
      <c r="SJ391" s="6"/>
      <c r="SK391" s="6"/>
      <c r="SL391" s="6"/>
      <c r="SM391" s="6"/>
      <c r="SN391" s="6"/>
      <c r="SO391" s="6"/>
      <c r="SP391" s="6"/>
      <c r="SQ391" s="6"/>
      <c r="SR391" s="6"/>
      <c r="SS391" s="6"/>
      <c r="ST391" s="6"/>
      <c r="SU391" s="6"/>
      <c r="SV391" s="6"/>
      <c r="SW391" s="6"/>
      <c r="SX391" s="6"/>
      <c r="SY391" s="6"/>
      <c r="SZ391" s="6"/>
      <c r="TA391" s="6"/>
      <c r="TB391" s="6"/>
      <c r="TC391" s="6"/>
      <c r="TD391" s="6"/>
      <c r="TE391" s="6"/>
      <c r="TF391" s="6"/>
      <c r="TG391" s="6"/>
      <c r="TH391" s="6"/>
      <c r="TI391" s="6"/>
      <c r="TJ391" s="6"/>
      <c r="TK391" s="6"/>
      <c r="TL391" s="6"/>
      <c r="TM391" s="6"/>
      <c r="TN391" s="6"/>
      <c r="TO391" s="6"/>
      <c r="TP391" s="6"/>
      <c r="TQ391" s="6"/>
      <c r="TR391" s="6"/>
      <c r="TS391" s="6"/>
      <c r="TT391" s="6"/>
      <c r="TU391" s="6"/>
      <c r="TV391" s="6"/>
      <c r="TW391" s="6"/>
      <c r="TX391" s="6"/>
      <c r="TY391" s="6"/>
      <c r="TZ391" s="6"/>
      <c r="UA391" s="6"/>
      <c r="UB391" s="6"/>
      <c r="UC391" s="6"/>
      <c r="UD391" s="6"/>
      <c r="UE391" s="6"/>
      <c r="UF391" s="6"/>
      <c r="UG391" s="6"/>
      <c r="UH391" s="6"/>
      <c r="UI391" s="6"/>
      <c r="UJ391" s="6"/>
      <c r="UK391" s="6"/>
      <c r="UL391" s="6"/>
      <c r="UM391" s="6"/>
      <c r="UN391" s="6"/>
      <c r="UO391" s="6"/>
      <c r="UP391" s="6"/>
      <c r="UQ391" s="6"/>
      <c r="UR391" s="6"/>
      <c r="US391" s="6"/>
      <c r="UT391" s="6"/>
      <c r="UU391" s="6"/>
      <c r="UV391" s="6"/>
      <c r="UW391" s="6"/>
      <c r="UX391" s="6"/>
      <c r="UY391" s="6"/>
      <c r="UZ391" s="6"/>
      <c r="VA391" s="6"/>
      <c r="VB391" s="6"/>
      <c r="VC391" s="6"/>
      <c r="VD391" s="6"/>
      <c r="VE391" s="6"/>
      <c r="VF391" s="6"/>
      <c r="VG391" s="6"/>
      <c r="VH391" s="6"/>
      <c r="VI391" s="6"/>
      <c r="VJ391" s="6"/>
      <c r="VK391" s="6"/>
      <c r="VL391" s="6"/>
      <c r="VM391" s="6"/>
      <c r="VN391" s="6"/>
      <c r="VO391" s="6"/>
      <c r="VP391" s="6"/>
      <c r="VQ391" s="6"/>
      <c r="VR391" s="6"/>
      <c r="VS391" s="6"/>
      <c r="VT391" s="6"/>
      <c r="VU391" s="6"/>
      <c r="VV391" s="6"/>
      <c r="VW391" s="6"/>
      <c r="VX391" s="6"/>
      <c r="VY391" s="6"/>
      <c r="VZ391" s="6"/>
      <c r="WA391" s="6"/>
      <c r="WB391" s="6"/>
      <c r="WC391" s="6"/>
      <c r="WD391" s="6"/>
      <c r="WE391" s="6"/>
      <c r="WF391" s="6"/>
      <c r="WG391" s="6"/>
      <c r="WH391" s="6"/>
      <c r="WI391" s="6"/>
      <c r="WJ391" s="6"/>
      <c r="WK391" s="6"/>
      <c r="WL391" s="6"/>
      <c r="WM391" s="6"/>
      <c r="WN391" s="6"/>
      <c r="WO391" s="6"/>
      <c r="WP391" s="6"/>
      <c r="WQ391" s="6"/>
      <c r="WR391" s="6"/>
      <c r="WS391" s="6"/>
      <c r="WT391" s="6"/>
      <c r="WU391" s="6"/>
      <c r="WV391" s="6"/>
      <c r="WW391" s="6"/>
      <c r="WX391" s="6"/>
      <c r="WY391" s="6"/>
      <c r="WZ391" s="6"/>
      <c r="XA391" s="6"/>
      <c r="XB391" s="6"/>
      <c r="XC391" s="6"/>
      <c r="XD391" s="6"/>
      <c r="XE391" s="6"/>
      <c r="XF391" s="6"/>
      <c r="XG391" s="6"/>
      <c r="XH391" s="6"/>
      <c r="XI391" s="6"/>
      <c r="XJ391" s="6"/>
      <c r="XK391" s="6"/>
      <c r="XL391" s="6"/>
      <c r="XM391" s="6"/>
      <c r="XN391" s="6"/>
      <c r="XO391" s="6"/>
      <c r="XP391" s="6"/>
      <c r="XQ391" s="6"/>
      <c r="XR391" s="6"/>
      <c r="XS391" s="6"/>
      <c r="XT391" s="6"/>
      <c r="XU391" s="6"/>
      <c r="XV391" s="6"/>
      <c r="XW391" s="6"/>
      <c r="XX391" s="6"/>
      <c r="XY391" s="6"/>
      <c r="XZ391" s="6"/>
      <c r="YA391" s="6"/>
      <c r="YB391" s="6"/>
      <c r="YC391" s="6"/>
      <c r="YD391" s="6"/>
      <c r="YE391" s="6"/>
      <c r="YF391" s="6"/>
      <c r="YG391" s="6"/>
      <c r="YH391" s="6"/>
      <c r="YI391" s="6"/>
      <c r="YJ391" s="6"/>
      <c r="YK391" s="6"/>
      <c r="YL391" s="6"/>
      <c r="YM391" s="6"/>
      <c r="YN391" s="6"/>
      <c r="YO391" s="6"/>
      <c r="YP391" s="6"/>
      <c r="YQ391" s="6"/>
      <c r="YR391" s="6"/>
      <c r="YS391" s="6"/>
      <c r="YT391" s="6"/>
      <c r="YU391" s="6"/>
      <c r="YV391" s="6"/>
      <c r="YW391" s="6"/>
      <c r="YX391" s="6"/>
      <c r="YY391" s="6"/>
      <c r="YZ391" s="6"/>
      <c r="ZA391" s="6"/>
      <c r="ZB391" s="6"/>
      <c r="ZC391" s="6"/>
      <c r="ZD391" s="6"/>
      <c r="ZE391" s="6"/>
      <c r="ZF391" s="6"/>
      <c r="ZG391" s="6"/>
      <c r="ZH391" s="6"/>
      <c r="ZI391" s="6"/>
      <c r="ZJ391" s="6"/>
      <c r="ZK391" s="6"/>
      <c r="ZL391" s="6"/>
      <c r="ZM391" s="6"/>
      <c r="ZN391" s="6"/>
      <c r="ZO391" s="6"/>
      <c r="ZP391" s="6"/>
      <c r="ZQ391" s="6"/>
      <c r="ZR391" s="6"/>
      <c r="ZS391" s="6"/>
      <c r="ZT391" s="6"/>
      <c r="ZU391" s="6"/>
      <c r="ZV391" s="6"/>
      <c r="ZW391" s="6"/>
      <c r="ZX391" s="6"/>
      <c r="ZY391" s="6"/>
      <c r="ZZ391" s="6"/>
      <c r="AAA391" s="6"/>
      <c r="AAB391" s="6"/>
      <c r="AAC391" s="6"/>
      <c r="AAD391" s="6"/>
      <c r="AAE391" s="6"/>
      <c r="AAF391" s="6"/>
      <c r="AAG391" s="6"/>
      <c r="AAH391" s="6"/>
      <c r="AAI391" s="6"/>
      <c r="AAJ391" s="6"/>
      <c r="AAK391" s="6"/>
      <c r="AAL391" s="6"/>
      <c r="AAM391" s="6"/>
      <c r="AAN391" s="6"/>
      <c r="AAO391" s="6"/>
      <c r="AAP391" s="6"/>
      <c r="AAQ391" s="6"/>
      <c r="AAR391" s="6"/>
      <c r="AAS391" s="6"/>
      <c r="AAT391" s="6"/>
      <c r="AAU391" s="6"/>
      <c r="AAV391" s="6"/>
      <c r="AAW391" s="6"/>
      <c r="AAX391" s="6"/>
      <c r="AAY391" s="6"/>
      <c r="AAZ391" s="6"/>
      <c r="ABA391" s="6"/>
      <c r="ABB391" s="6"/>
      <c r="ABC391" s="6"/>
      <c r="ABD391" s="6"/>
      <c r="ABE391" s="6"/>
      <c r="ABF391" s="6"/>
      <c r="ABG391" s="6"/>
      <c r="ABH391" s="6"/>
      <c r="ABI391" s="6"/>
      <c r="ABJ391" s="6"/>
      <c r="ABK391" s="6"/>
      <c r="ABL391" s="6"/>
      <c r="ABM391" s="6"/>
      <c r="ABN391" s="6"/>
      <c r="ABO391" s="6"/>
      <c r="ABP391" s="6"/>
      <c r="ABQ391" s="6"/>
      <c r="ABR391" s="6"/>
      <c r="ABS391" s="6"/>
      <c r="ABT391" s="6"/>
      <c r="ABU391" s="6"/>
      <c r="ABV391" s="6"/>
      <c r="ABW391" s="6"/>
      <c r="ABX391" s="6"/>
      <c r="ABY391" s="6"/>
      <c r="ABZ391" s="6"/>
      <c r="ACA391" s="6"/>
      <c r="ACB391" s="6"/>
      <c r="ACC391" s="6"/>
      <c r="ACD391" s="6"/>
      <c r="ACE391" s="6"/>
      <c r="ACF391" s="6"/>
      <c r="ACG391" s="6"/>
      <c r="ACH391" s="6"/>
      <c r="ACI391" s="6"/>
      <c r="ACJ391" s="6"/>
      <c r="ACK391" s="6"/>
      <c r="ACL391" s="6"/>
      <c r="ACM391" s="6"/>
      <c r="ACN391" s="6"/>
      <c r="ACO391" s="6"/>
      <c r="ACP391" s="6"/>
      <c r="ACQ391" s="6"/>
      <c r="ACR391" s="6"/>
      <c r="ACS391" s="6"/>
      <c r="ACT391" s="6"/>
      <c r="ACU391" s="6"/>
      <c r="ACV391" s="6"/>
      <c r="ACW391" s="6"/>
      <c r="ACX391" s="6"/>
      <c r="ACY391" s="6"/>
      <c r="ACZ391" s="6"/>
      <c r="ADA391" s="6"/>
      <c r="ADB391" s="6"/>
      <c r="ADC391" s="6"/>
      <c r="ADD391" s="6"/>
      <c r="ADE391" s="6"/>
      <c r="ADF391" s="6"/>
      <c r="ADG391" s="6"/>
      <c r="ADH391" s="6"/>
      <c r="ADI391" s="6"/>
      <c r="ADJ391" s="6"/>
      <c r="ADK391" s="6"/>
      <c r="ADL391" s="6"/>
      <c r="ADM391" s="6"/>
      <c r="ADN391" s="6"/>
      <c r="ADO391" s="6"/>
      <c r="ADP391" s="6"/>
      <c r="ADQ391" s="6"/>
      <c r="ADR391" s="6"/>
      <c r="ADS391" s="6"/>
      <c r="ADT391" s="6"/>
      <c r="ADU391" s="6"/>
      <c r="ADV391" s="6"/>
      <c r="ADW391" s="6"/>
      <c r="ADX391" s="6"/>
      <c r="ADY391" s="6"/>
      <c r="ADZ391" s="6"/>
      <c r="AEA391" s="6"/>
      <c r="AEB391" s="6"/>
      <c r="AEC391" s="6"/>
      <c r="AED391" s="6"/>
      <c r="AEE391" s="6"/>
      <c r="AEF391" s="6"/>
      <c r="AEG391" s="6"/>
      <c r="AEH391" s="6"/>
      <c r="AEI391" s="6"/>
      <c r="AEJ391" s="6"/>
      <c r="AEK391" s="6"/>
      <c r="AEL391" s="6"/>
      <c r="AEM391" s="6"/>
      <c r="AEN391" s="6"/>
      <c r="AEO391" s="6"/>
      <c r="AEP391" s="6"/>
      <c r="AEQ391" s="6"/>
      <c r="AER391" s="6"/>
      <c r="AES391" s="6"/>
      <c r="AET391" s="6"/>
      <c r="AEU391" s="6"/>
      <c r="AEV391" s="6"/>
      <c r="AEW391" s="6"/>
      <c r="AEX391" s="6"/>
      <c r="AEY391" s="6"/>
      <c r="AEZ391" s="6"/>
      <c r="AFA391" s="6"/>
      <c r="AFB391" s="6"/>
      <c r="AFC391" s="6"/>
      <c r="AFD391" s="6"/>
      <c r="AFE391" s="6"/>
      <c r="AFF391" s="6"/>
      <c r="AFG391" s="6"/>
      <c r="AFH391" s="6"/>
      <c r="AFI391" s="6"/>
      <c r="AFJ391" s="6"/>
      <c r="AFK391" s="6"/>
      <c r="AFL391" s="6"/>
      <c r="AFM391" s="6"/>
      <c r="AFN391" s="6"/>
      <c r="AFO391" s="6"/>
      <c r="AFP391" s="6"/>
      <c r="AFQ391" s="6"/>
      <c r="AFR391" s="6"/>
      <c r="AFS391" s="6"/>
      <c r="AFT391" s="6"/>
      <c r="AFU391" s="6"/>
      <c r="AFV391" s="6"/>
      <c r="AFW391" s="6"/>
      <c r="AFX391" s="6"/>
      <c r="AFY391" s="6"/>
      <c r="AFZ391" s="6"/>
      <c r="AGA391" s="6"/>
      <c r="AGB391" s="6"/>
      <c r="AGC391" s="6"/>
      <c r="AGD391" s="6"/>
      <c r="AGE391" s="6"/>
      <c r="AGF391" s="6"/>
      <c r="AGG391" s="6"/>
      <c r="AGH391" s="6"/>
      <c r="AGI391" s="6"/>
      <c r="AGJ391" s="6"/>
      <c r="AGK391" s="6"/>
      <c r="AGL391" s="6"/>
      <c r="AGM391" s="6"/>
      <c r="AGN391" s="6"/>
      <c r="AGO391" s="6"/>
      <c r="AGP391" s="6"/>
      <c r="AGQ391" s="6"/>
      <c r="AGR391" s="6"/>
      <c r="AGS391" s="6"/>
      <c r="AGT391" s="6"/>
      <c r="AGU391" s="6"/>
      <c r="AGV391" s="6"/>
      <c r="AGW391" s="6"/>
      <c r="AGX391" s="6"/>
      <c r="AGY391" s="6"/>
      <c r="AGZ391" s="6"/>
      <c r="AHA391" s="6"/>
      <c r="AHB391" s="6"/>
      <c r="AHC391" s="6"/>
      <c r="AHD391" s="6"/>
      <c r="AHE391" s="6"/>
      <c r="AHF391" s="6"/>
      <c r="AHG391" s="6"/>
      <c r="AHH391" s="6"/>
      <c r="AHI391" s="6"/>
      <c r="AHJ391" s="6"/>
      <c r="AHK391" s="6"/>
      <c r="AHL391" s="6"/>
      <c r="AHM391" s="6"/>
      <c r="AHN391" s="6"/>
      <c r="AHO391" s="6"/>
      <c r="AHP391" s="6"/>
      <c r="AHQ391" s="6"/>
      <c r="AHR391" s="6"/>
      <c r="AHS391" s="6"/>
      <c r="AHT391" s="6"/>
      <c r="AHU391" s="6"/>
      <c r="AHV391" s="6"/>
      <c r="AHW391" s="6"/>
      <c r="AHX391" s="6"/>
      <c r="AHY391" s="6"/>
      <c r="AHZ391" s="6"/>
      <c r="AIA391" s="6"/>
      <c r="AIB391" s="6"/>
      <c r="AIC391" s="6"/>
      <c r="AID391" s="6"/>
      <c r="AIE391" s="6"/>
      <c r="AIF391" s="6"/>
      <c r="AIG391" s="6"/>
      <c r="AIH391" s="6"/>
      <c r="AII391" s="6"/>
      <c r="AIJ391" s="6"/>
      <c r="AIK391" s="6"/>
      <c r="AIL391" s="6"/>
      <c r="AIM391" s="6"/>
      <c r="AIN391" s="6"/>
      <c r="AIO391" s="6"/>
      <c r="AIP391" s="6"/>
      <c r="AIQ391" s="6"/>
      <c r="AIR391" s="6"/>
      <c r="AIS391" s="6"/>
      <c r="AIT391" s="6"/>
      <c r="AIU391" s="6"/>
      <c r="AIV391" s="6"/>
      <c r="AIW391" s="6"/>
      <c r="AIX391" s="6"/>
      <c r="AIY391" s="6"/>
      <c r="AIZ391" s="6"/>
      <c r="AJA391" s="6"/>
      <c r="AJB391" s="6"/>
      <c r="AJC391" s="6"/>
      <c r="AJD391" s="6"/>
      <c r="AJE391" s="6"/>
      <c r="AJF391" s="6"/>
      <c r="AJG391" s="6"/>
      <c r="AJH391" s="6"/>
      <c r="AJI391" s="6"/>
      <c r="AJJ391" s="6"/>
      <c r="AJK391" s="6"/>
      <c r="AJL391" s="6"/>
      <c r="AJM391" s="6"/>
      <c r="AJN391" s="6"/>
      <c r="AJO391" s="6"/>
      <c r="AJP391" s="6"/>
      <c r="AJQ391" s="6"/>
      <c r="AJR391" s="6"/>
      <c r="AJS391" s="6"/>
      <c r="AJT391" s="6"/>
      <c r="AJU391" s="6"/>
      <c r="AJV391" s="6"/>
      <c r="AJW391" s="6"/>
      <c r="AJX391" s="6"/>
      <c r="AJY391" s="6"/>
      <c r="AJZ391" s="6"/>
      <c r="AKA391" s="6"/>
      <c r="AKB391" s="6"/>
      <c r="AKC391" s="6"/>
      <c r="AKD391" s="6"/>
      <c r="AKE391" s="6"/>
      <c r="AKF391" s="6"/>
      <c r="AKG391" s="6"/>
      <c r="AKH391" s="6"/>
      <c r="AKI391" s="6"/>
      <c r="AKJ391" s="6"/>
      <c r="AKK391" s="6"/>
      <c r="AKL391" s="6"/>
      <c r="AKM391" s="6"/>
      <c r="AKN391" s="6"/>
      <c r="AKO391" s="6"/>
      <c r="AKP391" s="6"/>
      <c r="AKQ391" s="6"/>
      <c r="AKR391" s="6"/>
      <c r="AKS391" s="6"/>
      <c r="AKT391" s="6"/>
      <c r="AKU391" s="6"/>
      <c r="AKV391" s="6"/>
      <c r="AKW391" s="6"/>
      <c r="AKX391" s="6"/>
      <c r="AKY391" s="6"/>
      <c r="AKZ391" s="6"/>
      <c r="ALA391" s="6"/>
      <c r="ALB391" s="6"/>
      <c r="ALC391" s="6"/>
      <c r="ALD391" s="6"/>
      <c r="ALE391" s="6"/>
      <c r="ALF391" s="6"/>
      <c r="ALG391" s="6"/>
      <c r="ALH391" s="6"/>
      <c r="ALI391" s="6"/>
      <c r="ALJ391" s="6"/>
      <c r="ALK391" s="6"/>
      <c r="ALL391" s="6"/>
      <c r="ALM391" s="6"/>
      <c r="ALN391" s="6"/>
      <c r="ALO391" s="6"/>
      <c r="ALP391" s="6"/>
      <c r="ALQ391" s="6"/>
      <c r="ALR391" s="6"/>
      <c r="ALS391" s="6"/>
      <c r="ALT391" s="6"/>
      <c r="ALU391" s="6"/>
      <c r="ALV391" s="6"/>
      <c r="ALW391" s="6"/>
      <c r="ALX391" s="6"/>
      <c r="ALY391" s="6"/>
      <c r="ALZ391" s="6"/>
      <c r="AMA391" s="6"/>
      <c r="AMB391" s="6"/>
      <c r="AMC391" s="6"/>
      <c r="AMD391" s="6"/>
      <c r="AME391" s="6"/>
      <c r="AMF391" s="6"/>
      <c r="AMG391" s="6"/>
      <c r="AMH391" s="6"/>
      <c r="AMI391" s="6"/>
      <c r="AMJ391" s="6"/>
      <c r="AMK391" s="6"/>
      <c r="AML391" s="6"/>
      <c r="AMM391" s="6"/>
      <c r="AMN391" s="6"/>
      <c r="AMO391" s="6"/>
      <c r="AMP391" s="6"/>
    </row>
    <row r="392" spans="1:1030" x14ac:dyDescent="0.2">
      <c r="A392" s="9" t="str">
        <f t="shared" si="3327"/>
        <v>ta2r_human_6IIU</v>
      </c>
      <c r="B392" s="40" t="s">
        <v>473</v>
      </c>
      <c r="C392" s="9" t="s">
        <v>1548</v>
      </c>
      <c r="D392" s="9" t="str">
        <f>IFERROR(MID(VLOOKUP($B392,Seqs!$A:$B,2,0),E392,1),"")</f>
        <v>S</v>
      </c>
      <c r="E392" s="9">
        <v>27</v>
      </c>
      <c r="F392" s="9" t="str">
        <f>IFERROR(MID(VLOOKUP($B392,Seqs!$A:$B,2,0),G392,1),"")</f>
        <v>A</v>
      </c>
      <c r="G392" s="9">
        <v>52</v>
      </c>
      <c r="H392" s="9" t="str">
        <f>IFERROR(MID(VLOOKUP($B392,Seqs!$A:$B,2,0),I392,1),"")</f>
        <v/>
      </c>
      <c r="I392" s="109" t="s">
        <v>23</v>
      </c>
      <c r="J392" s="9" t="str">
        <f>IFERROR(MID(VLOOKUP($B392,Seqs!$A:$B,2,0),K392,1),"")</f>
        <v/>
      </c>
      <c r="K392" s="109" t="s">
        <v>23</v>
      </c>
      <c r="L392" s="9" t="str">
        <f>IFERROR(MID(VLOOKUP($B392,Seqs!$A:$B,2,0),M392,1),"")</f>
        <v>S</v>
      </c>
      <c r="M392" s="9">
        <v>61</v>
      </c>
      <c r="N392" s="9" t="str">
        <f>IFERROR(MID(VLOOKUP($B392,Seqs!$A:$B,2,0),O392,1),"")</f>
        <v>A</v>
      </c>
      <c r="O392" s="9">
        <v>91</v>
      </c>
      <c r="P392" s="9" t="str">
        <f>IFERROR(MID(VLOOKUP($B392,Seqs!$A:$B,2,0),Q392,1),"")</f>
        <v>E</v>
      </c>
      <c r="Q392" s="9">
        <v>94</v>
      </c>
      <c r="R392" s="9" t="str">
        <f>IFERROR(MID(VLOOKUP($B392,Seqs!$A:$B,2,0),S392,1),"")</f>
        <v>V</v>
      </c>
      <c r="S392" s="9">
        <v>98</v>
      </c>
      <c r="T392" s="9" t="str">
        <f>IFERROR(MID(VLOOKUP($B392,Seqs!$A:$B,2,0),U392,1),"")</f>
        <v>C</v>
      </c>
      <c r="U392" s="9">
        <v>102</v>
      </c>
      <c r="V392" s="9" t="str">
        <f>IFERROR(MID(VLOOKUP($B392,Seqs!$A:$B,2,0),W392,1),"")</f>
        <v>R</v>
      </c>
      <c r="W392" s="9">
        <v>136</v>
      </c>
      <c r="X392" s="9" t="str">
        <f>IFERROR(MID(VLOOKUP($B392,Seqs!$A:$B,2,0),Y392,1),"")</f>
        <v/>
      </c>
      <c r="Y392" s="9" t="s">
        <v>23</v>
      </c>
      <c r="Z392" s="9" t="str">
        <f>IFERROR(MID(VLOOKUP($B392,Seqs!$A:$B,2,0),AA392,1),"")</f>
        <v/>
      </c>
      <c r="AA392" s="9" t="s">
        <v>23</v>
      </c>
      <c r="AB392" s="9" t="str">
        <f>IFERROR(MID(VLOOKUP($B392,Seqs!$A:$B,2,0),AC392,1),"")</f>
        <v>A</v>
      </c>
      <c r="AC392" s="9">
        <v>142</v>
      </c>
      <c r="AD392" s="9" t="str">
        <f>IFERROR(MID(VLOOKUP($B392,Seqs!$A:$B,2,0),AE392,1),"")</f>
        <v>L</v>
      </c>
      <c r="AE392" s="9">
        <v>169</v>
      </c>
      <c r="AF392" s="9" t="str">
        <f>IFERROR(MID(VLOOKUP($B392,Seqs!$A:$B,2,0),AG392,1),"")</f>
        <v>C</v>
      </c>
      <c r="AG392" s="9">
        <v>183</v>
      </c>
      <c r="AH392" s="9" t="str">
        <f>IFERROR(MID(VLOOKUP($B392,Seqs!$A:$B,2,0),AI392,1),"")</f>
        <v>L</v>
      </c>
      <c r="AI392" s="9">
        <v>185</v>
      </c>
      <c r="AJ392" s="9" t="str">
        <f>IFERROR(MID(VLOOKUP($B392,Seqs!$A:$B,2,0),AK392,1),"")</f>
        <v>E</v>
      </c>
      <c r="AK392" s="9">
        <v>190</v>
      </c>
      <c r="AL392" s="9" t="str">
        <f>IFERROR(MID(VLOOKUP($B392,Seqs!$A:$B,2,0),AM392,1),"")</f>
        <v>Y</v>
      </c>
      <c r="AM392" s="9">
        <v>226</v>
      </c>
      <c r="AN392" s="9" t="str">
        <f>IFERROR(MID(VLOOKUP($B392,Seqs!$A:$B,2,0),AO392,1),"")</f>
        <v>R</v>
      </c>
      <c r="AO392" s="9">
        <v>237</v>
      </c>
      <c r="AP392" s="9" t="str">
        <f>IFERROR(MID(VLOOKUP($B392,Seqs!$A:$B,2,0),AQ392,1),"")</f>
        <v>R</v>
      </c>
      <c r="AQ392" s="9">
        <v>271</v>
      </c>
      <c r="AR392" s="9" t="str">
        <f>IFERROR(MID(VLOOKUP($B392,Seqs!$A:$B,2,0),AS392,1),"")</f>
        <v>S</v>
      </c>
      <c r="AS392" s="9">
        <v>283</v>
      </c>
      <c r="AT392" s="9" t="str">
        <f>IFERROR(MID(VLOOKUP($B392,Seqs!$A:$B,2,0),AU392,1),"")</f>
        <v>F</v>
      </c>
      <c r="AU392" s="9">
        <v>311</v>
      </c>
      <c r="AV392" s="9" t="str">
        <f>IFERROR(MID(VLOOKUP($B392,Seqs!$A:$B,2,0),AW392,1),"")</f>
        <v>R</v>
      </c>
      <c r="AW392" s="9">
        <v>312</v>
      </c>
      <c r="AX392" s="9" t="str">
        <f>IFERROR(MID(VLOOKUP($B392,Seqs!$A:$B,2,0),AY392,1),"")</f>
        <v>Q</v>
      </c>
      <c r="AY392" s="9">
        <v>320</v>
      </c>
      <c r="AZ392" s="110" t="str">
        <f>VLOOKUP(B392,Classification!A:D,2,0)</f>
        <v>A</v>
      </c>
      <c r="BA392" s="98" t="str">
        <f>VLOOKUP(B392,Classification!A:D,4,0)</f>
        <v>Prostanoid</v>
      </c>
      <c r="BB392" s="36" t="b">
        <f t="shared" si="3328"/>
        <v>1</v>
      </c>
      <c r="BC392" s="109">
        <f t="shared" si="3329"/>
        <v>240</v>
      </c>
      <c r="BD392" s="11" t="s">
        <v>23</v>
      </c>
      <c r="BE392" s="9" t="s">
        <v>1374</v>
      </c>
      <c r="BF392" s="119">
        <v>2.5</v>
      </c>
      <c r="BG392" s="51" t="s">
        <v>1</v>
      </c>
      <c r="BH392" s="51" t="s">
        <v>1</v>
      </c>
      <c r="BI392" s="12"/>
      <c r="BJ392" s="111" t="s">
        <v>1287</v>
      </c>
      <c r="BK392" s="112" t="s">
        <v>1287</v>
      </c>
      <c r="BL392" s="112" t="s">
        <v>1287</v>
      </c>
      <c r="BM392" s="112" t="s">
        <v>1287</v>
      </c>
      <c r="BN392" s="112" t="s">
        <v>1287</v>
      </c>
      <c r="BO392" s="112" t="s">
        <v>1287</v>
      </c>
      <c r="BP392" s="112" t="s">
        <v>1287</v>
      </c>
      <c r="BQ392" s="112" t="s">
        <v>1287</v>
      </c>
      <c r="BR392" s="112" t="s">
        <v>1287</v>
      </c>
      <c r="BS392" s="112" t="s">
        <v>1287</v>
      </c>
      <c r="BT392" s="112" t="s">
        <v>1287</v>
      </c>
      <c r="BU392" s="112" t="s">
        <v>1287</v>
      </c>
      <c r="BV392" s="111">
        <f t="shared" si="3330"/>
        <v>27</v>
      </c>
      <c r="BW392" s="113" t="str">
        <f t="shared" si="3331"/>
        <v>-</v>
      </c>
      <c r="BX392" s="114">
        <f t="shared" si="3332"/>
        <v>61</v>
      </c>
      <c r="BY392" s="113">
        <f t="shared" si="3333"/>
        <v>94</v>
      </c>
      <c r="BZ392" s="114">
        <f t="shared" si="3334"/>
        <v>102</v>
      </c>
      <c r="CA392" s="113" t="str">
        <f t="shared" si="3335"/>
        <v>-</v>
      </c>
      <c r="CB392" s="114">
        <f t="shared" si="3336"/>
        <v>142</v>
      </c>
      <c r="CC392" s="113">
        <f t="shared" si="3337"/>
        <v>183</v>
      </c>
      <c r="CD392" s="114">
        <f t="shared" si="3338"/>
        <v>190</v>
      </c>
      <c r="CE392" s="113">
        <f t="shared" si="3339"/>
        <v>237</v>
      </c>
      <c r="CF392" s="114">
        <f t="shared" si="3340"/>
        <v>283</v>
      </c>
      <c r="CG392" s="113">
        <f t="shared" si="3341"/>
        <v>312</v>
      </c>
      <c r="CH392" s="111">
        <f t="shared" si="3342"/>
        <v>52</v>
      </c>
      <c r="CI392" s="113" t="str">
        <f t="shared" si="3343"/>
        <v>-</v>
      </c>
      <c r="CJ392" s="114">
        <f t="shared" si="3344"/>
        <v>91</v>
      </c>
      <c r="CK392" s="114">
        <f t="shared" si="3345"/>
        <v>98</v>
      </c>
      <c r="CL392" s="114">
        <f t="shared" si="3346"/>
        <v>136</v>
      </c>
      <c r="CM392" s="114" t="str">
        <f t="shared" si="3347"/>
        <v>-</v>
      </c>
      <c r="CN392" s="114">
        <f t="shared" si="3348"/>
        <v>169</v>
      </c>
      <c r="CO392" s="114">
        <f t="shared" si="3349"/>
        <v>185</v>
      </c>
      <c r="CP392" s="114">
        <f t="shared" si="3350"/>
        <v>226</v>
      </c>
      <c r="CQ392" s="114">
        <f t="shared" si="3351"/>
        <v>271</v>
      </c>
      <c r="CR392" s="114">
        <f t="shared" si="3352"/>
        <v>311</v>
      </c>
      <c r="CS392" s="114">
        <f t="shared" si="3353"/>
        <v>320</v>
      </c>
      <c r="CT392" s="109" t="e">
        <f t="shared" si="3354"/>
        <v>#VALUE!</v>
      </c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Q392" s="6"/>
      <c r="KR392" s="6"/>
      <c r="KS392" s="6"/>
      <c r="KT392" s="6"/>
      <c r="KU392" s="6"/>
      <c r="KV392" s="6"/>
      <c r="KW392" s="6"/>
      <c r="KX392" s="6"/>
      <c r="KY392" s="6"/>
      <c r="KZ392" s="6"/>
      <c r="LA392" s="6"/>
      <c r="LB392" s="6"/>
      <c r="LC392" s="6"/>
      <c r="LD392" s="6"/>
      <c r="LE392" s="6"/>
      <c r="LF392" s="6"/>
      <c r="LG392" s="6"/>
      <c r="LH392" s="6"/>
      <c r="LI392" s="6"/>
      <c r="LJ392" s="6"/>
      <c r="LK392" s="6"/>
      <c r="LL392" s="6"/>
      <c r="LM392" s="6"/>
      <c r="LN392" s="6"/>
      <c r="LO392" s="6"/>
      <c r="LP392" s="6"/>
      <c r="LQ392" s="6"/>
      <c r="LR392" s="6"/>
      <c r="LS392" s="6"/>
      <c r="LT392" s="6"/>
      <c r="LU392" s="6"/>
      <c r="LV392" s="6"/>
      <c r="LW392" s="6"/>
      <c r="LX392" s="6"/>
      <c r="LY392" s="6"/>
      <c r="LZ392" s="6"/>
      <c r="MA392" s="6"/>
      <c r="MB392" s="6"/>
      <c r="MC392" s="6"/>
      <c r="MD392" s="6"/>
      <c r="ME392" s="6"/>
      <c r="MF392" s="6"/>
      <c r="MG392" s="6"/>
      <c r="MH392" s="6"/>
      <c r="MI392" s="6"/>
      <c r="MJ392" s="6"/>
      <c r="MK392" s="6"/>
      <c r="ML392" s="6"/>
      <c r="MM392" s="6"/>
      <c r="MN392" s="6"/>
      <c r="MO392" s="6"/>
      <c r="MP392" s="6"/>
      <c r="MQ392" s="6"/>
      <c r="MR392" s="6"/>
      <c r="MS392" s="6"/>
      <c r="MT392" s="6"/>
      <c r="MU392" s="6"/>
      <c r="MV392" s="6"/>
      <c r="MW392" s="6"/>
      <c r="MX392" s="6"/>
      <c r="MY392" s="6"/>
      <c r="MZ392" s="6"/>
      <c r="NA392" s="6"/>
      <c r="NB392" s="6"/>
      <c r="NC392" s="6"/>
      <c r="ND392" s="6"/>
      <c r="NE392" s="6"/>
      <c r="NF392" s="6"/>
      <c r="NG392" s="6"/>
      <c r="NH392" s="6"/>
      <c r="NI392" s="6"/>
      <c r="NJ392" s="6"/>
      <c r="NK392" s="6"/>
      <c r="NL392" s="6"/>
      <c r="NM392" s="6"/>
      <c r="NN392" s="6"/>
      <c r="NO392" s="6"/>
      <c r="NP392" s="6"/>
      <c r="NQ392" s="6"/>
      <c r="NR392" s="6"/>
      <c r="NS392" s="6"/>
      <c r="NT392" s="6"/>
      <c r="NU392" s="6"/>
      <c r="NV392" s="6"/>
      <c r="NW392" s="6"/>
      <c r="NX392" s="6"/>
      <c r="NY392" s="6"/>
      <c r="NZ392" s="6"/>
      <c r="OA392" s="6"/>
      <c r="OB392" s="6"/>
      <c r="OC392" s="6"/>
      <c r="OD392" s="6"/>
      <c r="OE392" s="6"/>
      <c r="OF392" s="6"/>
      <c r="OG392" s="6"/>
      <c r="OH392" s="6"/>
      <c r="OI392" s="6"/>
      <c r="OJ392" s="6"/>
      <c r="OK392" s="6"/>
      <c r="OL392" s="6"/>
      <c r="OM392" s="6"/>
      <c r="ON392" s="6"/>
      <c r="OO392" s="6"/>
      <c r="OP392" s="6"/>
      <c r="OQ392" s="6"/>
      <c r="OR392" s="6"/>
      <c r="OS392" s="6"/>
      <c r="OT392" s="6"/>
      <c r="OU392" s="6"/>
      <c r="OV392" s="6"/>
      <c r="OW392" s="6"/>
      <c r="OX392" s="6"/>
      <c r="OY392" s="6"/>
      <c r="OZ392" s="6"/>
      <c r="PA392" s="6"/>
      <c r="PB392" s="6"/>
      <c r="PC392" s="6"/>
      <c r="PD392" s="6"/>
      <c r="PE392" s="6"/>
      <c r="PF392" s="6"/>
      <c r="PG392" s="6"/>
      <c r="PH392" s="6"/>
      <c r="PI392" s="6"/>
      <c r="PJ392" s="6"/>
      <c r="PK392" s="6"/>
      <c r="PL392" s="6"/>
      <c r="PM392" s="6"/>
      <c r="PN392" s="6"/>
      <c r="PO392" s="6"/>
      <c r="PP392" s="6"/>
      <c r="PQ392" s="6"/>
      <c r="PR392" s="6"/>
      <c r="PS392" s="6"/>
      <c r="PT392" s="6"/>
      <c r="PU392" s="6"/>
      <c r="PV392" s="6"/>
      <c r="PW392" s="6"/>
      <c r="PX392" s="6"/>
      <c r="PY392" s="6"/>
      <c r="PZ392" s="6"/>
      <c r="QA392" s="6"/>
      <c r="QB392" s="6"/>
      <c r="QC392" s="6"/>
      <c r="QD392" s="6"/>
      <c r="QE392" s="6"/>
      <c r="QF392" s="6"/>
      <c r="QG392" s="6"/>
      <c r="QH392" s="6"/>
      <c r="QI392" s="6"/>
      <c r="QJ392" s="6"/>
      <c r="QK392" s="6"/>
      <c r="QL392" s="6"/>
      <c r="QM392" s="6"/>
      <c r="QN392" s="6"/>
      <c r="QO392" s="6"/>
      <c r="QP392" s="6"/>
      <c r="QQ392" s="6"/>
      <c r="QR392" s="6"/>
      <c r="QS392" s="6"/>
      <c r="QT392" s="6"/>
      <c r="QU392" s="6"/>
      <c r="QV392" s="6"/>
      <c r="QW392" s="6"/>
      <c r="QX392" s="6"/>
      <c r="QY392" s="6"/>
      <c r="QZ392" s="6"/>
      <c r="RA392" s="6"/>
      <c r="RB392" s="6"/>
      <c r="RC392" s="6"/>
      <c r="RD392" s="6"/>
      <c r="RE392" s="6"/>
      <c r="RF392" s="6"/>
      <c r="RG392" s="6"/>
      <c r="RH392" s="6"/>
      <c r="RI392" s="6"/>
      <c r="RJ392" s="6"/>
      <c r="RK392" s="6"/>
      <c r="RL392" s="6"/>
      <c r="RM392" s="6"/>
      <c r="RN392" s="6"/>
      <c r="RO392" s="6"/>
      <c r="RP392" s="6"/>
      <c r="RQ392" s="6"/>
      <c r="RR392" s="6"/>
      <c r="RS392" s="6"/>
      <c r="RT392" s="6"/>
      <c r="RU392" s="6"/>
      <c r="RV392" s="6"/>
      <c r="RW392" s="6"/>
      <c r="RX392" s="6"/>
      <c r="RY392" s="6"/>
      <c r="RZ392" s="6"/>
      <c r="SA392" s="6"/>
      <c r="SB392" s="6"/>
      <c r="SC392" s="6"/>
      <c r="SD392" s="6"/>
      <c r="SE392" s="6"/>
      <c r="SF392" s="6"/>
      <c r="SG392" s="6"/>
      <c r="SH392" s="6"/>
      <c r="SI392" s="6"/>
      <c r="SJ392" s="6"/>
      <c r="SK392" s="6"/>
      <c r="SL392" s="6"/>
      <c r="SM392" s="6"/>
      <c r="SN392" s="6"/>
      <c r="SO392" s="6"/>
      <c r="SP392" s="6"/>
      <c r="SQ392" s="6"/>
      <c r="SR392" s="6"/>
      <c r="SS392" s="6"/>
      <c r="ST392" s="6"/>
      <c r="SU392" s="6"/>
      <c r="SV392" s="6"/>
      <c r="SW392" s="6"/>
      <c r="SX392" s="6"/>
      <c r="SY392" s="6"/>
      <c r="SZ392" s="6"/>
      <c r="TA392" s="6"/>
      <c r="TB392" s="6"/>
      <c r="TC392" s="6"/>
      <c r="TD392" s="6"/>
      <c r="TE392" s="6"/>
      <c r="TF392" s="6"/>
      <c r="TG392" s="6"/>
      <c r="TH392" s="6"/>
      <c r="TI392" s="6"/>
      <c r="TJ392" s="6"/>
      <c r="TK392" s="6"/>
      <c r="TL392" s="6"/>
      <c r="TM392" s="6"/>
      <c r="TN392" s="6"/>
      <c r="TO392" s="6"/>
      <c r="TP392" s="6"/>
      <c r="TQ392" s="6"/>
      <c r="TR392" s="6"/>
      <c r="TS392" s="6"/>
      <c r="TT392" s="6"/>
      <c r="TU392" s="6"/>
      <c r="TV392" s="6"/>
      <c r="TW392" s="6"/>
      <c r="TX392" s="6"/>
      <c r="TY392" s="6"/>
      <c r="TZ392" s="6"/>
      <c r="UA392" s="6"/>
      <c r="UB392" s="6"/>
      <c r="UC392" s="6"/>
      <c r="UD392" s="6"/>
      <c r="UE392" s="6"/>
      <c r="UF392" s="6"/>
      <c r="UG392" s="6"/>
      <c r="UH392" s="6"/>
      <c r="UI392" s="6"/>
      <c r="UJ392" s="6"/>
      <c r="UK392" s="6"/>
      <c r="UL392" s="6"/>
      <c r="UM392" s="6"/>
      <c r="UN392" s="6"/>
      <c r="UO392" s="6"/>
      <c r="UP392" s="6"/>
      <c r="UQ392" s="6"/>
      <c r="UR392" s="6"/>
      <c r="US392" s="6"/>
      <c r="UT392" s="6"/>
      <c r="UU392" s="6"/>
      <c r="UV392" s="6"/>
      <c r="UW392" s="6"/>
      <c r="UX392" s="6"/>
      <c r="UY392" s="6"/>
      <c r="UZ392" s="6"/>
      <c r="VA392" s="6"/>
      <c r="VB392" s="6"/>
      <c r="VC392" s="6"/>
      <c r="VD392" s="6"/>
      <c r="VE392" s="6"/>
      <c r="VF392" s="6"/>
      <c r="VG392" s="6"/>
      <c r="VH392" s="6"/>
      <c r="VI392" s="6"/>
      <c r="VJ392" s="6"/>
      <c r="VK392" s="6"/>
      <c r="VL392" s="6"/>
      <c r="VM392" s="6"/>
      <c r="VN392" s="6"/>
      <c r="VO392" s="6"/>
      <c r="VP392" s="6"/>
      <c r="VQ392" s="6"/>
      <c r="VR392" s="6"/>
      <c r="VS392" s="6"/>
      <c r="VT392" s="6"/>
      <c r="VU392" s="6"/>
      <c r="VV392" s="6"/>
      <c r="VW392" s="6"/>
      <c r="VX392" s="6"/>
      <c r="VY392" s="6"/>
      <c r="VZ392" s="6"/>
      <c r="WA392" s="6"/>
      <c r="WB392" s="6"/>
      <c r="WC392" s="6"/>
      <c r="WD392" s="6"/>
      <c r="WE392" s="6"/>
      <c r="WF392" s="6"/>
      <c r="WG392" s="6"/>
      <c r="WH392" s="6"/>
      <c r="WI392" s="6"/>
      <c r="WJ392" s="6"/>
      <c r="WK392" s="6"/>
      <c r="WL392" s="6"/>
      <c r="WM392" s="6"/>
      <c r="WN392" s="6"/>
      <c r="WO392" s="6"/>
      <c r="WP392" s="6"/>
      <c r="WQ392" s="6"/>
      <c r="WR392" s="6"/>
      <c r="WS392" s="6"/>
      <c r="WT392" s="6"/>
      <c r="WU392" s="6"/>
      <c r="WV392" s="6"/>
      <c r="WW392" s="6"/>
      <c r="WX392" s="6"/>
      <c r="WY392" s="6"/>
      <c r="WZ392" s="6"/>
      <c r="XA392" s="6"/>
      <c r="XB392" s="6"/>
      <c r="XC392" s="6"/>
      <c r="XD392" s="6"/>
      <c r="XE392" s="6"/>
      <c r="XF392" s="6"/>
      <c r="XG392" s="6"/>
      <c r="XH392" s="6"/>
      <c r="XI392" s="6"/>
      <c r="XJ392" s="6"/>
      <c r="XK392" s="6"/>
      <c r="XL392" s="6"/>
      <c r="XM392" s="6"/>
      <c r="XN392" s="6"/>
      <c r="XO392" s="6"/>
      <c r="XP392" s="6"/>
      <c r="XQ392" s="6"/>
      <c r="XR392" s="6"/>
      <c r="XS392" s="6"/>
      <c r="XT392" s="6"/>
      <c r="XU392" s="6"/>
      <c r="XV392" s="6"/>
      <c r="XW392" s="6"/>
      <c r="XX392" s="6"/>
      <c r="XY392" s="6"/>
      <c r="XZ392" s="6"/>
      <c r="YA392" s="6"/>
      <c r="YB392" s="6"/>
      <c r="YC392" s="6"/>
      <c r="YD392" s="6"/>
      <c r="YE392" s="6"/>
      <c r="YF392" s="6"/>
      <c r="YG392" s="6"/>
      <c r="YH392" s="6"/>
      <c r="YI392" s="6"/>
      <c r="YJ392" s="6"/>
      <c r="YK392" s="6"/>
      <c r="YL392" s="6"/>
      <c r="YM392" s="6"/>
      <c r="YN392" s="6"/>
      <c r="YO392" s="6"/>
      <c r="YP392" s="6"/>
      <c r="YQ392" s="6"/>
      <c r="YR392" s="6"/>
      <c r="YS392" s="6"/>
      <c r="YT392" s="6"/>
      <c r="YU392" s="6"/>
      <c r="YV392" s="6"/>
      <c r="YW392" s="6"/>
      <c r="YX392" s="6"/>
      <c r="YY392" s="6"/>
      <c r="YZ392" s="6"/>
      <c r="ZA392" s="6"/>
      <c r="ZB392" s="6"/>
      <c r="ZC392" s="6"/>
      <c r="ZD392" s="6"/>
      <c r="ZE392" s="6"/>
      <c r="ZF392" s="6"/>
      <c r="ZG392" s="6"/>
      <c r="ZH392" s="6"/>
      <c r="ZI392" s="6"/>
      <c r="ZJ392" s="6"/>
      <c r="ZK392" s="6"/>
      <c r="ZL392" s="6"/>
      <c r="ZM392" s="6"/>
      <c r="ZN392" s="6"/>
      <c r="ZO392" s="6"/>
      <c r="ZP392" s="6"/>
      <c r="ZQ392" s="6"/>
      <c r="ZR392" s="6"/>
      <c r="ZS392" s="6"/>
      <c r="ZT392" s="6"/>
      <c r="ZU392" s="6"/>
      <c r="ZV392" s="6"/>
      <c r="ZW392" s="6"/>
      <c r="ZX392" s="6"/>
      <c r="ZY392" s="6"/>
      <c r="ZZ392" s="6"/>
      <c r="AAA392" s="6"/>
      <c r="AAB392" s="6"/>
      <c r="AAC392" s="6"/>
      <c r="AAD392" s="6"/>
      <c r="AAE392" s="6"/>
      <c r="AAF392" s="6"/>
      <c r="AAG392" s="6"/>
      <c r="AAH392" s="6"/>
      <c r="AAI392" s="6"/>
      <c r="AAJ392" s="6"/>
      <c r="AAK392" s="6"/>
      <c r="AAL392" s="6"/>
      <c r="AAM392" s="6"/>
      <c r="AAN392" s="6"/>
      <c r="AAO392" s="6"/>
      <c r="AAP392" s="6"/>
      <c r="AAQ392" s="6"/>
      <c r="AAR392" s="6"/>
      <c r="AAS392" s="6"/>
      <c r="AAT392" s="6"/>
      <c r="AAU392" s="6"/>
      <c r="AAV392" s="6"/>
      <c r="AAW392" s="6"/>
      <c r="AAX392" s="6"/>
      <c r="AAY392" s="6"/>
      <c r="AAZ392" s="6"/>
      <c r="ABA392" s="6"/>
      <c r="ABB392" s="6"/>
      <c r="ABC392" s="6"/>
      <c r="ABD392" s="6"/>
      <c r="ABE392" s="6"/>
      <c r="ABF392" s="6"/>
      <c r="ABG392" s="6"/>
      <c r="ABH392" s="6"/>
      <c r="ABI392" s="6"/>
      <c r="ABJ392" s="6"/>
      <c r="ABK392" s="6"/>
      <c r="ABL392" s="6"/>
      <c r="ABM392" s="6"/>
      <c r="ABN392" s="6"/>
      <c r="ABO392" s="6"/>
      <c r="ABP392" s="6"/>
      <c r="ABQ392" s="6"/>
      <c r="ABR392" s="6"/>
      <c r="ABS392" s="6"/>
      <c r="ABT392" s="6"/>
      <c r="ABU392" s="6"/>
      <c r="ABV392" s="6"/>
      <c r="ABW392" s="6"/>
      <c r="ABX392" s="6"/>
      <c r="ABY392" s="6"/>
      <c r="ABZ392" s="6"/>
      <c r="ACA392" s="6"/>
      <c r="ACB392" s="6"/>
      <c r="ACC392" s="6"/>
      <c r="ACD392" s="6"/>
      <c r="ACE392" s="6"/>
      <c r="ACF392" s="6"/>
      <c r="ACG392" s="6"/>
      <c r="ACH392" s="6"/>
      <c r="ACI392" s="6"/>
      <c r="ACJ392" s="6"/>
      <c r="ACK392" s="6"/>
      <c r="ACL392" s="6"/>
      <c r="ACM392" s="6"/>
      <c r="ACN392" s="6"/>
      <c r="ACO392" s="6"/>
      <c r="ACP392" s="6"/>
      <c r="ACQ392" s="6"/>
      <c r="ACR392" s="6"/>
      <c r="ACS392" s="6"/>
      <c r="ACT392" s="6"/>
      <c r="ACU392" s="6"/>
      <c r="ACV392" s="6"/>
      <c r="ACW392" s="6"/>
      <c r="ACX392" s="6"/>
      <c r="ACY392" s="6"/>
      <c r="ACZ392" s="6"/>
      <c r="ADA392" s="6"/>
      <c r="ADB392" s="6"/>
      <c r="ADC392" s="6"/>
      <c r="ADD392" s="6"/>
      <c r="ADE392" s="6"/>
      <c r="ADF392" s="6"/>
      <c r="ADG392" s="6"/>
      <c r="ADH392" s="6"/>
      <c r="ADI392" s="6"/>
      <c r="ADJ392" s="6"/>
      <c r="ADK392" s="6"/>
      <c r="ADL392" s="6"/>
      <c r="ADM392" s="6"/>
      <c r="ADN392" s="6"/>
      <c r="ADO392" s="6"/>
      <c r="ADP392" s="6"/>
      <c r="ADQ392" s="6"/>
      <c r="ADR392" s="6"/>
      <c r="ADS392" s="6"/>
      <c r="ADT392" s="6"/>
      <c r="ADU392" s="6"/>
      <c r="ADV392" s="6"/>
      <c r="ADW392" s="6"/>
      <c r="ADX392" s="6"/>
      <c r="ADY392" s="6"/>
      <c r="ADZ392" s="6"/>
      <c r="AEA392" s="6"/>
      <c r="AEB392" s="6"/>
      <c r="AEC392" s="6"/>
      <c r="AED392" s="6"/>
      <c r="AEE392" s="6"/>
      <c r="AEF392" s="6"/>
      <c r="AEG392" s="6"/>
      <c r="AEH392" s="6"/>
      <c r="AEI392" s="6"/>
      <c r="AEJ392" s="6"/>
      <c r="AEK392" s="6"/>
      <c r="AEL392" s="6"/>
      <c r="AEM392" s="6"/>
      <c r="AEN392" s="6"/>
      <c r="AEO392" s="6"/>
      <c r="AEP392" s="6"/>
      <c r="AEQ392" s="6"/>
      <c r="AER392" s="6"/>
      <c r="AES392" s="6"/>
      <c r="AET392" s="6"/>
      <c r="AEU392" s="6"/>
      <c r="AEV392" s="6"/>
      <c r="AEW392" s="6"/>
      <c r="AEX392" s="6"/>
      <c r="AEY392" s="6"/>
      <c r="AEZ392" s="6"/>
      <c r="AFA392" s="6"/>
      <c r="AFB392" s="6"/>
      <c r="AFC392" s="6"/>
      <c r="AFD392" s="6"/>
      <c r="AFE392" s="6"/>
      <c r="AFF392" s="6"/>
      <c r="AFG392" s="6"/>
      <c r="AFH392" s="6"/>
      <c r="AFI392" s="6"/>
      <c r="AFJ392" s="6"/>
      <c r="AFK392" s="6"/>
      <c r="AFL392" s="6"/>
      <c r="AFM392" s="6"/>
      <c r="AFN392" s="6"/>
      <c r="AFO392" s="6"/>
      <c r="AFP392" s="6"/>
      <c r="AFQ392" s="6"/>
      <c r="AFR392" s="6"/>
      <c r="AFS392" s="6"/>
      <c r="AFT392" s="6"/>
      <c r="AFU392" s="6"/>
      <c r="AFV392" s="6"/>
      <c r="AFW392" s="6"/>
      <c r="AFX392" s="6"/>
      <c r="AFY392" s="6"/>
      <c r="AFZ392" s="6"/>
      <c r="AGA392" s="6"/>
      <c r="AGB392" s="6"/>
      <c r="AGC392" s="6"/>
      <c r="AGD392" s="6"/>
      <c r="AGE392" s="6"/>
      <c r="AGF392" s="6"/>
      <c r="AGG392" s="6"/>
      <c r="AGH392" s="6"/>
      <c r="AGI392" s="6"/>
      <c r="AGJ392" s="6"/>
      <c r="AGK392" s="6"/>
      <c r="AGL392" s="6"/>
      <c r="AGM392" s="6"/>
      <c r="AGN392" s="6"/>
      <c r="AGO392" s="6"/>
      <c r="AGP392" s="6"/>
      <c r="AGQ392" s="6"/>
      <c r="AGR392" s="6"/>
      <c r="AGS392" s="6"/>
      <c r="AGT392" s="6"/>
      <c r="AGU392" s="6"/>
      <c r="AGV392" s="6"/>
      <c r="AGW392" s="6"/>
      <c r="AGX392" s="6"/>
      <c r="AGY392" s="6"/>
      <c r="AGZ392" s="6"/>
      <c r="AHA392" s="6"/>
      <c r="AHB392" s="6"/>
      <c r="AHC392" s="6"/>
      <c r="AHD392" s="6"/>
      <c r="AHE392" s="6"/>
      <c r="AHF392" s="6"/>
      <c r="AHG392" s="6"/>
      <c r="AHH392" s="6"/>
      <c r="AHI392" s="6"/>
      <c r="AHJ392" s="6"/>
      <c r="AHK392" s="6"/>
      <c r="AHL392" s="6"/>
      <c r="AHM392" s="6"/>
      <c r="AHN392" s="6"/>
      <c r="AHO392" s="6"/>
      <c r="AHP392" s="6"/>
      <c r="AHQ392" s="6"/>
      <c r="AHR392" s="6"/>
      <c r="AHS392" s="6"/>
      <c r="AHT392" s="6"/>
      <c r="AHU392" s="6"/>
      <c r="AHV392" s="6"/>
      <c r="AHW392" s="6"/>
      <c r="AHX392" s="6"/>
      <c r="AHY392" s="6"/>
      <c r="AHZ392" s="6"/>
      <c r="AIA392" s="6"/>
      <c r="AIB392" s="6"/>
      <c r="AIC392" s="6"/>
      <c r="AID392" s="6"/>
      <c r="AIE392" s="6"/>
      <c r="AIF392" s="6"/>
      <c r="AIG392" s="6"/>
      <c r="AIH392" s="6"/>
      <c r="AII392" s="6"/>
      <c r="AIJ392" s="6"/>
      <c r="AIK392" s="6"/>
      <c r="AIL392" s="6"/>
      <c r="AIM392" s="6"/>
      <c r="AIN392" s="6"/>
      <c r="AIO392" s="6"/>
      <c r="AIP392" s="6"/>
      <c r="AIQ392" s="6"/>
      <c r="AIR392" s="6"/>
      <c r="AIS392" s="6"/>
      <c r="AIT392" s="6"/>
      <c r="AIU392" s="6"/>
      <c r="AIV392" s="6"/>
      <c r="AIW392" s="6"/>
      <c r="AIX392" s="6"/>
      <c r="AIY392" s="6"/>
      <c r="AIZ392" s="6"/>
      <c r="AJA392" s="6"/>
      <c r="AJB392" s="6"/>
      <c r="AJC392" s="6"/>
      <c r="AJD392" s="6"/>
      <c r="AJE392" s="6"/>
      <c r="AJF392" s="6"/>
      <c r="AJG392" s="6"/>
      <c r="AJH392" s="6"/>
      <c r="AJI392" s="6"/>
      <c r="AJJ392" s="6"/>
      <c r="AJK392" s="6"/>
      <c r="AJL392" s="6"/>
      <c r="AJM392" s="6"/>
      <c r="AJN392" s="6"/>
      <c r="AJO392" s="6"/>
      <c r="AJP392" s="6"/>
      <c r="AJQ392" s="6"/>
      <c r="AJR392" s="6"/>
      <c r="AJS392" s="6"/>
      <c r="AJT392" s="6"/>
      <c r="AJU392" s="6"/>
      <c r="AJV392" s="6"/>
      <c r="AJW392" s="6"/>
      <c r="AJX392" s="6"/>
      <c r="AJY392" s="6"/>
      <c r="AJZ392" s="6"/>
      <c r="AKA392" s="6"/>
      <c r="AKB392" s="6"/>
      <c r="AKC392" s="6"/>
      <c r="AKD392" s="6"/>
      <c r="AKE392" s="6"/>
      <c r="AKF392" s="6"/>
      <c r="AKG392" s="6"/>
      <c r="AKH392" s="6"/>
      <c r="AKI392" s="6"/>
      <c r="AKJ392" s="6"/>
      <c r="AKK392" s="6"/>
      <c r="AKL392" s="6"/>
      <c r="AKM392" s="6"/>
      <c r="AKN392" s="6"/>
      <c r="AKO392" s="6"/>
      <c r="AKP392" s="6"/>
      <c r="AKQ392" s="6"/>
      <c r="AKR392" s="6"/>
      <c r="AKS392" s="6"/>
      <c r="AKT392" s="6"/>
      <c r="AKU392" s="6"/>
      <c r="AKV392" s="6"/>
      <c r="AKW392" s="6"/>
      <c r="AKX392" s="6"/>
      <c r="AKY392" s="6"/>
      <c r="AKZ392" s="6"/>
      <c r="ALA392" s="6"/>
      <c r="ALB392" s="6"/>
      <c r="ALC392" s="6"/>
      <c r="ALD392" s="6"/>
      <c r="ALE392" s="6"/>
      <c r="ALF392" s="6"/>
      <c r="ALG392" s="6"/>
      <c r="ALH392" s="6"/>
      <c r="ALI392" s="6"/>
      <c r="ALJ392" s="6"/>
      <c r="ALK392" s="6"/>
      <c r="ALL392" s="6"/>
      <c r="ALM392" s="6"/>
      <c r="ALN392" s="6"/>
      <c r="ALO392" s="6"/>
      <c r="ALP392" s="6"/>
      <c r="ALQ392" s="6"/>
      <c r="ALR392" s="6"/>
      <c r="ALS392" s="6"/>
      <c r="ALT392" s="6"/>
      <c r="ALU392" s="6"/>
      <c r="ALV392" s="6"/>
      <c r="ALW392" s="6"/>
      <c r="ALX392" s="6"/>
      <c r="ALY392" s="6"/>
      <c r="ALZ392" s="6"/>
      <c r="AMA392" s="6"/>
      <c r="AMB392" s="6"/>
      <c r="AMC392" s="6"/>
      <c r="AMD392" s="6"/>
      <c r="AME392" s="6"/>
      <c r="AMF392" s="6"/>
      <c r="AMG392" s="6"/>
      <c r="AMH392" s="6"/>
      <c r="AMI392" s="6"/>
      <c r="AMJ392" s="6"/>
      <c r="AMK392" s="6"/>
      <c r="AML392" s="6"/>
      <c r="AMM392" s="6"/>
      <c r="AMN392" s="6"/>
      <c r="AMO392" s="6"/>
      <c r="AMP392" s="6"/>
    </row>
    <row r="393" spans="1:1030" x14ac:dyDescent="0.2">
      <c r="A393" s="9" t="str">
        <f t="shared" ref="A393" si="3355">CONCATENATE(B393,"_",C393)</f>
        <v>ta2r_human_6IIV</v>
      </c>
      <c r="B393" s="40" t="s">
        <v>473</v>
      </c>
      <c r="C393" s="9" t="s">
        <v>1549</v>
      </c>
      <c r="D393" s="9" t="str">
        <f>IFERROR(MID(VLOOKUP($B393,Seqs!$A:$B,2,0),E393,1),"")</f>
        <v>S</v>
      </c>
      <c r="E393" s="9">
        <v>27</v>
      </c>
      <c r="F393" s="9" t="str">
        <f>IFERROR(MID(VLOOKUP($B393,Seqs!$A:$B,2,0),G393,1),"")</f>
        <v>R</v>
      </c>
      <c r="G393" s="9">
        <v>53</v>
      </c>
      <c r="H393" s="9" t="str">
        <f>IFERROR(MID(VLOOKUP($B393,Seqs!$A:$B,2,0),I393,1),"")</f>
        <v/>
      </c>
      <c r="I393" s="109" t="s">
        <v>23</v>
      </c>
      <c r="J393" s="9" t="str">
        <f>IFERROR(MID(VLOOKUP($B393,Seqs!$A:$B,2,0),K393,1),"")</f>
        <v/>
      </c>
      <c r="K393" s="109" t="s">
        <v>23</v>
      </c>
      <c r="L393" s="9" t="str">
        <f>IFERROR(MID(VLOOKUP($B393,Seqs!$A:$B,2,0),M393,1),"")</f>
        <v>S</v>
      </c>
      <c r="M393" s="9">
        <v>61</v>
      </c>
      <c r="N393" s="9" t="str">
        <f>IFERROR(MID(VLOOKUP($B393,Seqs!$A:$B,2,0),O393,1),"")</f>
        <v>A</v>
      </c>
      <c r="O393" s="9">
        <v>91</v>
      </c>
      <c r="P393" s="9" t="str">
        <f>IFERROR(MID(VLOOKUP($B393,Seqs!$A:$B,2,0),Q393,1),"")</f>
        <v>E</v>
      </c>
      <c r="Q393" s="9">
        <v>94</v>
      </c>
      <c r="R393" s="9" t="str">
        <f>IFERROR(MID(VLOOKUP($B393,Seqs!$A:$B,2,0),S393,1),"")</f>
        <v>V</v>
      </c>
      <c r="S393" s="9">
        <v>98</v>
      </c>
      <c r="T393" s="9" t="str">
        <f>IFERROR(MID(VLOOKUP($B393,Seqs!$A:$B,2,0),U393,1),"")</f>
        <v>C</v>
      </c>
      <c r="U393" s="9">
        <v>102</v>
      </c>
      <c r="V393" s="9" t="str">
        <f>IFERROR(MID(VLOOKUP($B393,Seqs!$A:$B,2,0),W393,1),"")</f>
        <v>R</v>
      </c>
      <c r="W393" s="9">
        <v>136</v>
      </c>
      <c r="X393" s="9" t="str">
        <f>IFERROR(MID(VLOOKUP($B393,Seqs!$A:$B,2,0),Y393,1),"")</f>
        <v/>
      </c>
      <c r="Y393" s="9" t="s">
        <v>23</v>
      </c>
      <c r="Z393" s="9" t="str">
        <f>IFERROR(MID(VLOOKUP($B393,Seqs!$A:$B,2,0),AA393,1),"")</f>
        <v/>
      </c>
      <c r="AA393" s="9" t="s">
        <v>23</v>
      </c>
      <c r="AB393" s="9" t="str">
        <f>IFERROR(MID(VLOOKUP($B393,Seqs!$A:$B,2,0),AC393,1),"")</f>
        <v>P</v>
      </c>
      <c r="AC393" s="9">
        <v>141</v>
      </c>
      <c r="AD393" s="9" t="str">
        <f>IFERROR(MID(VLOOKUP($B393,Seqs!$A:$B,2,0),AE393,1),"")</f>
        <v>G</v>
      </c>
      <c r="AE393" s="9">
        <v>170</v>
      </c>
      <c r="AF393" s="9" t="str">
        <f>IFERROR(MID(VLOOKUP($B393,Seqs!$A:$B,2,0),AG393,1),"")</f>
        <v>C</v>
      </c>
      <c r="AG393" s="9">
        <v>183</v>
      </c>
      <c r="AH393" s="9" t="str">
        <f>IFERROR(MID(VLOOKUP($B393,Seqs!$A:$B,2,0),AI393,1),"")</f>
        <v>L</v>
      </c>
      <c r="AI393" s="9">
        <v>185</v>
      </c>
      <c r="AJ393" s="9" t="str">
        <f>IFERROR(MID(VLOOKUP($B393,Seqs!$A:$B,2,0),AK393,1),"")</f>
        <v>E</v>
      </c>
      <c r="AK393" s="9">
        <v>190</v>
      </c>
      <c r="AL393" s="9" t="str">
        <f>IFERROR(MID(VLOOKUP($B393,Seqs!$A:$B,2,0),AM393,1),"")</f>
        <v>Y</v>
      </c>
      <c r="AM393" s="9">
        <v>226</v>
      </c>
      <c r="AN393" s="9" t="str">
        <f>IFERROR(MID(VLOOKUP($B393,Seqs!$A:$B,2,0),AO393,1),"")</f>
        <v>R</v>
      </c>
      <c r="AO393" s="9">
        <v>237</v>
      </c>
      <c r="AP393" s="9" t="str">
        <f>IFERROR(MID(VLOOKUP($B393,Seqs!$A:$B,2,0),AQ393,1),"")</f>
        <v>R</v>
      </c>
      <c r="AQ393" s="9">
        <v>271</v>
      </c>
      <c r="AR393" s="9" t="str">
        <f>IFERROR(MID(VLOOKUP($B393,Seqs!$A:$B,2,0),AS393,1),"")</f>
        <v>S</v>
      </c>
      <c r="AS393" s="9">
        <v>283</v>
      </c>
      <c r="AT393" s="9" t="str">
        <f>IFERROR(MID(VLOOKUP($B393,Seqs!$A:$B,2,0),AU393,1),"")</f>
        <v>F</v>
      </c>
      <c r="AU393" s="9">
        <v>311</v>
      </c>
      <c r="AV393" s="9" t="str">
        <f>IFERROR(MID(VLOOKUP($B393,Seqs!$A:$B,2,0),AW393,1),"")</f>
        <v>R</v>
      </c>
      <c r="AW393" s="9">
        <v>312</v>
      </c>
      <c r="AX393" s="9" t="str">
        <f>IFERROR(MID(VLOOKUP($B393,Seqs!$A:$B,2,0),AY393,1),"")</f>
        <v>L</v>
      </c>
      <c r="AY393" s="9">
        <v>319</v>
      </c>
      <c r="AZ393" s="110" t="str">
        <f>VLOOKUP(B393,Classification!A:D,2,0)</f>
        <v>A</v>
      </c>
      <c r="BA393" s="98" t="str">
        <f>VLOOKUP(B393,Classification!A:D,4,0)</f>
        <v>Prostanoid</v>
      </c>
      <c r="BB393" s="36" t="b">
        <f t="shared" ref="BB393" si="3356">AND(E393&lt;G393,OR(G393&lt;I393,I393="-"),OR(I393&lt;K393,I393="-"),OR(K393&lt;M393,K393="-"),M393&lt;O393,OR(O393&lt;Q393,Q393="-"),OR(Q393&lt;S393,Q393="-"),OR(S393&lt;U393,S393="-"),U393&lt;W393,OR(W393&lt;Y393,Y393="-"),OR(Y393&lt;AA393,Y393="-"),OR(AA393&lt;AC393,AA393="-"),AC393&lt;AE393,OR(AE393&lt;AG393,AG393="-"),OR(AG393&lt;AI393,AG393="-"),OR(AI393&lt;AK393,AI393="-"),AK393&lt;AM393,AM393&lt;AO393,AO393&lt;AQ393,AQ393&lt;AS393,AS393&lt;AU393,OR(AU393&lt;AW393,AW393="-"),OR(AW393&lt;AY393,AW393="-"))</f>
        <v>1</v>
      </c>
      <c r="BC393" s="109">
        <f t="shared" ref="BC393" si="3357">_xlfn.AGGREGATE(9,6,CH393:CS393)-_xlfn.AGGREGATE(9,6,BV393:CG393)+12</f>
        <v>242</v>
      </c>
      <c r="BD393" s="11" t="s">
        <v>1376</v>
      </c>
      <c r="BE393" s="9" t="s">
        <v>1374</v>
      </c>
      <c r="BF393" s="119">
        <v>3</v>
      </c>
      <c r="BG393" s="51" t="s">
        <v>1</v>
      </c>
      <c r="BH393" s="51" t="s">
        <v>1</v>
      </c>
      <c r="BI393" s="12"/>
      <c r="BJ393" s="111" t="s">
        <v>1287</v>
      </c>
      <c r="BK393" s="112" t="s">
        <v>1287</v>
      </c>
      <c r="BL393" s="112" t="s">
        <v>1287</v>
      </c>
      <c r="BM393" s="112" t="s">
        <v>1287</v>
      </c>
      <c r="BN393" s="112" t="s">
        <v>1287</v>
      </c>
      <c r="BO393" s="112" t="s">
        <v>1287</v>
      </c>
      <c r="BP393" s="112" t="s">
        <v>1287</v>
      </c>
      <c r="BQ393" s="112" t="s">
        <v>1287</v>
      </c>
      <c r="BR393" s="112" t="s">
        <v>1287</v>
      </c>
      <c r="BS393" s="112" t="s">
        <v>1287</v>
      </c>
      <c r="BT393" s="112" t="s">
        <v>1287</v>
      </c>
      <c r="BU393" s="112" t="s">
        <v>1287</v>
      </c>
      <c r="BV393" s="111">
        <f t="shared" ref="BV393" si="3358">E393</f>
        <v>27</v>
      </c>
      <c r="BW393" s="113" t="str">
        <f t="shared" ref="BW393" si="3359">I393</f>
        <v>-</v>
      </c>
      <c r="BX393" s="114">
        <f t="shared" ref="BX393" si="3360">M393</f>
        <v>61</v>
      </c>
      <c r="BY393" s="113">
        <f t="shared" ref="BY393" si="3361">Q393</f>
        <v>94</v>
      </c>
      <c r="BZ393" s="114">
        <f t="shared" ref="BZ393" si="3362">U393</f>
        <v>102</v>
      </c>
      <c r="CA393" s="113" t="str">
        <f t="shared" ref="CA393" si="3363">Y393</f>
        <v>-</v>
      </c>
      <c r="CB393" s="114">
        <f t="shared" ref="CB393" si="3364">AC393</f>
        <v>141</v>
      </c>
      <c r="CC393" s="113">
        <f t="shared" ref="CC393" si="3365">AG393</f>
        <v>183</v>
      </c>
      <c r="CD393" s="114">
        <f t="shared" ref="CD393" si="3366">AK393</f>
        <v>190</v>
      </c>
      <c r="CE393" s="113">
        <f t="shared" ref="CE393" si="3367">AO393</f>
        <v>237</v>
      </c>
      <c r="CF393" s="114">
        <f t="shared" ref="CF393" si="3368">AS393</f>
        <v>283</v>
      </c>
      <c r="CG393" s="113">
        <f t="shared" ref="CG393" si="3369">AW393</f>
        <v>312</v>
      </c>
      <c r="CH393" s="111">
        <f t="shared" ref="CH393" si="3370">G393</f>
        <v>53</v>
      </c>
      <c r="CI393" s="113" t="str">
        <f t="shared" ref="CI393" si="3371">K393</f>
        <v>-</v>
      </c>
      <c r="CJ393" s="114">
        <f t="shared" ref="CJ393" si="3372">O393</f>
        <v>91</v>
      </c>
      <c r="CK393" s="114">
        <f t="shared" ref="CK393" si="3373">S393</f>
        <v>98</v>
      </c>
      <c r="CL393" s="114">
        <f t="shared" ref="CL393" si="3374">W393</f>
        <v>136</v>
      </c>
      <c r="CM393" s="114" t="str">
        <f t="shared" ref="CM393" si="3375">AA393</f>
        <v>-</v>
      </c>
      <c r="CN393" s="114">
        <f t="shared" ref="CN393" si="3376">AE393</f>
        <v>170</v>
      </c>
      <c r="CO393" s="114">
        <f t="shared" ref="CO393" si="3377">AI393</f>
        <v>185</v>
      </c>
      <c r="CP393" s="114">
        <f t="shared" ref="CP393" si="3378">AM393</f>
        <v>226</v>
      </c>
      <c r="CQ393" s="114">
        <f t="shared" ref="CQ393" si="3379">AQ393</f>
        <v>271</v>
      </c>
      <c r="CR393" s="114">
        <f t="shared" ref="CR393" si="3380">AU393</f>
        <v>311</v>
      </c>
      <c r="CS393" s="114">
        <f t="shared" ref="CS393" si="3381">AY393</f>
        <v>319</v>
      </c>
      <c r="CT393" s="109" t="e">
        <f t="shared" ref="CT393" si="3382">M393-K393</f>
        <v>#VALUE!</v>
      </c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Q393" s="6"/>
      <c r="KR393" s="6"/>
      <c r="KS393" s="6"/>
      <c r="KT393" s="6"/>
      <c r="KU393" s="6"/>
      <c r="KV393" s="6"/>
      <c r="KW393" s="6"/>
      <c r="KX393" s="6"/>
      <c r="KY393" s="6"/>
      <c r="KZ393" s="6"/>
      <c r="LA393" s="6"/>
      <c r="LB393" s="6"/>
      <c r="LC393" s="6"/>
      <c r="LD393" s="6"/>
      <c r="LE393" s="6"/>
      <c r="LF393" s="6"/>
      <c r="LG393" s="6"/>
      <c r="LH393" s="6"/>
      <c r="LI393" s="6"/>
      <c r="LJ393" s="6"/>
      <c r="LK393" s="6"/>
      <c r="LL393" s="6"/>
      <c r="LM393" s="6"/>
      <c r="LN393" s="6"/>
      <c r="LO393" s="6"/>
      <c r="LP393" s="6"/>
      <c r="LQ393" s="6"/>
      <c r="LR393" s="6"/>
      <c r="LS393" s="6"/>
      <c r="LT393" s="6"/>
      <c r="LU393" s="6"/>
      <c r="LV393" s="6"/>
      <c r="LW393" s="6"/>
      <c r="LX393" s="6"/>
      <c r="LY393" s="6"/>
      <c r="LZ393" s="6"/>
      <c r="MA393" s="6"/>
      <c r="MB393" s="6"/>
      <c r="MC393" s="6"/>
      <c r="MD393" s="6"/>
      <c r="ME393" s="6"/>
      <c r="MF393" s="6"/>
      <c r="MG393" s="6"/>
      <c r="MH393" s="6"/>
      <c r="MI393" s="6"/>
      <c r="MJ393" s="6"/>
      <c r="MK393" s="6"/>
      <c r="ML393" s="6"/>
      <c r="MM393" s="6"/>
      <c r="MN393" s="6"/>
      <c r="MO393" s="6"/>
      <c r="MP393" s="6"/>
      <c r="MQ393" s="6"/>
      <c r="MR393" s="6"/>
      <c r="MS393" s="6"/>
      <c r="MT393" s="6"/>
      <c r="MU393" s="6"/>
      <c r="MV393" s="6"/>
      <c r="MW393" s="6"/>
      <c r="MX393" s="6"/>
      <c r="MY393" s="6"/>
      <c r="MZ393" s="6"/>
      <c r="NA393" s="6"/>
      <c r="NB393" s="6"/>
      <c r="NC393" s="6"/>
      <c r="ND393" s="6"/>
      <c r="NE393" s="6"/>
      <c r="NF393" s="6"/>
      <c r="NG393" s="6"/>
      <c r="NH393" s="6"/>
      <c r="NI393" s="6"/>
      <c r="NJ393" s="6"/>
      <c r="NK393" s="6"/>
      <c r="NL393" s="6"/>
      <c r="NM393" s="6"/>
      <c r="NN393" s="6"/>
      <c r="NO393" s="6"/>
      <c r="NP393" s="6"/>
      <c r="NQ393" s="6"/>
      <c r="NR393" s="6"/>
      <c r="NS393" s="6"/>
      <c r="NT393" s="6"/>
      <c r="NU393" s="6"/>
      <c r="NV393" s="6"/>
      <c r="NW393" s="6"/>
      <c r="NX393" s="6"/>
      <c r="NY393" s="6"/>
      <c r="NZ393" s="6"/>
      <c r="OA393" s="6"/>
      <c r="OB393" s="6"/>
      <c r="OC393" s="6"/>
      <c r="OD393" s="6"/>
      <c r="OE393" s="6"/>
      <c r="OF393" s="6"/>
      <c r="OG393" s="6"/>
      <c r="OH393" s="6"/>
      <c r="OI393" s="6"/>
      <c r="OJ393" s="6"/>
      <c r="OK393" s="6"/>
      <c r="OL393" s="6"/>
      <c r="OM393" s="6"/>
      <c r="ON393" s="6"/>
      <c r="OO393" s="6"/>
      <c r="OP393" s="6"/>
      <c r="OQ393" s="6"/>
      <c r="OR393" s="6"/>
      <c r="OS393" s="6"/>
      <c r="OT393" s="6"/>
      <c r="OU393" s="6"/>
      <c r="OV393" s="6"/>
      <c r="OW393" s="6"/>
      <c r="OX393" s="6"/>
      <c r="OY393" s="6"/>
      <c r="OZ393" s="6"/>
      <c r="PA393" s="6"/>
      <c r="PB393" s="6"/>
      <c r="PC393" s="6"/>
      <c r="PD393" s="6"/>
      <c r="PE393" s="6"/>
      <c r="PF393" s="6"/>
      <c r="PG393" s="6"/>
      <c r="PH393" s="6"/>
      <c r="PI393" s="6"/>
      <c r="PJ393" s="6"/>
      <c r="PK393" s="6"/>
      <c r="PL393" s="6"/>
      <c r="PM393" s="6"/>
      <c r="PN393" s="6"/>
      <c r="PO393" s="6"/>
      <c r="PP393" s="6"/>
      <c r="PQ393" s="6"/>
      <c r="PR393" s="6"/>
      <c r="PS393" s="6"/>
      <c r="PT393" s="6"/>
      <c r="PU393" s="6"/>
      <c r="PV393" s="6"/>
      <c r="PW393" s="6"/>
      <c r="PX393" s="6"/>
      <c r="PY393" s="6"/>
      <c r="PZ393" s="6"/>
      <c r="QA393" s="6"/>
      <c r="QB393" s="6"/>
      <c r="QC393" s="6"/>
      <c r="QD393" s="6"/>
      <c r="QE393" s="6"/>
      <c r="QF393" s="6"/>
      <c r="QG393" s="6"/>
      <c r="QH393" s="6"/>
      <c r="QI393" s="6"/>
      <c r="QJ393" s="6"/>
      <c r="QK393" s="6"/>
      <c r="QL393" s="6"/>
      <c r="QM393" s="6"/>
      <c r="QN393" s="6"/>
      <c r="QO393" s="6"/>
      <c r="QP393" s="6"/>
      <c r="QQ393" s="6"/>
      <c r="QR393" s="6"/>
      <c r="QS393" s="6"/>
      <c r="QT393" s="6"/>
      <c r="QU393" s="6"/>
      <c r="QV393" s="6"/>
      <c r="QW393" s="6"/>
      <c r="QX393" s="6"/>
      <c r="QY393" s="6"/>
      <c r="QZ393" s="6"/>
      <c r="RA393" s="6"/>
      <c r="RB393" s="6"/>
      <c r="RC393" s="6"/>
      <c r="RD393" s="6"/>
      <c r="RE393" s="6"/>
      <c r="RF393" s="6"/>
      <c r="RG393" s="6"/>
      <c r="RH393" s="6"/>
      <c r="RI393" s="6"/>
      <c r="RJ393" s="6"/>
      <c r="RK393" s="6"/>
      <c r="RL393" s="6"/>
      <c r="RM393" s="6"/>
      <c r="RN393" s="6"/>
      <c r="RO393" s="6"/>
      <c r="RP393" s="6"/>
      <c r="RQ393" s="6"/>
      <c r="RR393" s="6"/>
      <c r="RS393" s="6"/>
      <c r="RT393" s="6"/>
      <c r="RU393" s="6"/>
      <c r="RV393" s="6"/>
      <c r="RW393" s="6"/>
      <c r="RX393" s="6"/>
      <c r="RY393" s="6"/>
      <c r="RZ393" s="6"/>
      <c r="SA393" s="6"/>
      <c r="SB393" s="6"/>
      <c r="SC393" s="6"/>
      <c r="SD393" s="6"/>
      <c r="SE393" s="6"/>
      <c r="SF393" s="6"/>
      <c r="SG393" s="6"/>
      <c r="SH393" s="6"/>
      <c r="SI393" s="6"/>
      <c r="SJ393" s="6"/>
      <c r="SK393" s="6"/>
      <c r="SL393" s="6"/>
      <c r="SM393" s="6"/>
      <c r="SN393" s="6"/>
      <c r="SO393" s="6"/>
      <c r="SP393" s="6"/>
      <c r="SQ393" s="6"/>
      <c r="SR393" s="6"/>
      <c r="SS393" s="6"/>
      <c r="ST393" s="6"/>
      <c r="SU393" s="6"/>
      <c r="SV393" s="6"/>
      <c r="SW393" s="6"/>
      <c r="SX393" s="6"/>
      <c r="SY393" s="6"/>
      <c r="SZ393" s="6"/>
      <c r="TA393" s="6"/>
      <c r="TB393" s="6"/>
      <c r="TC393" s="6"/>
      <c r="TD393" s="6"/>
      <c r="TE393" s="6"/>
      <c r="TF393" s="6"/>
      <c r="TG393" s="6"/>
      <c r="TH393" s="6"/>
      <c r="TI393" s="6"/>
      <c r="TJ393" s="6"/>
      <c r="TK393" s="6"/>
      <c r="TL393" s="6"/>
      <c r="TM393" s="6"/>
      <c r="TN393" s="6"/>
      <c r="TO393" s="6"/>
      <c r="TP393" s="6"/>
      <c r="TQ393" s="6"/>
      <c r="TR393" s="6"/>
      <c r="TS393" s="6"/>
      <c r="TT393" s="6"/>
      <c r="TU393" s="6"/>
      <c r="TV393" s="6"/>
      <c r="TW393" s="6"/>
      <c r="TX393" s="6"/>
      <c r="TY393" s="6"/>
      <c r="TZ393" s="6"/>
      <c r="UA393" s="6"/>
      <c r="UB393" s="6"/>
      <c r="UC393" s="6"/>
      <c r="UD393" s="6"/>
      <c r="UE393" s="6"/>
      <c r="UF393" s="6"/>
      <c r="UG393" s="6"/>
      <c r="UH393" s="6"/>
      <c r="UI393" s="6"/>
      <c r="UJ393" s="6"/>
      <c r="UK393" s="6"/>
      <c r="UL393" s="6"/>
      <c r="UM393" s="6"/>
      <c r="UN393" s="6"/>
      <c r="UO393" s="6"/>
      <c r="UP393" s="6"/>
      <c r="UQ393" s="6"/>
      <c r="UR393" s="6"/>
      <c r="US393" s="6"/>
      <c r="UT393" s="6"/>
      <c r="UU393" s="6"/>
      <c r="UV393" s="6"/>
      <c r="UW393" s="6"/>
      <c r="UX393" s="6"/>
      <c r="UY393" s="6"/>
      <c r="UZ393" s="6"/>
      <c r="VA393" s="6"/>
      <c r="VB393" s="6"/>
      <c r="VC393" s="6"/>
      <c r="VD393" s="6"/>
      <c r="VE393" s="6"/>
      <c r="VF393" s="6"/>
      <c r="VG393" s="6"/>
      <c r="VH393" s="6"/>
      <c r="VI393" s="6"/>
      <c r="VJ393" s="6"/>
      <c r="VK393" s="6"/>
      <c r="VL393" s="6"/>
      <c r="VM393" s="6"/>
      <c r="VN393" s="6"/>
      <c r="VO393" s="6"/>
      <c r="VP393" s="6"/>
      <c r="VQ393" s="6"/>
      <c r="VR393" s="6"/>
      <c r="VS393" s="6"/>
      <c r="VT393" s="6"/>
      <c r="VU393" s="6"/>
      <c r="VV393" s="6"/>
      <c r="VW393" s="6"/>
      <c r="VX393" s="6"/>
      <c r="VY393" s="6"/>
      <c r="VZ393" s="6"/>
      <c r="WA393" s="6"/>
      <c r="WB393" s="6"/>
      <c r="WC393" s="6"/>
      <c r="WD393" s="6"/>
      <c r="WE393" s="6"/>
      <c r="WF393" s="6"/>
      <c r="WG393" s="6"/>
      <c r="WH393" s="6"/>
      <c r="WI393" s="6"/>
      <c r="WJ393" s="6"/>
      <c r="WK393" s="6"/>
      <c r="WL393" s="6"/>
      <c r="WM393" s="6"/>
      <c r="WN393" s="6"/>
      <c r="WO393" s="6"/>
      <c r="WP393" s="6"/>
      <c r="WQ393" s="6"/>
      <c r="WR393" s="6"/>
      <c r="WS393" s="6"/>
      <c r="WT393" s="6"/>
      <c r="WU393" s="6"/>
      <c r="WV393" s="6"/>
      <c r="WW393" s="6"/>
      <c r="WX393" s="6"/>
      <c r="WY393" s="6"/>
      <c r="WZ393" s="6"/>
      <c r="XA393" s="6"/>
      <c r="XB393" s="6"/>
      <c r="XC393" s="6"/>
      <c r="XD393" s="6"/>
      <c r="XE393" s="6"/>
      <c r="XF393" s="6"/>
      <c r="XG393" s="6"/>
      <c r="XH393" s="6"/>
      <c r="XI393" s="6"/>
      <c r="XJ393" s="6"/>
      <c r="XK393" s="6"/>
      <c r="XL393" s="6"/>
      <c r="XM393" s="6"/>
      <c r="XN393" s="6"/>
      <c r="XO393" s="6"/>
      <c r="XP393" s="6"/>
      <c r="XQ393" s="6"/>
      <c r="XR393" s="6"/>
      <c r="XS393" s="6"/>
      <c r="XT393" s="6"/>
      <c r="XU393" s="6"/>
      <c r="XV393" s="6"/>
      <c r="XW393" s="6"/>
      <c r="XX393" s="6"/>
      <c r="XY393" s="6"/>
      <c r="XZ393" s="6"/>
      <c r="YA393" s="6"/>
      <c r="YB393" s="6"/>
      <c r="YC393" s="6"/>
      <c r="YD393" s="6"/>
      <c r="YE393" s="6"/>
      <c r="YF393" s="6"/>
      <c r="YG393" s="6"/>
      <c r="YH393" s="6"/>
      <c r="YI393" s="6"/>
      <c r="YJ393" s="6"/>
      <c r="YK393" s="6"/>
      <c r="YL393" s="6"/>
      <c r="YM393" s="6"/>
      <c r="YN393" s="6"/>
      <c r="YO393" s="6"/>
      <c r="YP393" s="6"/>
      <c r="YQ393" s="6"/>
      <c r="YR393" s="6"/>
      <c r="YS393" s="6"/>
      <c r="YT393" s="6"/>
      <c r="YU393" s="6"/>
      <c r="YV393" s="6"/>
      <c r="YW393" s="6"/>
      <c r="YX393" s="6"/>
      <c r="YY393" s="6"/>
      <c r="YZ393" s="6"/>
      <c r="ZA393" s="6"/>
      <c r="ZB393" s="6"/>
      <c r="ZC393" s="6"/>
      <c r="ZD393" s="6"/>
      <c r="ZE393" s="6"/>
      <c r="ZF393" s="6"/>
      <c r="ZG393" s="6"/>
      <c r="ZH393" s="6"/>
      <c r="ZI393" s="6"/>
      <c r="ZJ393" s="6"/>
      <c r="ZK393" s="6"/>
      <c r="ZL393" s="6"/>
      <c r="ZM393" s="6"/>
      <c r="ZN393" s="6"/>
      <c r="ZO393" s="6"/>
      <c r="ZP393" s="6"/>
      <c r="ZQ393" s="6"/>
      <c r="ZR393" s="6"/>
      <c r="ZS393" s="6"/>
      <c r="ZT393" s="6"/>
      <c r="ZU393" s="6"/>
      <c r="ZV393" s="6"/>
      <c r="ZW393" s="6"/>
      <c r="ZX393" s="6"/>
      <c r="ZY393" s="6"/>
      <c r="ZZ393" s="6"/>
      <c r="AAA393" s="6"/>
      <c r="AAB393" s="6"/>
      <c r="AAC393" s="6"/>
      <c r="AAD393" s="6"/>
      <c r="AAE393" s="6"/>
      <c r="AAF393" s="6"/>
      <c r="AAG393" s="6"/>
      <c r="AAH393" s="6"/>
      <c r="AAI393" s="6"/>
      <c r="AAJ393" s="6"/>
      <c r="AAK393" s="6"/>
      <c r="AAL393" s="6"/>
      <c r="AAM393" s="6"/>
      <c r="AAN393" s="6"/>
      <c r="AAO393" s="6"/>
      <c r="AAP393" s="6"/>
      <c r="AAQ393" s="6"/>
      <c r="AAR393" s="6"/>
      <c r="AAS393" s="6"/>
      <c r="AAT393" s="6"/>
      <c r="AAU393" s="6"/>
      <c r="AAV393" s="6"/>
      <c r="AAW393" s="6"/>
      <c r="AAX393" s="6"/>
      <c r="AAY393" s="6"/>
      <c r="AAZ393" s="6"/>
      <c r="ABA393" s="6"/>
      <c r="ABB393" s="6"/>
      <c r="ABC393" s="6"/>
      <c r="ABD393" s="6"/>
      <c r="ABE393" s="6"/>
      <c r="ABF393" s="6"/>
      <c r="ABG393" s="6"/>
      <c r="ABH393" s="6"/>
      <c r="ABI393" s="6"/>
      <c r="ABJ393" s="6"/>
      <c r="ABK393" s="6"/>
      <c r="ABL393" s="6"/>
      <c r="ABM393" s="6"/>
      <c r="ABN393" s="6"/>
      <c r="ABO393" s="6"/>
      <c r="ABP393" s="6"/>
      <c r="ABQ393" s="6"/>
      <c r="ABR393" s="6"/>
      <c r="ABS393" s="6"/>
      <c r="ABT393" s="6"/>
      <c r="ABU393" s="6"/>
      <c r="ABV393" s="6"/>
      <c r="ABW393" s="6"/>
      <c r="ABX393" s="6"/>
      <c r="ABY393" s="6"/>
      <c r="ABZ393" s="6"/>
      <c r="ACA393" s="6"/>
      <c r="ACB393" s="6"/>
      <c r="ACC393" s="6"/>
      <c r="ACD393" s="6"/>
      <c r="ACE393" s="6"/>
      <c r="ACF393" s="6"/>
      <c r="ACG393" s="6"/>
      <c r="ACH393" s="6"/>
      <c r="ACI393" s="6"/>
      <c r="ACJ393" s="6"/>
      <c r="ACK393" s="6"/>
      <c r="ACL393" s="6"/>
      <c r="ACM393" s="6"/>
      <c r="ACN393" s="6"/>
      <c r="ACO393" s="6"/>
      <c r="ACP393" s="6"/>
      <c r="ACQ393" s="6"/>
      <c r="ACR393" s="6"/>
      <c r="ACS393" s="6"/>
      <c r="ACT393" s="6"/>
      <c r="ACU393" s="6"/>
      <c r="ACV393" s="6"/>
      <c r="ACW393" s="6"/>
      <c r="ACX393" s="6"/>
      <c r="ACY393" s="6"/>
      <c r="ACZ393" s="6"/>
      <c r="ADA393" s="6"/>
      <c r="ADB393" s="6"/>
      <c r="ADC393" s="6"/>
      <c r="ADD393" s="6"/>
      <c r="ADE393" s="6"/>
      <c r="ADF393" s="6"/>
      <c r="ADG393" s="6"/>
      <c r="ADH393" s="6"/>
      <c r="ADI393" s="6"/>
      <c r="ADJ393" s="6"/>
      <c r="ADK393" s="6"/>
      <c r="ADL393" s="6"/>
      <c r="ADM393" s="6"/>
      <c r="ADN393" s="6"/>
      <c r="ADO393" s="6"/>
      <c r="ADP393" s="6"/>
      <c r="ADQ393" s="6"/>
      <c r="ADR393" s="6"/>
      <c r="ADS393" s="6"/>
      <c r="ADT393" s="6"/>
      <c r="ADU393" s="6"/>
      <c r="ADV393" s="6"/>
      <c r="ADW393" s="6"/>
      <c r="ADX393" s="6"/>
      <c r="ADY393" s="6"/>
      <c r="ADZ393" s="6"/>
      <c r="AEA393" s="6"/>
      <c r="AEB393" s="6"/>
      <c r="AEC393" s="6"/>
      <c r="AED393" s="6"/>
      <c r="AEE393" s="6"/>
      <c r="AEF393" s="6"/>
      <c r="AEG393" s="6"/>
      <c r="AEH393" s="6"/>
      <c r="AEI393" s="6"/>
      <c r="AEJ393" s="6"/>
      <c r="AEK393" s="6"/>
      <c r="AEL393" s="6"/>
      <c r="AEM393" s="6"/>
      <c r="AEN393" s="6"/>
      <c r="AEO393" s="6"/>
      <c r="AEP393" s="6"/>
      <c r="AEQ393" s="6"/>
      <c r="AER393" s="6"/>
      <c r="AES393" s="6"/>
      <c r="AET393" s="6"/>
      <c r="AEU393" s="6"/>
      <c r="AEV393" s="6"/>
      <c r="AEW393" s="6"/>
      <c r="AEX393" s="6"/>
      <c r="AEY393" s="6"/>
      <c r="AEZ393" s="6"/>
      <c r="AFA393" s="6"/>
      <c r="AFB393" s="6"/>
      <c r="AFC393" s="6"/>
      <c r="AFD393" s="6"/>
      <c r="AFE393" s="6"/>
      <c r="AFF393" s="6"/>
      <c r="AFG393" s="6"/>
      <c r="AFH393" s="6"/>
      <c r="AFI393" s="6"/>
      <c r="AFJ393" s="6"/>
      <c r="AFK393" s="6"/>
      <c r="AFL393" s="6"/>
      <c r="AFM393" s="6"/>
      <c r="AFN393" s="6"/>
      <c r="AFO393" s="6"/>
      <c r="AFP393" s="6"/>
      <c r="AFQ393" s="6"/>
      <c r="AFR393" s="6"/>
      <c r="AFS393" s="6"/>
      <c r="AFT393" s="6"/>
      <c r="AFU393" s="6"/>
      <c r="AFV393" s="6"/>
      <c r="AFW393" s="6"/>
      <c r="AFX393" s="6"/>
      <c r="AFY393" s="6"/>
      <c r="AFZ393" s="6"/>
      <c r="AGA393" s="6"/>
      <c r="AGB393" s="6"/>
      <c r="AGC393" s="6"/>
      <c r="AGD393" s="6"/>
      <c r="AGE393" s="6"/>
      <c r="AGF393" s="6"/>
      <c r="AGG393" s="6"/>
      <c r="AGH393" s="6"/>
      <c r="AGI393" s="6"/>
      <c r="AGJ393" s="6"/>
      <c r="AGK393" s="6"/>
      <c r="AGL393" s="6"/>
      <c r="AGM393" s="6"/>
      <c r="AGN393" s="6"/>
      <c r="AGO393" s="6"/>
      <c r="AGP393" s="6"/>
      <c r="AGQ393" s="6"/>
      <c r="AGR393" s="6"/>
      <c r="AGS393" s="6"/>
      <c r="AGT393" s="6"/>
      <c r="AGU393" s="6"/>
      <c r="AGV393" s="6"/>
      <c r="AGW393" s="6"/>
      <c r="AGX393" s="6"/>
      <c r="AGY393" s="6"/>
      <c r="AGZ393" s="6"/>
      <c r="AHA393" s="6"/>
      <c r="AHB393" s="6"/>
      <c r="AHC393" s="6"/>
      <c r="AHD393" s="6"/>
      <c r="AHE393" s="6"/>
      <c r="AHF393" s="6"/>
      <c r="AHG393" s="6"/>
      <c r="AHH393" s="6"/>
      <c r="AHI393" s="6"/>
      <c r="AHJ393" s="6"/>
      <c r="AHK393" s="6"/>
      <c r="AHL393" s="6"/>
      <c r="AHM393" s="6"/>
      <c r="AHN393" s="6"/>
      <c r="AHO393" s="6"/>
      <c r="AHP393" s="6"/>
      <c r="AHQ393" s="6"/>
      <c r="AHR393" s="6"/>
      <c r="AHS393" s="6"/>
      <c r="AHT393" s="6"/>
      <c r="AHU393" s="6"/>
      <c r="AHV393" s="6"/>
      <c r="AHW393" s="6"/>
      <c r="AHX393" s="6"/>
      <c r="AHY393" s="6"/>
      <c r="AHZ393" s="6"/>
      <c r="AIA393" s="6"/>
      <c r="AIB393" s="6"/>
      <c r="AIC393" s="6"/>
      <c r="AID393" s="6"/>
      <c r="AIE393" s="6"/>
      <c r="AIF393" s="6"/>
      <c r="AIG393" s="6"/>
      <c r="AIH393" s="6"/>
      <c r="AII393" s="6"/>
      <c r="AIJ393" s="6"/>
      <c r="AIK393" s="6"/>
      <c r="AIL393" s="6"/>
      <c r="AIM393" s="6"/>
      <c r="AIN393" s="6"/>
      <c r="AIO393" s="6"/>
      <c r="AIP393" s="6"/>
      <c r="AIQ393" s="6"/>
      <c r="AIR393" s="6"/>
      <c r="AIS393" s="6"/>
      <c r="AIT393" s="6"/>
      <c r="AIU393" s="6"/>
      <c r="AIV393" s="6"/>
      <c r="AIW393" s="6"/>
      <c r="AIX393" s="6"/>
      <c r="AIY393" s="6"/>
      <c r="AIZ393" s="6"/>
      <c r="AJA393" s="6"/>
      <c r="AJB393" s="6"/>
      <c r="AJC393" s="6"/>
      <c r="AJD393" s="6"/>
      <c r="AJE393" s="6"/>
      <c r="AJF393" s="6"/>
      <c r="AJG393" s="6"/>
      <c r="AJH393" s="6"/>
      <c r="AJI393" s="6"/>
      <c r="AJJ393" s="6"/>
      <c r="AJK393" s="6"/>
      <c r="AJL393" s="6"/>
      <c r="AJM393" s="6"/>
      <c r="AJN393" s="6"/>
      <c r="AJO393" s="6"/>
      <c r="AJP393" s="6"/>
      <c r="AJQ393" s="6"/>
      <c r="AJR393" s="6"/>
      <c r="AJS393" s="6"/>
      <c r="AJT393" s="6"/>
      <c r="AJU393" s="6"/>
      <c r="AJV393" s="6"/>
      <c r="AJW393" s="6"/>
      <c r="AJX393" s="6"/>
      <c r="AJY393" s="6"/>
      <c r="AJZ393" s="6"/>
      <c r="AKA393" s="6"/>
      <c r="AKB393" s="6"/>
      <c r="AKC393" s="6"/>
      <c r="AKD393" s="6"/>
      <c r="AKE393" s="6"/>
      <c r="AKF393" s="6"/>
      <c r="AKG393" s="6"/>
      <c r="AKH393" s="6"/>
      <c r="AKI393" s="6"/>
      <c r="AKJ393" s="6"/>
      <c r="AKK393" s="6"/>
      <c r="AKL393" s="6"/>
      <c r="AKM393" s="6"/>
      <c r="AKN393" s="6"/>
      <c r="AKO393" s="6"/>
      <c r="AKP393" s="6"/>
      <c r="AKQ393" s="6"/>
      <c r="AKR393" s="6"/>
      <c r="AKS393" s="6"/>
      <c r="AKT393" s="6"/>
      <c r="AKU393" s="6"/>
      <c r="AKV393" s="6"/>
      <c r="AKW393" s="6"/>
      <c r="AKX393" s="6"/>
      <c r="AKY393" s="6"/>
      <c r="AKZ393" s="6"/>
      <c r="ALA393" s="6"/>
      <c r="ALB393" s="6"/>
      <c r="ALC393" s="6"/>
      <c r="ALD393" s="6"/>
      <c r="ALE393" s="6"/>
      <c r="ALF393" s="6"/>
      <c r="ALG393" s="6"/>
      <c r="ALH393" s="6"/>
      <c r="ALI393" s="6"/>
      <c r="ALJ393" s="6"/>
      <c r="ALK393" s="6"/>
      <c r="ALL393" s="6"/>
      <c r="ALM393" s="6"/>
      <c r="ALN393" s="6"/>
      <c r="ALO393" s="6"/>
      <c r="ALP393" s="6"/>
      <c r="ALQ393" s="6"/>
      <c r="ALR393" s="6"/>
      <c r="ALS393" s="6"/>
      <c r="ALT393" s="6"/>
      <c r="ALU393" s="6"/>
      <c r="ALV393" s="6"/>
      <c r="ALW393" s="6"/>
      <c r="ALX393" s="6"/>
      <c r="ALY393" s="6"/>
      <c r="ALZ393" s="6"/>
      <c r="AMA393" s="6"/>
      <c r="AMB393" s="6"/>
      <c r="AMC393" s="6"/>
      <c r="AMD393" s="6"/>
      <c r="AME393" s="6"/>
      <c r="AMF393" s="6"/>
      <c r="AMG393" s="6"/>
      <c r="AMH393" s="6"/>
      <c r="AMI393" s="6"/>
      <c r="AMJ393" s="6"/>
      <c r="AMK393" s="6"/>
      <c r="AML393" s="6"/>
      <c r="AMM393" s="6"/>
      <c r="AMN393" s="6"/>
      <c r="AMO393" s="6"/>
      <c r="AMP393" s="6"/>
    </row>
    <row r="394" spans="1:1030" x14ac:dyDescent="0.2">
      <c r="A394" s="3" t="str">
        <f t="shared" si="3326"/>
        <v>calcr_human__wt</v>
      </c>
      <c r="B394" s="2" t="s">
        <v>401</v>
      </c>
      <c r="C394" s="3" t="s">
        <v>100</v>
      </c>
      <c r="D394" s="3" t="str">
        <f>IFERROR(MID(VLOOKUP($B394,Seqs!$A:$B,2,0),E394,1),"")</f>
        <v>T</v>
      </c>
      <c r="E394" s="3">
        <v>132</v>
      </c>
      <c r="F394" s="3" t="str">
        <f>IFERROR(MID(VLOOKUP($B394,Seqs!$A:$B,2,0),G394,1),"")</f>
        <v>F</v>
      </c>
      <c r="G394" s="3">
        <v>173</v>
      </c>
      <c r="H394" s="3" t="str">
        <f>IFERROR(MID(VLOOKUP($B394,Seqs!$A:$B,2,0),I394,1),"")</f>
        <v>R</v>
      </c>
      <c r="I394" s="23">
        <v>174</v>
      </c>
      <c r="J394" s="3" t="str">
        <f>IFERROR(MID(VLOOKUP($B394,Seqs!$A:$B,2,0),K394,1),"")</f>
        <v>G</v>
      </c>
      <c r="K394" s="23">
        <v>177</v>
      </c>
      <c r="L394" s="3" t="str">
        <f>IFERROR(MID(VLOOKUP($B394,Seqs!$A:$B,2,0),M394,1),"")</f>
        <v>C</v>
      </c>
      <c r="M394" s="3">
        <v>178</v>
      </c>
      <c r="N394" s="3" t="str">
        <f>IFERROR(MID(VLOOKUP($B394,Seqs!$A:$B,2,0),O394,1),"")</f>
        <v>V</v>
      </c>
      <c r="O394" s="3">
        <v>205</v>
      </c>
      <c r="P394" s="3" t="str">
        <f>IFERROR(MID(VLOOKUP($B394,Seqs!$A:$B,2,0),Q394,1),"")</f>
        <v/>
      </c>
      <c r="Q394" s="3" t="s">
        <v>23</v>
      </c>
      <c r="R394" s="3" t="str">
        <f>IFERROR(MID(VLOOKUP($B394,Seqs!$A:$B,2,0),S394,1),"")</f>
        <v/>
      </c>
      <c r="S394" s="3" t="s">
        <v>23</v>
      </c>
      <c r="T394" s="3" t="str">
        <f>IFERROR(MID(VLOOKUP($B394,Seqs!$A:$B,2,0),U394,1),"")</f>
        <v>V</v>
      </c>
      <c r="U394" s="105">
        <v>217</v>
      </c>
      <c r="V394" s="3" t="str">
        <f>IFERROR(MID(VLOOKUP($B394,Seqs!$A:$B,2,0),W394,1),"")</f>
        <v>V</v>
      </c>
      <c r="W394" s="3">
        <v>250</v>
      </c>
      <c r="X394" s="3" t="str">
        <f>IFERROR(MID(VLOOKUP($B394,Seqs!$A:$B,2,0),Y394,1),"")</f>
        <v/>
      </c>
      <c r="Y394" s="3" t="s">
        <v>23</v>
      </c>
      <c r="Z394" s="3" t="str">
        <f>IFERROR(MID(VLOOKUP($B394,Seqs!$A:$B,2,0),AA394,1),"")</f>
        <v/>
      </c>
      <c r="AA394" s="3" t="s">
        <v>23</v>
      </c>
      <c r="AB394" s="3" t="str">
        <f>IFERROR(MID(VLOOKUP($B394,Seqs!$A:$B,2,0),AC394,1),"")</f>
        <v>R</v>
      </c>
      <c r="AC394" s="3">
        <v>258</v>
      </c>
      <c r="AD394" s="3" t="str">
        <f>IFERROR(MID(VLOOKUP($B394,Seqs!$A:$B,2,0),AE394,1),"")</f>
        <v>F</v>
      </c>
      <c r="AE394" s="3">
        <v>285</v>
      </c>
      <c r="AF394" s="3" t="str">
        <f>IFERROR(MID(VLOOKUP($B394,Seqs!$A:$B,2,0),AG394,1),"")</f>
        <v>C</v>
      </c>
      <c r="AG394" s="3">
        <v>289</v>
      </c>
      <c r="AH394" s="3" t="str">
        <f>IFERROR(MID(VLOOKUP($B394,Seqs!$A:$B,2,0),AI394,1),"")</f>
        <v>L</v>
      </c>
      <c r="AI394" s="3">
        <v>291</v>
      </c>
      <c r="AJ394" s="3" t="str">
        <f>IFERROR(MID(VLOOKUP($B394,Seqs!$A:$B,2,0),AK394,1),"")</f>
        <v>L</v>
      </c>
      <c r="AK394" s="3">
        <v>298</v>
      </c>
      <c r="AL394" s="3" t="str">
        <f>IFERROR(MID(VLOOKUP($B394,Seqs!$A:$B,2,0),AM394,1),"")</f>
        <v>R</v>
      </c>
      <c r="AM394" s="3">
        <v>328</v>
      </c>
      <c r="AN394" s="3" t="str">
        <f>IFERROR(MID(VLOOKUP($B394,Seqs!$A:$B,2,0),AO394,1),"")</f>
        <v>Y</v>
      </c>
      <c r="AO394" s="3">
        <v>338</v>
      </c>
      <c r="AP394" s="3" t="str">
        <f>IFERROR(MID(VLOOKUP($B394,Seqs!$A:$B,2,0),AQ394,1),"")</f>
        <v>W</v>
      </c>
      <c r="AQ394" s="3">
        <v>361</v>
      </c>
      <c r="AR394" s="3" t="str">
        <f>IFERROR(MID(VLOOKUP($B394,Seqs!$A:$B,2,0),AS394,1),"")</f>
        <v>K</v>
      </c>
      <c r="AS394" s="3">
        <v>366</v>
      </c>
      <c r="AT394" s="3" t="str">
        <f>IFERROR(MID(VLOOKUP($B394,Seqs!$A:$B,2,0),AU394,1),"")</f>
        <v>C</v>
      </c>
      <c r="AU394" s="3">
        <v>394</v>
      </c>
      <c r="AV394" s="3" t="str">
        <f>IFERROR(MID(VLOOKUP($B394,Seqs!$A:$B,2,0),AW394,1),"")</f>
        <v>N</v>
      </c>
      <c r="AW394" s="3">
        <v>395</v>
      </c>
      <c r="AX394" s="3" t="str">
        <f>IFERROR(MID(VLOOKUP($B394,Seqs!$A:$B,2,0),AY394,1),"")</f>
        <v>R</v>
      </c>
      <c r="AY394" s="3">
        <v>420</v>
      </c>
      <c r="AZ394" s="77" t="str">
        <f>VLOOKUP(B394,Classification!A:D,2,0)</f>
        <v>B1</v>
      </c>
      <c r="BA394" s="94" t="str">
        <f>VLOOKUP(B394,Classification!A:D,4,0)</f>
        <v>Calcitonin</v>
      </c>
      <c r="BB394" s="27" t="b">
        <f t="shared" si="3299"/>
        <v>1</v>
      </c>
      <c r="BC394" s="23">
        <f t="shared" si="3300"/>
        <v>251</v>
      </c>
      <c r="BD394" s="4" t="s">
        <v>23</v>
      </c>
      <c r="BE394" s="3" t="s">
        <v>23</v>
      </c>
      <c r="BF394" s="118" t="s">
        <v>23</v>
      </c>
      <c r="BG394" s="49" t="s">
        <v>1377</v>
      </c>
      <c r="BH394" s="49" t="s">
        <v>1377</v>
      </c>
      <c r="BI394" s="1"/>
      <c r="BJ394" s="70" t="s">
        <v>1287</v>
      </c>
      <c r="BK394" s="57" t="s">
        <v>1287</v>
      </c>
      <c r="BL394" s="57" t="s">
        <v>1287</v>
      </c>
      <c r="BM394" s="57" t="s">
        <v>1287</v>
      </c>
      <c r="BN394" s="57" t="s">
        <v>1287</v>
      </c>
      <c r="BO394" s="57" t="s">
        <v>1287</v>
      </c>
      <c r="BP394" s="57" t="s">
        <v>1287</v>
      </c>
      <c r="BQ394" s="57" t="s">
        <v>1287</v>
      </c>
      <c r="BR394" s="57" t="s">
        <v>1287</v>
      </c>
      <c r="BS394" s="57" t="s">
        <v>1287</v>
      </c>
      <c r="BT394" s="57" t="s">
        <v>1287</v>
      </c>
      <c r="BU394" s="57" t="s">
        <v>1287</v>
      </c>
      <c r="BV394" s="70">
        <f t="shared" si="3301"/>
        <v>132</v>
      </c>
      <c r="BW394" s="71">
        <f t="shared" si="3302"/>
        <v>174</v>
      </c>
      <c r="BX394" s="72">
        <f t="shared" si="3303"/>
        <v>178</v>
      </c>
      <c r="BY394" s="71" t="str">
        <f t="shared" si="3304"/>
        <v>-</v>
      </c>
      <c r="BZ394" s="72">
        <f t="shared" si="3305"/>
        <v>217</v>
      </c>
      <c r="CA394" s="71" t="str">
        <f t="shared" si="3306"/>
        <v>-</v>
      </c>
      <c r="CB394" s="72">
        <f t="shared" si="3307"/>
        <v>258</v>
      </c>
      <c r="CC394" s="71">
        <f t="shared" si="3308"/>
        <v>289</v>
      </c>
      <c r="CD394" s="72">
        <f t="shared" si="3309"/>
        <v>298</v>
      </c>
      <c r="CE394" s="71">
        <f t="shared" si="3310"/>
        <v>338</v>
      </c>
      <c r="CF394" s="72">
        <f t="shared" si="3311"/>
        <v>366</v>
      </c>
      <c r="CG394" s="71">
        <f t="shared" si="3312"/>
        <v>395</v>
      </c>
      <c r="CH394" s="70">
        <f t="shared" si="3313"/>
        <v>173</v>
      </c>
      <c r="CI394" s="71">
        <f t="shared" si="3314"/>
        <v>177</v>
      </c>
      <c r="CJ394" s="72">
        <f t="shared" si="3315"/>
        <v>205</v>
      </c>
      <c r="CK394" s="72" t="str">
        <f t="shared" si="3316"/>
        <v>-</v>
      </c>
      <c r="CL394" s="72">
        <f t="shared" si="3317"/>
        <v>250</v>
      </c>
      <c r="CM394" s="72" t="str">
        <f t="shared" si="3318"/>
        <v>-</v>
      </c>
      <c r="CN394" s="72">
        <f t="shared" si="3319"/>
        <v>285</v>
      </c>
      <c r="CO394" s="72">
        <f t="shared" si="3320"/>
        <v>291</v>
      </c>
      <c r="CP394" s="72">
        <f t="shared" si="3321"/>
        <v>328</v>
      </c>
      <c r="CQ394" s="72">
        <f t="shared" si="3322"/>
        <v>361</v>
      </c>
      <c r="CR394" s="72">
        <f t="shared" si="3323"/>
        <v>394</v>
      </c>
      <c r="CS394" s="72">
        <f t="shared" si="3324"/>
        <v>420</v>
      </c>
      <c r="CT394" s="23">
        <f t="shared" si="3325"/>
        <v>1</v>
      </c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6"/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6"/>
      <c r="KG394" s="6"/>
      <c r="KH394" s="6"/>
      <c r="KI394" s="6"/>
      <c r="KJ394" s="6"/>
      <c r="KK394" s="6"/>
      <c r="KL394" s="6"/>
      <c r="KM394" s="6"/>
      <c r="KN394" s="6"/>
      <c r="KO394" s="6"/>
      <c r="KP394" s="6"/>
      <c r="KQ394" s="6"/>
      <c r="KR394" s="6"/>
      <c r="KS394" s="6"/>
      <c r="KT394" s="6"/>
      <c r="KU394" s="6"/>
      <c r="KV394" s="6"/>
      <c r="KW394" s="6"/>
      <c r="KX394" s="6"/>
      <c r="KY394" s="6"/>
      <c r="KZ394" s="6"/>
      <c r="LA394" s="6"/>
      <c r="LB394" s="6"/>
      <c r="LC394" s="6"/>
      <c r="LD394" s="6"/>
      <c r="LE394" s="6"/>
      <c r="LF394" s="6"/>
      <c r="LG394" s="6"/>
      <c r="LH394" s="6"/>
      <c r="LI394" s="6"/>
      <c r="LJ394" s="6"/>
      <c r="LK394" s="6"/>
      <c r="LL394" s="6"/>
      <c r="LM394" s="6"/>
      <c r="LN394" s="6"/>
      <c r="LO394" s="6"/>
      <c r="LP394" s="6"/>
      <c r="LQ394" s="6"/>
      <c r="LR394" s="6"/>
      <c r="LS394" s="6"/>
      <c r="LT394" s="6"/>
      <c r="LU394" s="6"/>
      <c r="LV394" s="6"/>
      <c r="LW394" s="6"/>
      <c r="LX394" s="6"/>
      <c r="LY394" s="6"/>
      <c r="LZ394" s="6"/>
      <c r="MA394" s="6"/>
      <c r="MB394" s="6"/>
      <c r="MC394" s="6"/>
      <c r="MD394" s="6"/>
      <c r="ME394" s="6"/>
      <c r="MF394" s="6"/>
      <c r="MG394" s="6"/>
      <c r="MH394" s="6"/>
      <c r="MI394" s="6"/>
      <c r="MJ394" s="6"/>
      <c r="MK394" s="6"/>
      <c r="ML394" s="6"/>
      <c r="MM394" s="6"/>
      <c r="MN394" s="6"/>
      <c r="MO394" s="6"/>
      <c r="MP394" s="6"/>
      <c r="MQ394" s="6"/>
      <c r="MR394" s="6"/>
      <c r="MS394" s="6"/>
      <c r="MT394" s="6"/>
      <c r="MU394" s="6"/>
      <c r="MV394" s="6"/>
      <c r="MW394" s="6"/>
      <c r="MX394" s="6"/>
      <c r="MY394" s="6"/>
      <c r="MZ394" s="6"/>
      <c r="NA394" s="6"/>
      <c r="NB394" s="6"/>
      <c r="NC394" s="6"/>
      <c r="ND394" s="6"/>
      <c r="NE394" s="6"/>
      <c r="NF394" s="6"/>
      <c r="NG394" s="6"/>
      <c r="NH394" s="6"/>
      <c r="NI394" s="6"/>
      <c r="NJ394" s="6"/>
      <c r="NK394" s="6"/>
      <c r="NL394" s="6"/>
      <c r="NM394" s="6"/>
      <c r="NN394" s="6"/>
      <c r="NO394" s="6"/>
      <c r="NP394" s="6"/>
      <c r="NQ394" s="6"/>
      <c r="NR394" s="6"/>
      <c r="NS394" s="6"/>
      <c r="NT394" s="6"/>
      <c r="NU394" s="6"/>
      <c r="NV394" s="6"/>
      <c r="NW394" s="6"/>
      <c r="NX394" s="6"/>
      <c r="NY394" s="6"/>
      <c r="NZ394" s="6"/>
      <c r="OA394" s="6"/>
      <c r="OB394" s="6"/>
      <c r="OC394" s="6"/>
      <c r="OD394" s="6"/>
      <c r="OE394" s="6"/>
      <c r="OF394" s="6"/>
      <c r="OG394" s="6"/>
      <c r="OH394" s="6"/>
      <c r="OI394" s="6"/>
      <c r="OJ394" s="6"/>
      <c r="OK394" s="6"/>
      <c r="OL394" s="6"/>
      <c r="OM394" s="6"/>
      <c r="ON394" s="6"/>
      <c r="OO394" s="6"/>
      <c r="OP394" s="6"/>
      <c r="OQ394" s="6"/>
      <c r="OR394" s="6"/>
      <c r="OS394" s="6"/>
      <c r="OT394" s="6"/>
      <c r="OU394" s="6"/>
      <c r="OV394" s="6"/>
      <c r="OW394" s="6"/>
      <c r="OX394" s="6"/>
      <c r="OY394" s="6"/>
      <c r="OZ394" s="6"/>
      <c r="PA394" s="6"/>
      <c r="PB394" s="6"/>
      <c r="PC394" s="6"/>
      <c r="PD394" s="6"/>
      <c r="PE394" s="6"/>
      <c r="PF394" s="6"/>
      <c r="PG394" s="6"/>
      <c r="PH394" s="6"/>
      <c r="PI394" s="6"/>
      <c r="PJ394" s="6"/>
      <c r="PK394" s="6"/>
      <c r="PL394" s="6"/>
      <c r="PM394" s="6"/>
      <c r="PN394" s="6"/>
      <c r="PO394" s="6"/>
      <c r="PP394" s="6"/>
      <c r="PQ394" s="6"/>
      <c r="PR394" s="6"/>
      <c r="PS394" s="6"/>
      <c r="PT394" s="6"/>
      <c r="PU394" s="6"/>
      <c r="PV394" s="6"/>
      <c r="PW394" s="6"/>
      <c r="PX394" s="6"/>
      <c r="PY394" s="6"/>
      <c r="PZ394" s="6"/>
      <c r="QA394" s="6"/>
      <c r="QB394" s="6"/>
      <c r="QC394" s="6"/>
      <c r="QD394" s="6"/>
      <c r="QE394" s="6"/>
      <c r="QF394" s="6"/>
      <c r="QG394" s="6"/>
      <c r="QH394" s="6"/>
      <c r="QI394" s="6"/>
      <c r="QJ394" s="6"/>
      <c r="QK394" s="6"/>
      <c r="QL394" s="6"/>
      <c r="QM394" s="6"/>
      <c r="QN394" s="6"/>
      <c r="QO394" s="6"/>
      <c r="QP394" s="6"/>
      <c r="QQ394" s="6"/>
      <c r="QR394" s="6"/>
      <c r="QS394" s="6"/>
      <c r="QT394" s="6"/>
      <c r="QU394" s="6"/>
      <c r="QV394" s="6"/>
      <c r="QW394" s="6"/>
      <c r="QX394" s="6"/>
      <c r="QY394" s="6"/>
      <c r="QZ394" s="6"/>
      <c r="RA394" s="6"/>
      <c r="RB394" s="6"/>
      <c r="RC394" s="6"/>
      <c r="RD394" s="6"/>
      <c r="RE394" s="6"/>
      <c r="RF394" s="6"/>
      <c r="RG394" s="6"/>
      <c r="RH394" s="6"/>
      <c r="RI394" s="6"/>
      <c r="RJ394" s="6"/>
      <c r="RK394" s="6"/>
      <c r="RL394" s="6"/>
      <c r="RM394" s="6"/>
      <c r="RN394" s="6"/>
      <c r="RO394" s="6"/>
      <c r="RP394" s="6"/>
      <c r="RQ394" s="6"/>
      <c r="RR394" s="6"/>
      <c r="RS394" s="6"/>
      <c r="RT394" s="6"/>
      <c r="RU394" s="6"/>
      <c r="RV394" s="6"/>
      <c r="RW394" s="6"/>
      <c r="RX394" s="6"/>
      <c r="RY394" s="6"/>
      <c r="RZ394" s="6"/>
      <c r="SA394" s="6"/>
      <c r="SB394" s="6"/>
      <c r="SC394" s="6"/>
      <c r="SD394" s="6"/>
      <c r="SE394" s="6"/>
      <c r="SF394" s="6"/>
      <c r="SG394" s="6"/>
      <c r="SH394" s="6"/>
      <c r="SI394" s="6"/>
      <c r="SJ394" s="6"/>
      <c r="SK394" s="6"/>
      <c r="SL394" s="6"/>
      <c r="SM394" s="6"/>
      <c r="SN394" s="6"/>
      <c r="SO394" s="6"/>
      <c r="SP394" s="6"/>
      <c r="SQ394" s="6"/>
      <c r="SR394" s="6"/>
      <c r="SS394" s="6"/>
      <c r="ST394" s="6"/>
      <c r="SU394" s="6"/>
      <c r="SV394" s="6"/>
      <c r="SW394" s="6"/>
      <c r="SX394" s="6"/>
      <c r="SY394" s="6"/>
      <c r="SZ394" s="6"/>
      <c r="TA394" s="6"/>
      <c r="TB394" s="6"/>
      <c r="TC394" s="6"/>
      <c r="TD394" s="6"/>
      <c r="TE394" s="6"/>
      <c r="TF394" s="6"/>
      <c r="TG394" s="6"/>
      <c r="TH394" s="6"/>
      <c r="TI394" s="6"/>
      <c r="TJ394" s="6"/>
      <c r="TK394" s="6"/>
      <c r="TL394" s="6"/>
      <c r="TM394" s="6"/>
      <c r="TN394" s="6"/>
      <c r="TO394" s="6"/>
      <c r="TP394" s="6"/>
      <c r="TQ394" s="6"/>
      <c r="TR394" s="6"/>
      <c r="TS394" s="6"/>
      <c r="TT394" s="6"/>
      <c r="TU394" s="6"/>
      <c r="TV394" s="6"/>
      <c r="TW394" s="6"/>
      <c r="TX394" s="6"/>
      <c r="TY394" s="6"/>
      <c r="TZ394" s="6"/>
      <c r="UA394" s="6"/>
      <c r="UB394" s="6"/>
      <c r="UC394" s="6"/>
      <c r="UD394" s="6"/>
      <c r="UE394" s="6"/>
      <c r="UF394" s="6"/>
      <c r="UG394" s="6"/>
      <c r="UH394" s="6"/>
      <c r="UI394" s="6"/>
      <c r="UJ394" s="6"/>
      <c r="UK394" s="6"/>
      <c r="UL394" s="6"/>
      <c r="UM394" s="6"/>
      <c r="UN394" s="6"/>
      <c r="UO394" s="6"/>
      <c r="UP394" s="6"/>
      <c r="UQ394" s="6"/>
      <c r="UR394" s="6"/>
      <c r="US394" s="6"/>
      <c r="UT394" s="6"/>
      <c r="UU394" s="6"/>
      <c r="UV394" s="6"/>
      <c r="UW394" s="6"/>
      <c r="UX394" s="6"/>
      <c r="UY394" s="6"/>
      <c r="UZ394" s="6"/>
      <c r="VA394" s="6"/>
      <c r="VB394" s="6"/>
      <c r="VC394" s="6"/>
      <c r="VD394" s="6"/>
      <c r="VE394" s="6"/>
      <c r="VF394" s="6"/>
      <c r="VG394" s="6"/>
      <c r="VH394" s="6"/>
      <c r="VI394" s="6"/>
      <c r="VJ394" s="6"/>
      <c r="VK394" s="6"/>
      <c r="VL394" s="6"/>
      <c r="VM394" s="6"/>
      <c r="VN394" s="6"/>
      <c r="VO394" s="6"/>
      <c r="VP394" s="6"/>
      <c r="VQ394" s="6"/>
      <c r="VR394" s="6"/>
      <c r="VS394" s="6"/>
      <c r="VT394" s="6"/>
      <c r="VU394" s="6"/>
      <c r="VV394" s="6"/>
      <c r="VW394" s="6"/>
      <c r="VX394" s="6"/>
      <c r="VY394" s="6"/>
      <c r="VZ394" s="6"/>
      <c r="WA394" s="6"/>
      <c r="WB394" s="6"/>
      <c r="WC394" s="6"/>
      <c r="WD394" s="6"/>
      <c r="WE394" s="6"/>
      <c r="WF394" s="6"/>
      <c r="WG394" s="6"/>
      <c r="WH394" s="6"/>
      <c r="WI394" s="6"/>
      <c r="WJ394" s="6"/>
      <c r="WK394" s="6"/>
      <c r="WL394" s="6"/>
      <c r="WM394" s="6"/>
      <c r="WN394" s="6"/>
      <c r="WO394" s="6"/>
      <c r="WP394" s="6"/>
      <c r="WQ394" s="6"/>
      <c r="WR394" s="6"/>
      <c r="WS394" s="6"/>
      <c r="WT394" s="6"/>
      <c r="WU394" s="6"/>
      <c r="WV394" s="6"/>
      <c r="WW394" s="6"/>
      <c r="WX394" s="6"/>
      <c r="WY394" s="6"/>
      <c r="WZ394" s="6"/>
      <c r="XA394" s="6"/>
      <c r="XB394" s="6"/>
      <c r="XC394" s="6"/>
      <c r="XD394" s="6"/>
      <c r="XE394" s="6"/>
      <c r="XF394" s="6"/>
      <c r="XG394" s="6"/>
      <c r="XH394" s="6"/>
      <c r="XI394" s="6"/>
      <c r="XJ394" s="6"/>
      <c r="XK394" s="6"/>
      <c r="XL394" s="6"/>
      <c r="XM394" s="6"/>
      <c r="XN394" s="6"/>
      <c r="XO394" s="6"/>
      <c r="XP394" s="6"/>
      <c r="XQ394" s="6"/>
      <c r="XR394" s="6"/>
      <c r="XS394" s="6"/>
      <c r="XT394" s="6"/>
      <c r="XU394" s="6"/>
      <c r="XV394" s="6"/>
      <c r="XW394" s="6"/>
      <c r="XX394" s="6"/>
      <c r="XY394" s="6"/>
      <c r="XZ394" s="6"/>
      <c r="YA394" s="6"/>
      <c r="YB394" s="6"/>
      <c r="YC394" s="6"/>
      <c r="YD394" s="6"/>
      <c r="YE394" s="6"/>
      <c r="YF394" s="6"/>
      <c r="YG394" s="6"/>
      <c r="YH394" s="6"/>
      <c r="YI394" s="6"/>
      <c r="YJ394" s="6"/>
      <c r="YK394" s="6"/>
      <c r="YL394" s="6"/>
      <c r="YM394" s="6"/>
      <c r="YN394" s="6"/>
      <c r="YO394" s="6"/>
      <c r="YP394" s="6"/>
      <c r="YQ394" s="6"/>
      <c r="YR394" s="6"/>
      <c r="YS394" s="6"/>
      <c r="YT394" s="6"/>
      <c r="YU394" s="6"/>
      <c r="YV394" s="6"/>
      <c r="YW394" s="6"/>
      <c r="YX394" s="6"/>
      <c r="YY394" s="6"/>
      <c r="YZ394" s="6"/>
      <c r="ZA394" s="6"/>
      <c r="ZB394" s="6"/>
      <c r="ZC394" s="6"/>
      <c r="ZD394" s="6"/>
      <c r="ZE394" s="6"/>
      <c r="ZF394" s="6"/>
      <c r="ZG394" s="6"/>
      <c r="ZH394" s="6"/>
      <c r="ZI394" s="6"/>
      <c r="ZJ394" s="6"/>
      <c r="ZK394" s="6"/>
      <c r="ZL394" s="6"/>
      <c r="ZM394" s="6"/>
      <c r="ZN394" s="6"/>
      <c r="ZO394" s="6"/>
      <c r="ZP394" s="6"/>
      <c r="ZQ394" s="6"/>
      <c r="ZR394" s="6"/>
      <c r="ZS394" s="6"/>
      <c r="ZT394" s="6"/>
      <c r="ZU394" s="6"/>
      <c r="ZV394" s="6"/>
      <c r="ZW394" s="6"/>
      <c r="ZX394" s="6"/>
      <c r="ZY394" s="6"/>
      <c r="ZZ394" s="6"/>
      <c r="AAA394" s="6"/>
      <c r="AAB394" s="6"/>
      <c r="AAC394" s="6"/>
      <c r="AAD394" s="6"/>
      <c r="AAE394" s="6"/>
      <c r="AAF394" s="6"/>
      <c r="AAG394" s="6"/>
      <c r="AAH394" s="6"/>
      <c r="AAI394" s="6"/>
      <c r="AAJ394" s="6"/>
      <c r="AAK394" s="6"/>
      <c r="AAL394" s="6"/>
      <c r="AAM394" s="6"/>
      <c r="AAN394" s="6"/>
      <c r="AAO394" s="6"/>
      <c r="AAP394" s="6"/>
      <c r="AAQ394" s="6"/>
      <c r="AAR394" s="6"/>
      <c r="AAS394" s="6"/>
      <c r="AAT394" s="6"/>
      <c r="AAU394" s="6"/>
      <c r="AAV394" s="6"/>
      <c r="AAW394" s="6"/>
      <c r="AAX394" s="6"/>
      <c r="AAY394" s="6"/>
      <c r="AAZ394" s="6"/>
      <c r="ABA394" s="6"/>
      <c r="ABB394" s="6"/>
      <c r="ABC394" s="6"/>
      <c r="ABD394" s="6"/>
      <c r="ABE394" s="6"/>
      <c r="ABF394" s="6"/>
      <c r="ABG394" s="6"/>
      <c r="ABH394" s="6"/>
      <c r="ABI394" s="6"/>
      <c r="ABJ394" s="6"/>
      <c r="ABK394" s="6"/>
      <c r="ABL394" s="6"/>
      <c r="ABM394" s="6"/>
      <c r="ABN394" s="6"/>
      <c r="ABO394" s="6"/>
      <c r="ABP394" s="6"/>
      <c r="ABQ394" s="6"/>
      <c r="ABR394" s="6"/>
      <c r="ABS394" s="6"/>
      <c r="ABT394" s="6"/>
      <c r="ABU394" s="6"/>
      <c r="ABV394" s="6"/>
      <c r="ABW394" s="6"/>
      <c r="ABX394" s="6"/>
      <c r="ABY394" s="6"/>
      <c r="ABZ394" s="6"/>
      <c r="ACA394" s="6"/>
      <c r="ACB394" s="6"/>
      <c r="ACC394" s="6"/>
      <c r="ACD394" s="6"/>
      <c r="ACE394" s="6"/>
      <c r="ACF394" s="6"/>
      <c r="ACG394" s="6"/>
      <c r="ACH394" s="6"/>
      <c r="ACI394" s="6"/>
      <c r="ACJ394" s="6"/>
      <c r="ACK394" s="6"/>
      <c r="ACL394" s="6"/>
      <c r="ACM394" s="6"/>
      <c r="ACN394" s="6"/>
      <c r="ACO394" s="6"/>
      <c r="ACP394" s="6"/>
      <c r="ACQ394" s="6"/>
      <c r="ACR394" s="6"/>
      <c r="ACS394" s="6"/>
      <c r="ACT394" s="6"/>
      <c r="ACU394" s="6"/>
      <c r="ACV394" s="6"/>
      <c r="ACW394" s="6"/>
      <c r="ACX394" s="6"/>
      <c r="ACY394" s="6"/>
      <c r="ACZ394" s="6"/>
      <c r="ADA394" s="6"/>
      <c r="ADB394" s="6"/>
      <c r="ADC394" s="6"/>
      <c r="ADD394" s="6"/>
      <c r="ADE394" s="6"/>
      <c r="ADF394" s="6"/>
      <c r="ADG394" s="6"/>
      <c r="ADH394" s="6"/>
      <c r="ADI394" s="6"/>
      <c r="ADJ394" s="6"/>
      <c r="ADK394" s="6"/>
      <c r="ADL394" s="6"/>
      <c r="ADM394" s="6"/>
      <c r="ADN394" s="6"/>
      <c r="ADO394" s="6"/>
      <c r="ADP394" s="6"/>
      <c r="ADQ394" s="6"/>
      <c r="ADR394" s="6"/>
      <c r="ADS394" s="6"/>
      <c r="ADT394" s="6"/>
      <c r="ADU394" s="6"/>
      <c r="ADV394" s="6"/>
      <c r="ADW394" s="6"/>
      <c r="ADX394" s="6"/>
      <c r="ADY394" s="6"/>
      <c r="ADZ394" s="6"/>
      <c r="AEA394" s="6"/>
      <c r="AEB394" s="6"/>
      <c r="AEC394" s="6"/>
      <c r="AED394" s="6"/>
      <c r="AEE394" s="6"/>
      <c r="AEF394" s="6"/>
      <c r="AEG394" s="6"/>
      <c r="AEH394" s="6"/>
      <c r="AEI394" s="6"/>
      <c r="AEJ394" s="6"/>
      <c r="AEK394" s="6"/>
      <c r="AEL394" s="6"/>
      <c r="AEM394" s="6"/>
      <c r="AEN394" s="6"/>
      <c r="AEO394" s="6"/>
      <c r="AEP394" s="6"/>
      <c r="AEQ394" s="6"/>
      <c r="AER394" s="6"/>
      <c r="AES394" s="6"/>
      <c r="AET394" s="6"/>
      <c r="AEU394" s="6"/>
      <c r="AEV394" s="6"/>
      <c r="AEW394" s="6"/>
      <c r="AEX394" s="6"/>
      <c r="AEY394" s="6"/>
      <c r="AEZ394" s="6"/>
      <c r="AFA394" s="6"/>
      <c r="AFB394" s="6"/>
      <c r="AFC394" s="6"/>
      <c r="AFD394" s="6"/>
      <c r="AFE394" s="6"/>
      <c r="AFF394" s="6"/>
      <c r="AFG394" s="6"/>
      <c r="AFH394" s="6"/>
      <c r="AFI394" s="6"/>
      <c r="AFJ394" s="6"/>
      <c r="AFK394" s="6"/>
      <c r="AFL394" s="6"/>
      <c r="AFM394" s="6"/>
      <c r="AFN394" s="6"/>
      <c r="AFO394" s="6"/>
      <c r="AFP394" s="6"/>
      <c r="AFQ394" s="6"/>
      <c r="AFR394" s="6"/>
      <c r="AFS394" s="6"/>
      <c r="AFT394" s="6"/>
      <c r="AFU394" s="6"/>
      <c r="AFV394" s="6"/>
      <c r="AFW394" s="6"/>
      <c r="AFX394" s="6"/>
      <c r="AFY394" s="6"/>
      <c r="AFZ394" s="6"/>
      <c r="AGA394" s="6"/>
      <c r="AGB394" s="6"/>
      <c r="AGC394" s="6"/>
      <c r="AGD394" s="6"/>
      <c r="AGE394" s="6"/>
      <c r="AGF394" s="6"/>
      <c r="AGG394" s="6"/>
      <c r="AGH394" s="6"/>
      <c r="AGI394" s="6"/>
      <c r="AGJ394" s="6"/>
      <c r="AGK394" s="6"/>
      <c r="AGL394" s="6"/>
      <c r="AGM394" s="6"/>
      <c r="AGN394" s="6"/>
      <c r="AGO394" s="6"/>
      <c r="AGP394" s="6"/>
      <c r="AGQ394" s="6"/>
      <c r="AGR394" s="6"/>
      <c r="AGS394" s="6"/>
      <c r="AGT394" s="6"/>
      <c r="AGU394" s="6"/>
      <c r="AGV394" s="6"/>
      <c r="AGW394" s="6"/>
      <c r="AGX394" s="6"/>
      <c r="AGY394" s="6"/>
      <c r="AGZ394" s="6"/>
      <c r="AHA394" s="6"/>
      <c r="AHB394" s="6"/>
      <c r="AHC394" s="6"/>
      <c r="AHD394" s="6"/>
      <c r="AHE394" s="6"/>
      <c r="AHF394" s="6"/>
      <c r="AHG394" s="6"/>
      <c r="AHH394" s="6"/>
      <c r="AHI394" s="6"/>
      <c r="AHJ394" s="6"/>
      <c r="AHK394" s="6"/>
      <c r="AHL394" s="6"/>
      <c r="AHM394" s="6"/>
      <c r="AHN394" s="6"/>
      <c r="AHO394" s="6"/>
      <c r="AHP394" s="6"/>
      <c r="AHQ394" s="6"/>
      <c r="AHR394" s="6"/>
      <c r="AHS394" s="6"/>
      <c r="AHT394" s="6"/>
      <c r="AHU394" s="6"/>
      <c r="AHV394" s="6"/>
      <c r="AHW394" s="6"/>
      <c r="AHX394" s="6"/>
      <c r="AHY394" s="6"/>
      <c r="AHZ394" s="6"/>
      <c r="AIA394" s="6"/>
      <c r="AIB394" s="6"/>
      <c r="AIC394" s="6"/>
      <c r="AID394" s="6"/>
      <c r="AIE394" s="6"/>
      <c r="AIF394" s="6"/>
      <c r="AIG394" s="6"/>
      <c r="AIH394" s="6"/>
      <c r="AII394" s="6"/>
      <c r="AIJ394" s="6"/>
      <c r="AIK394" s="6"/>
      <c r="AIL394" s="6"/>
      <c r="AIM394" s="6"/>
      <c r="AIN394" s="6"/>
      <c r="AIO394" s="6"/>
      <c r="AIP394" s="6"/>
      <c r="AIQ394" s="6"/>
      <c r="AIR394" s="6"/>
      <c r="AIS394" s="6"/>
      <c r="AIT394" s="6"/>
      <c r="AIU394" s="6"/>
      <c r="AIV394" s="6"/>
      <c r="AIW394" s="6"/>
      <c r="AIX394" s="6"/>
      <c r="AIY394" s="6"/>
      <c r="AIZ394" s="6"/>
      <c r="AJA394" s="6"/>
      <c r="AJB394" s="6"/>
      <c r="AJC394" s="6"/>
      <c r="AJD394" s="6"/>
      <c r="AJE394" s="6"/>
      <c r="AJF394" s="6"/>
      <c r="AJG394" s="6"/>
      <c r="AJH394" s="6"/>
      <c r="AJI394" s="6"/>
      <c r="AJJ394" s="6"/>
      <c r="AJK394" s="6"/>
      <c r="AJL394" s="6"/>
      <c r="AJM394" s="6"/>
      <c r="AJN394" s="6"/>
      <c r="AJO394" s="6"/>
      <c r="AJP394" s="6"/>
      <c r="AJQ394" s="6"/>
      <c r="AJR394" s="6"/>
      <c r="AJS394" s="6"/>
      <c r="AJT394" s="6"/>
      <c r="AJU394" s="6"/>
      <c r="AJV394" s="6"/>
      <c r="AJW394" s="6"/>
      <c r="AJX394" s="6"/>
      <c r="AJY394" s="6"/>
      <c r="AJZ394" s="6"/>
      <c r="AKA394" s="6"/>
      <c r="AKB394" s="6"/>
      <c r="AKC394" s="6"/>
      <c r="AKD394" s="6"/>
      <c r="AKE394" s="6"/>
      <c r="AKF394" s="6"/>
      <c r="AKG394" s="6"/>
      <c r="AKH394" s="6"/>
      <c r="AKI394" s="6"/>
      <c r="AKJ394" s="6"/>
      <c r="AKK394" s="6"/>
      <c r="AKL394" s="6"/>
      <c r="AKM394" s="6"/>
      <c r="AKN394" s="6"/>
      <c r="AKO394" s="6"/>
      <c r="AKP394" s="6"/>
      <c r="AKQ394" s="6"/>
      <c r="AKR394" s="6"/>
      <c r="AKS394" s="6"/>
      <c r="AKT394" s="6"/>
      <c r="AKU394" s="6"/>
      <c r="AKV394" s="6"/>
      <c r="AKW394" s="6"/>
      <c r="AKX394" s="6"/>
      <c r="AKY394" s="6"/>
      <c r="AKZ394" s="6"/>
      <c r="ALA394" s="6"/>
      <c r="ALB394" s="6"/>
      <c r="ALC394" s="6"/>
      <c r="ALD394" s="6"/>
      <c r="ALE394" s="6"/>
      <c r="ALF394" s="6"/>
      <c r="ALG394" s="6"/>
      <c r="ALH394" s="6"/>
      <c r="ALI394" s="6"/>
      <c r="ALJ394" s="6"/>
      <c r="ALK394" s="6"/>
      <c r="ALL394" s="6"/>
      <c r="ALM394" s="6"/>
      <c r="ALN394" s="6"/>
      <c r="ALO394" s="6"/>
      <c r="ALP394" s="6"/>
      <c r="ALQ394" s="6"/>
      <c r="ALR394" s="6"/>
      <c r="ALS394" s="6"/>
      <c r="ALT394" s="6"/>
      <c r="ALU394" s="6"/>
      <c r="ALV394" s="6"/>
      <c r="ALW394" s="6"/>
      <c r="ALX394" s="6"/>
      <c r="ALY394" s="6"/>
      <c r="ALZ394" s="6"/>
      <c r="AMA394" s="6"/>
      <c r="AMB394" s="6"/>
      <c r="AMC394" s="6"/>
      <c r="AMD394" s="6"/>
      <c r="AME394" s="6"/>
      <c r="AMF394" s="6"/>
      <c r="AMG394" s="6"/>
      <c r="AMH394" s="6"/>
      <c r="AMI394" s="6"/>
      <c r="AMJ394" s="6"/>
      <c r="AMK394" s="6"/>
      <c r="AML394" s="6"/>
      <c r="AMM394" s="6"/>
      <c r="AMN394" s="6"/>
      <c r="AMO394" s="6"/>
      <c r="AMP394" s="6"/>
    </row>
    <row r="395" spans="1:1030" x14ac:dyDescent="0.2">
      <c r="A395" s="3" t="str">
        <f t="shared" si="3326"/>
        <v>calcr_human_5UZ7</v>
      </c>
      <c r="B395" s="2" t="s">
        <v>401</v>
      </c>
      <c r="C395" s="3" t="s">
        <v>1401</v>
      </c>
      <c r="D395" s="3" t="str">
        <f>IFERROR(MID(VLOOKUP($B395,Seqs!$A:$B,2,0),E395,1),"")</f>
        <v>A</v>
      </c>
      <c r="E395" s="3">
        <v>136</v>
      </c>
      <c r="F395" s="3" t="str">
        <f>IFERROR(MID(VLOOKUP($B395,Seqs!$A:$B,2,0),G395,1),"")</f>
        <v>F</v>
      </c>
      <c r="G395" s="3">
        <v>173</v>
      </c>
      <c r="H395" s="3" t="str">
        <f>IFERROR(MID(VLOOKUP($B395,Seqs!$A:$B,2,0),I395,1),"")</f>
        <v>R</v>
      </c>
      <c r="I395" s="23">
        <v>174</v>
      </c>
      <c r="J395" s="3" t="str">
        <f>IFERROR(MID(VLOOKUP($B395,Seqs!$A:$B,2,0),K395,1),"")</f>
        <v>G</v>
      </c>
      <c r="K395" s="23">
        <v>177</v>
      </c>
      <c r="L395" s="3" t="str">
        <f>IFERROR(MID(VLOOKUP($B395,Seqs!$A:$B,2,0),M395,1),"")</f>
        <v>C</v>
      </c>
      <c r="M395" s="3">
        <v>178</v>
      </c>
      <c r="N395" s="3" t="str">
        <f>IFERROR(MID(VLOOKUP($B395,Seqs!$A:$B,2,0),O395,1),"")</f>
        <v>V</v>
      </c>
      <c r="O395" s="3">
        <v>205</v>
      </c>
      <c r="P395" s="3" t="str">
        <f>IFERROR(MID(VLOOKUP($B395,Seqs!$A:$B,2,0),Q395,1),"")</f>
        <v/>
      </c>
      <c r="Q395" s="3" t="s">
        <v>23</v>
      </c>
      <c r="R395" s="3" t="str">
        <f>IFERROR(MID(VLOOKUP($B395,Seqs!$A:$B,2,0),S395,1),"")</f>
        <v/>
      </c>
      <c r="S395" s="3" t="s">
        <v>23</v>
      </c>
      <c r="T395" s="3" t="str">
        <f>IFERROR(MID(VLOOKUP($B395,Seqs!$A:$B,2,0),U395,1),"")</f>
        <v>D</v>
      </c>
      <c r="U395" s="3">
        <v>215</v>
      </c>
      <c r="V395" s="3" t="str">
        <f>IFERROR(MID(VLOOKUP($B395,Seqs!$A:$B,2,0),W395,1),"")</f>
        <v>V</v>
      </c>
      <c r="W395" s="3">
        <v>250</v>
      </c>
      <c r="X395" s="3" t="str">
        <f>IFERROR(MID(VLOOKUP($B395,Seqs!$A:$B,2,0),Y395,1),"")</f>
        <v/>
      </c>
      <c r="Y395" s="3" t="s">
        <v>23</v>
      </c>
      <c r="Z395" s="3" t="str">
        <f>IFERROR(MID(VLOOKUP($B395,Seqs!$A:$B,2,0),AA395,1),"")</f>
        <v/>
      </c>
      <c r="AA395" s="3" t="s">
        <v>23</v>
      </c>
      <c r="AB395" s="3" t="str">
        <f>IFERROR(MID(VLOOKUP($B395,Seqs!$A:$B,2,0),AC395,1),"")</f>
        <v>R</v>
      </c>
      <c r="AC395" s="3">
        <v>258</v>
      </c>
      <c r="AD395" s="3" t="str">
        <f>IFERROR(MID(VLOOKUP($B395,Seqs!$A:$B,2,0),AE395,1),"")</f>
        <v>F</v>
      </c>
      <c r="AE395" s="3">
        <v>285</v>
      </c>
      <c r="AF395" s="3" t="str">
        <f>IFERROR(MID(VLOOKUP($B395,Seqs!$A:$B,2,0),AG395,1),"")</f>
        <v>C</v>
      </c>
      <c r="AG395" s="3">
        <v>289</v>
      </c>
      <c r="AH395" s="3" t="str">
        <f>IFERROR(MID(VLOOKUP($B395,Seqs!$A:$B,2,0),AI395,1),"")</f>
        <v>L</v>
      </c>
      <c r="AI395" s="3">
        <v>291</v>
      </c>
      <c r="AJ395" s="3" t="str">
        <f>IFERROR(MID(VLOOKUP($B395,Seqs!$A:$B,2,0),AK395,1),"")</f>
        <v>L</v>
      </c>
      <c r="AK395" s="3">
        <v>298</v>
      </c>
      <c r="AL395" s="3" t="str">
        <f>IFERROR(MID(VLOOKUP($B395,Seqs!$A:$B,2,0),AM395,1),"")</f>
        <v>R</v>
      </c>
      <c r="AM395" s="3">
        <v>328</v>
      </c>
      <c r="AN395" s="3" t="str">
        <f>IFERROR(MID(VLOOKUP($B395,Seqs!$A:$B,2,0),AO395,1),"")</f>
        <v>L</v>
      </c>
      <c r="AO395" s="3">
        <v>352</v>
      </c>
      <c r="AP395" s="3" t="str">
        <f>IFERROR(MID(VLOOKUP($B395,Seqs!$A:$B,2,0),AQ395,1),"")</f>
        <v>P</v>
      </c>
      <c r="AQ395" s="3">
        <v>360</v>
      </c>
      <c r="AR395" s="3" t="str">
        <f>IFERROR(MID(VLOOKUP($B395,Seqs!$A:$B,2,0),AS395,1),"")</f>
        <v>K</v>
      </c>
      <c r="AS395" s="3">
        <v>366</v>
      </c>
      <c r="AT395" s="3" t="str">
        <f>IFERROR(MID(VLOOKUP($B395,Seqs!$A:$B,2,0),AU395,1),"")</f>
        <v>C</v>
      </c>
      <c r="AU395" s="3">
        <v>394</v>
      </c>
      <c r="AV395" s="3" t="str">
        <f>IFERROR(MID(VLOOKUP($B395,Seqs!$A:$B,2,0),AW395,1),"")</f>
        <v>N</v>
      </c>
      <c r="AW395" s="3">
        <v>395</v>
      </c>
      <c r="AX395" s="3" t="str">
        <f>IFERROR(MID(VLOOKUP($B395,Seqs!$A:$B,2,0),AY395,1),"")</f>
        <v>G</v>
      </c>
      <c r="AY395" s="3">
        <v>418</v>
      </c>
      <c r="AZ395" s="77" t="str">
        <f>VLOOKUP(B395,Classification!A:D,2,0)</f>
        <v>B1</v>
      </c>
      <c r="BA395" s="94" t="str">
        <f>VLOOKUP(B395,Classification!A:D,4,0)</f>
        <v>Calcitonin</v>
      </c>
      <c r="BB395" s="27" t="b">
        <f t="shared" si="3299"/>
        <v>1</v>
      </c>
      <c r="BC395" s="23">
        <f t="shared" si="3300"/>
        <v>232</v>
      </c>
      <c r="BD395" s="4" t="s">
        <v>23</v>
      </c>
      <c r="BE395" s="3" t="s">
        <v>1291</v>
      </c>
      <c r="BF395" s="118">
        <v>4.0999999999999996</v>
      </c>
      <c r="BG395" s="49" t="s">
        <v>1377</v>
      </c>
      <c r="BH395" s="49" t="s">
        <v>1377</v>
      </c>
      <c r="BI395" s="1"/>
      <c r="BJ395" s="70" t="s">
        <v>1287</v>
      </c>
      <c r="BK395" s="57" t="s">
        <v>1287</v>
      </c>
      <c r="BL395" s="57" t="s">
        <v>1287</v>
      </c>
      <c r="BM395" s="57" t="s">
        <v>1287</v>
      </c>
      <c r="BN395" s="57" t="s">
        <v>1287</v>
      </c>
      <c r="BO395" s="57" t="s">
        <v>1287</v>
      </c>
      <c r="BP395" s="57" t="s">
        <v>1287</v>
      </c>
      <c r="BQ395" s="57" t="s">
        <v>1287</v>
      </c>
      <c r="BR395" s="57" t="s">
        <v>1287</v>
      </c>
      <c r="BS395" s="57" t="s">
        <v>1287</v>
      </c>
      <c r="BT395" s="57" t="s">
        <v>1287</v>
      </c>
      <c r="BU395" s="57" t="s">
        <v>1287</v>
      </c>
      <c r="BV395" s="70">
        <f t="shared" si="3301"/>
        <v>136</v>
      </c>
      <c r="BW395" s="71">
        <f t="shared" si="3302"/>
        <v>174</v>
      </c>
      <c r="BX395" s="72">
        <f t="shared" si="3303"/>
        <v>178</v>
      </c>
      <c r="BY395" s="71" t="str">
        <f t="shared" si="3304"/>
        <v>-</v>
      </c>
      <c r="BZ395" s="72">
        <f t="shared" si="3305"/>
        <v>215</v>
      </c>
      <c r="CA395" s="71" t="str">
        <f t="shared" si="3306"/>
        <v>-</v>
      </c>
      <c r="CB395" s="72">
        <f t="shared" si="3307"/>
        <v>258</v>
      </c>
      <c r="CC395" s="71">
        <f t="shared" si="3308"/>
        <v>289</v>
      </c>
      <c r="CD395" s="72">
        <f t="shared" si="3309"/>
        <v>298</v>
      </c>
      <c r="CE395" s="71">
        <f t="shared" si="3310"/>
        <v>352</v>
      </c>
      <c r="CF395" s="72">
        <f t="shared" si="3311"/>
        <v>366</v>
      </c>
      <c r="CG395" s="71">
        <f t="shared" si="3312"/>
        <v>395</v>
      </c>
      <c r="CH395" s="70">
        <f t="shared" si="3313"/>
        <v>173</v>
      </c>
      <c r="CI395" s="71">
        <f t="shared" si="3314"/>
        <v>177</v>
      </c>
      <c r="CJ395" s="72">
        <f t="shared" si="3315"/>
        <v>205</v>
      </c>
      <c r="CK395" s="72" t="str">
        <f t="shared" si="3316"/>
        <v>-</v>
      </c>
      <c r="CL395" s="72">
        <f t="shared" si="3317"/>
        <v>250</v>
      </c>
      <c r="CM395" s="72" t="str">
        <f t="shared" si="3318"/>
        <v>-</v>
      </c>
      <c r="CN395" s="72">
        <f t="shared" si="3319"/>
        <v>285</v>
      </c>
      <c r="CO395" s="72">
        <f t="shared" si="3320"/>
        <v>291</v>
      </c>
      <c r="CP395" s="72">
        <f t="shared" si="3321"/>
        <v>328</v>
      </c>
      <c r="CQ395" s="72">
        <f t="shared" si="3322"/>
        <v>360</v>
      </c>
      <c r="CR395" s="72">
        <f t="shared" si="3323"/>
        <v>394</v>
      </c>
      <c r="CS395" s="72">
        <f t="shared" si="3324"/>
        <v>418</v>
      </c>
      <c r="CT395" s="23">
        <f t="shared" si="3325"/>
        <v>1</v>
      </c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Q395" s="6"/>
      <c r="KR395" s="6"/>
      <c r="KS395" s="6"/>
      <c r="KT395" s="6"/>
      <c r="KU395" s="6"/>
      <c r="KV395" s="6"/>
      <c r="KW395" s="6"/>
      <c r="KX395" s="6"/>
      <c r="KY395" s="6"/>
      <c r="KZ395" s="6"/>
      <c r="LA395" s="6"/>
      <c r="LB395" s="6"/>
      <c r="LC395" s="6"/>
      <c r="LD395" s="6"/>
      <c r="LE395" s="6"/>
      <c r="LF395" s="6"/>
      <c r="LG395" s="6"/>
      <c r="LH395" s="6"/>
      <c r="LI395" s="6"/>
      <c r="LJ395" s="6"/>
      <c r="LK395" s="6"/>
      <c r="LL395" s="6"/>
      <c r="LM395" s="6"/>
      <c r="LN395" s="6"/>
      <c r="LO395" s="6"/>
      <c r="LP395" s="6"/>
      <c r="LQ395" s="6"/>
      <c r="LR395" s="6"/>
      <c r="LS395" s="6"/>
      <c r="LT395" s="6"/>
      <c r="LU395" s="6"/>
      <c r="LV395" s="6"/>
      <c r="LW395" s="6"/>
      <c r="LX395" s="6"/>
      <c r="LY395" s="6"/>
      <c r="LZ395" s="6"/>
      <c r="MA395" s="6"/>
      <c r="MB395" s="6"/>
      <c r="MC395" s="6"/>
      <c r="MD395" s="6"/>
      <c r="ME395" s="6"/>
      <c r="MF395" s="6"/>
      <c r="MG395" s="6"/>
      <c r="MH395" s="6"/>
      <c r="MI395" s="6"/>
      <c r="MJ395" s="6"/>
      <c r="MK395" s="6"/>
      <c r="ML395" s="6"/>
      <c r="MM395" s="6"/>
      <c r="MN395" s="6"/>
      <c r="MO395" s="6"/>
      <c r="MP395" s="6"/>
      <c r="MQ395" s="6"/>
      <c r="MR395" s="6"/>
      <c r="MS395" s="6"/>
      <c r="MT395" s="6"/>
      <c r="MU395" s="6"/>
      <c r="MV395" s="6"/>
      <c r="MW395" s="6"/>
      <c r="MX395" s="6"/>
      <c r="MY395" s="6"/>
      <c r="MZ395" s="6"/>
      <c r="NA395" s="6"/>
      <c r="NB395" s="6"/>
      <c r="NC395" s="6"/>
      <c r="ND395" s="6"/>
      <c r="NE395" s="6"/>
      <c r="NF395" s="6"/>
      <c r="NG395" s="6"/>
      <c r="NH395" s="6"/>
      <c r="NI395" s="6"/>
      <c r="NJ395" s="6"/>
      <c r="NK395" s="6"/>
      <c r="NL395" s="6"/>
      <c r="NM395" s="6"/>
      <c r="NN395" s="6"/>
      <c r="NO395" s="6"/>
      <c r="NP395" s="6"/>
      <c r="NQ395" s="6"/>
      <c r="NR395" s="6"/>
      <c r="NS395" s="6"/>
      <c r="NT395" s="6"/>
      <c r="NU395" s="6"/>
      <c r="NV395" s="6"/>
      <c r="NW395" s="6"/>
      <c r="NX395" s="6"/>
      <c r="NY395" s="6"/>
      <c r="NZ395" s="6"/>
      <c r="OA395" s="6"/>
      <c r="OB395" s="6"/>
      <c r="OC395" s="6"/>
      <c r="OD395" s="6"/>
      <c r="OE395" s="6"/>
      <c r="OF395" s="6"/>
      <c r="OG395" s="6"/>
      <c r="OH395" s="6"/>
      <c r="OI395" s="6"/>
      <c r="OJ395" s="6"/>
      <c r="OK395" s="6"/>
      <c r="OL395" s="6"/>
      <c r="OM395" s="6"/>
      <c r="ON395" s="6"/>
      <c r="OO395" s="6"/>
      <c r="OP395" s="6"/>
      <c r="OQ395" s="6"/>
      <c r="OR395" s="6"/>
      <c r="OS395" s="6"/>
      <c r="OT395" s="6"/>
      <c r="OU395" s="6"/>
      <c r="OV395" s="6"/>
      <c r="OW395" s="6"/>
      <c r="OX395" s="6"/>
      <c r="OY395" s="6"/>
      <c r="OZ395" s="6"/>
      <c r="PA395" s="6"/>
      <c r="PB395" s="6"/>
      <c r="PC395" s="6"/>
      <c r="PD395" s="6"/>
      <c r="PE395" s="6"/>
      <c r="PF395" s="6"/>
      <c r="PG395" s="6"/>
      <c r="PH395" s="6"/>
      <c r="PI395" s="6"/>
      <c r="PJ395" s="6"/>
      <c r="PK395" s="6"/>
      <c r="PL395" s="6"/>
      <c r="PM395" s="6"/>
      <c r="PN395" s="6"/>
      <c r="PO395" s="6"/>
      <c r="PP395" s="6"/>
      <c r="PQ395" s="6"/>
      <c r="PR395" s="6"/>
      <c r="PS395" s="6"/>
      <c r="PT395" s="6"/>
      <c r="PU395" s="6"/>
      <c r="PV395" s="6"/>
      <c r="PW395" s="6"/>
      <c r="PX395" s="6"/>
      <c r="PY395" s="6"/>
      <c r="PZ395" s="6"/>
      <c r="QA395" s="6"/>
      <c r="QB395" s="6"/>
      <c r="QC395" s="6"/>
      <c r="QD395" s="6"/>
      <c r="QE395" s="6"/>
      <c r="QF395" s="6"/>
      <c r="QG395" s="6"/>
      <c r="QH395" s="6"/>
      <c r="QI395" s="6"/>
      <c r="QJ395" s="6"/>
      <c r="QK395" s="6"/>
      <c r="QL395" s="6"/>
      <c r="QM395" s="6"/>
      <c r="QN395" s="6"/>
      <c r="QO395" s="6"/>
      <c r="QP395" s="6"/>
      <c r="QQ395" s="6"/>
      <c r="QR395" s="6"/>
      <c r="QS395" s="6"/>
      <c r="QT395" s="6"/>
      <c r="QU395" s="6"/>
      <c r="QV395" s="6"/>
      <c r="QW395" s="6"/>
      <c r="QX395" s="6"/>
      <c r="QY395" s="6"/>
      <c r="QZ395" s="6"/>
      <c r="RA395" s="6"/>
      <c r="RB395" s="6"/>
      <c r="RC395" s="6"/>
      <c r="RD395" s="6"/>
      <c r="RE395" s="6"/>
      <c r="RF395" s="6"/>
      <c r="RG395" s="6"/>
      <c r="RH395" s="6"/>
      <c r="RI395" s="6"/>
      <c r="RJ395" s="6"/>
      <c r="RK395" s="6"/>
      <c r="RL395" s="6"/>
      <c r="RM395" s="6"/>
      <c r="RN395" s="6"/>
      <c r="RO395" s="6"/>
      <c r="RP395" s="6"/>
      <c r="RQ395" s="6"/>
      <c r="RR395" s="6"/>
      <c r="RS395" s="6"/>
      <c r="RT395" s="6"/>
      <c r="RU395" s="6"/>
      <c r="RV395" s="6"/>
      <c r="RW395" s="6"/>
      <c r="RX395" s="6"/>
      <c r="RY395" s="6"/>
      <c r="RZ395" s="6"/>
      <c r="SA395" s="6"/>
      <c r="SB395" s="6"/>
      <c r="SC395" s="6"/>
      <c r="SD395" s="6"/>
      <c r="SE395" s="6"/>
      <c r="SF395" s="6"/>
      <c r="SG395" s="6"/>
      <c r="SH395" s="6"/>
      <c r="SI395" s="6"/>
      <c r="SJ395" s="6"/>
      <c r="SK395" s="6"/>
      <c r="SL395" s="6"/>
      <c r="SM395" s="6"/>
      <c r="SN395" s="6"/>
      <c r="SO395" s="6"/>
      <c r="SP395" s="6"/>
      <c r="SQ395" s="6"/>
      <c r="SR395" s="6"/>
      <c r="SS395" s="6"/>
      <c r="ST395" s="6"/>
      <c r="SU395" s="6"/>
      <c r="SV395" s="6"/>
      <c r="SW395" s="6"/>
      <c r="SX395" s="6"/>
      <c r="SY395" s="6"/>
      <c r="SZ395" s="6"/>
      <c r="TA395" s="6"/>
      <c r="TB395" s="6"/>
      <c r="TC395" s="6"/>
      <c r="TD395" s="6"/>
      <c r="TE395" s="6"/>
      <c r="TF395" s="6"/>
      <c r="TG395" s="6"/>
      <c r="TH395" s="6"/>
      <c r="TI395" s="6"/>
      <c r="TJ395" s="6"/>
      <c r="TK395" s="6"/>
      <c r="TL395" s="6"/>
      <c r="TM395" s="6"/>
      <c r="TN395" s="6"/>
      <c r="TO395" s="6"/>
      <c r="TP395" s="6"/>
      <c r="TQ395" s="6"/>
      <c r="TR395" s="6"/>
      <c r="TS395" s="6"/>
      <c r="TT395" s="6"/>
      <c r="TU395" s="6"/>
      <c r="TV395" s="6"/>
      <c r="TW395" s="6"/>
      <c r="TX395" s="6"/>
      <c r="TY395" s="6"/>
      <c r="TZ395" s="6"/>
      <c r="UA395" s="6"/>
      <c r="UB395" s="6"/>
      <c r="UC395" s="6"/>
      <c r="UD395" s="6"/>
      <c r="UE395" s="6"/>
      <c r="UF395" s="6"/>
      <c r="UG395" s="6"/>
      <c r="UH395" s="6"/>
      <c r="UI395" s="6"/>
      <c r="UJ395" s="6"/>
      <c r="UK395" s="6"/>
      <c r="UL395" s="6"/>
      <c r="UM395" s="6"/>
      <c r="UN395" s="6"/>
      <c r="UO395" s="6"/>
      <c r="UP395" s="6"/>
      <c r="UQ395" s="6"/>
      <c r="UR395" s="6"/>
      <c r="US395" s="6"/>
      <c r="UT395" s="6"/>
      <c r="UU395" s="6"/>
      <c r="UV395" s="6"/>
      <c r="UW395" s="6"/>
      <c r="UX395" s="6"/>
      <c r="UY395" s="6"/>
      <c r="UZ395" s="6"/>
      <c r="VA395" s="6"/>
      <c r="VB395" s="6"/>
      <c r="VC395" s="6"/>
      <c r="VD395" s="6"/>
      <c r="VE395" s="6"/>
      <c r="VF395" s="6"/>
      <c r="VG395" s="6"/>
      <c r="VH395" s="6"/>
      <c r="VI395" s="6"/>
      <c r="VJ395" s="6"/>
      <c r="VK395" s="6"/>
      <c r="VL395" s="6"/>
      <c r="VM395" s="6"/>
      <c r="VN395" s="6"/>
      <c r="VO395" s="6"/>
      <c r="VP395" s="6"/>
      <c r="VQ395" s="6"/>
      <c r="VR395" s="6"/>
      <c r="VS395" s="6"/>
      <c r="VT395" s="6"/>
      <c r="VU395" s="6"/>
      <c r="VV395" s="6"/>
      <c r="VW395" s="6"/>
      <c r="VX395" s="6"/>
      <c r="VY395" s="6"/>
      <c r="VZ395" s="6"/>
      <c r="WA395" s="6"/>
      <c r="WB395" s="6"/>
      <c r="WC395" s="6"/>
      <c r="WD395" s="6"/>
      <c r="WE395" s="6"/>
      <c r="WF395" s="6"/>
      <c r="WG395" s="6"/>
      <c r="WH395" s="6"/>
      <c r="WI395" s="6"/>
      <c r="WJ395" s="6"/>
      <c r="WK395" s="6"/>
      <c r="WL395" s="6"/>
      <c r="WM395" s="6"/>
      <c r="WN395" s="6"/>
      <c r="WO395" s="6"/>
      <c r="WP395" s="6"/>
      <c r="WQ395" s="6"/>
      <c r="WR395" s="6"/>
      <c r="WS395" s="6"/>
      <c r="WT395" s="6"/>
      <c r="WU395" s="6"/>
      <c r="WV395" s="6"/>
      <c r="WW395" s="6"/>
      <c r="WX395" s="6"/>
      <c r="WY395" s="6"/>
      <c r="WZ395" s="6"/>
      <c r="XA395" s="6"/>
      <c r="XB395" s="6"/>
      <c r="XC395" s="6"/>
      <c r="XD395" s="6"/>
      <c r="XE395" s="6"/>
      <c r="XF395" s="6"/>
      <c r="XG395" s="6"/>
      <c r="XH395" s="6"/>
      <c r="XI395" s="6"/>
      <c r="XJ395" s="6"/>
      <c r="XK395" s="6"/>
      <c r="XL395" s="6"/>
      <c r="XM395" s="6"/>
      <c r="XN395" s="6"/>
      <c r="XO395" s="6"/>
      <c r="XP395" s="6"/>
      <c r="XQ395" s="6"/>
      <c r="XR395" s="6"/>
      <c r="XS395" s="6"/>
      <c r="XT395" s="6"/>
      <c r="XU395" s="6"/>
      <c r="XV395" s="6"/>
      <c r="XW395" s="6"/>
      <c r="XX395" s="6"/>
      <c r="XY395" s="6"/>
      <c r="XZ395" s="6"/>
      <c r="YA395" s="6"/>
      <c r="YB395" s="6"/>
      <c r="YC395" s="6"/>
      <c r="YD395" s="6"/>
      <c r="YE395" s="6"/>
      <c r="YF395" s="6"/>
      <c r="YG395" s="6"/>
      <c r="YH395" s="6"/>
      <c r="YI395" s="6"/>
      <c r="YJ395" s="6"/>
      <c r="YK395" s="6"/>
      <c r="YL395" s="6"/>
      <c r="YM395" s="6"/>
      <c r="YN395" s="6"/>
      <c r="YO395" s="6"/>
      <c r="YP395" s="6"/>
      <c r="YQ395" s="6"/>
      <c r="YR395" s="6"/>
      <c r="YS395" s="6"/>
      <c r="YT395" s="6"/>
      <c r="YU395" s="6"/>
      <c r="YV395" s="6"/>
      <c r="YW395" s="6"/>
      <c r="YX395" s="6"/>
      <c r="YY395" s="6"/>
      <c r="YZ395" s="6"/>
      <c r="ZA395" s="6"/>
      <c r="ZB395" s="6"/>
      <c r="ZC395" s="6"/>
      <c r="ZD395" s="6"/>
      <c r="ZE395" s="6"/>
      <c r="ZF395" s="6"/>
      <c r="ZG395" s="6"/>
      <c r="ZH395" s="6"/>
      <c r="ZI395" s="6"/>
      <c r="ZJ395" s="6"/>
      <c r="ZK395" s="6"/>
      <c r="ZL395" s="6"/>
      <c r="ZM395" s="6"/>
      <c r="ZN395" s="6"/>
      <c r="ZO395" s="6"/>
      <c r="ZP395" s="6"/>
      <c r="ZQ395" s="6"/>
      <c r="ZR395" s="6"/>
      <c r="ZS395" s="6"/>
      <c r="ZT395" s="6"/>
      <c r="ZU395" s="6"/>
      <c r="ZV395" s="6"/>
      <c r="ZW395" s="6"/>
      <c r="ZX395" s="6"/>
      <c r="ZY395" s="6"/>
      <c r="ZZ395" s="6"/>
      <c r="AAA395" s="6"/>
      <c r="AAB395" s="6"/>
      <c r="AAC395" s="6"/>
      <c r="AAD395" s="6"/>
      <c r="AAE395" s="6"/>
      <c r="AAF395" s="6"/>
      <c r="AAG395" s="6"/>
      <c r="AAH395" s="6"/>
      <c r="AAI395" s="6"/>
      <c r="AAJ395" s="6"/>
      <c r="AAK395" s="6"/>
      <c r="AAL395" s="6"/>
      <c r="AAM395" s="6"/>
      <c r="AAN395" s="6"/>
      <c r="AAO395" s="6"/>
      <c r="AAP395" s="6"/>
      <c r="AAQ395" s="6"/>
      <c r="AAR395" s="6"/>
      <c r="AAS395" s="6"/>
      <c r="AAT395" s="6"/>
      <c r="AAU395" s="6"/>
      <c r="AAV395" s="6"/>
      <c r="AAW395" s="6"/>
      <c r="AAX395" s="6"/>
      <c r="AAY395" s="6"/>
      <c r="AAZ395" s="6"/>
      <c r="ABA395" s="6"/>
      <c r="ABB395" s="6"/>
      <c r="ABC395" s="6"/>
      <c r="ABD395" s="6"/>
      <c r="ABE395" s="6"/>
      <c r="ABF395" s="6"/>
      <c r="ABG395" s="6"/>
      <c r="ABH395" s="6"/>
      <c r="ABI395" s="6"/>
      <c r="ABJ395" s="6"/>
      <c r="ABK395" s="6"/>
      <c r="ABL395" s="6"/>
      <c r="ABM395" s="6"/>
      <c r="ABN395" s="6"/>
      <c r="ABO395" s="6"/>
      <c r="ABP395" s="6"/>
      <c r="ABQ395" s="6"/>
      <c r="ABR395" s="6"/>
      <c r="ABS395" s="6"/>
      <c r="ABT395" s="6"/>
      <c r="ABU395" s="6"/>
      <c r="ABV395" s="6"/>
      <c r="ABW395" s="6"/>
      <c r="ABX395" s="6"/>
      <c r="ABY395" s="6"/>
      <c r="ABZ395" s="6"/>
      <c r="ACA395" s="6"/>
      <c r="ACB395" s="6"/>
      <c r="ACC395" s="6"/>
      <c r="ACD395" s="6"/>
      <c r="ACE395" s="6"/>
      <c r="ACF395" s="6"/>
      <c r="ACG395" s="6"/>
      <c r="ACH395" s="6"/>
      <c r="ACI395" s="6"/>
      <c r="ACJ395" s="6"/>
      <c r="ACK395" s="6"/>
      <c r="ACL395" s="6"/>
      <c r="ACM395" s="6"/>
      <c r="ACN395" s="6"/>
      <c r="ACO395" s="6"/>
      <c r="ACP395" s="6"/>
      <c r="ACQ395" s="6"/>
      <c r="ACR395" s="6"/>
      <c r="ACS395" s="6"/>
      <c r="ACT395" s="6"/>
      <c r="ACU395" s="6"/>
      <c r="ACV395" s="6"/>
      <c r="ACW395" s="6"/>
      <c r="ACX395" s="6"/>
      <c r="ACY395" s="6"/>
      <c r="ACZ395" s="6"/>
      <c r="ADA395" s="6"/>
      <c r="ADB395" s="6"/>
      <c r="ADC395" s="6"/>
      <c r="ADD395" s="6"/>
      <c r="ADE395" s="6"/>
      <c r="ADF395" s="6"/>
      <c r="ADG395" s="6"/>
      <c r="ADH395" s="6"/>
      <c r="ADI395" s="6"/>
      <c r="ADJ395" s="6"/>
      <c r="ADK395" s="6"/>
      <c r="ADL395" s="6"/>
      <c r="ADM395" s="6"/>
      <c r="ADN395" s="6"/>
      <c r="ADO395" s="6"/>
      <c r="ADP395" s="6"/>
      <c r="ADQ395" s="6"/>
      <c r="ADR395" s="6"/>
      <c r="ADS395" s="6"/>
      <c r="ADT395" s="6"/>
      <c r="ADU395" s="6"/>
      <c r="ADV395" s="6"/>
      <c r="ADW395" s="6"/>
      <c r="ADX395" s="6"/>
      <c r="ADY395" s="6"/>
      <c r="ADZ395" s="6"/>
      <c r="AEA395" s="6"/>
      <c r="AEB395" s="6"/>
      <c r="AEC395" s="6"/>
      <c r="AED395" s="6"/>
      <c r="AEE395" s="6"/>
      <c r="AEF395" s="6"/>
      <c r="AEG395" s="6"/>
      <c r="AEH395" s="6"/>
      <c r="AEI395" s="6"/>
      <c r="AEJ395" s="6"/>
      <c r="AEK395" s="6"/>
      <c r="AEL395" s="6"/>
      <c r="AEM395" s="6"/>
      <c r="AEN395" s="6"/>
      <c r="AEO395" s="6"/>
      <c r="AEP395" s="6"/>
      <c r="AEQ395" s="6"/>
      <c r="AER395" s="6"/>
      <c r="AES395" s="6"/>
      <c r="AET395" s="6"/>
      <c r="AEU395" s="6"/>
      <c r="AEV395" s="6"/>
      <c r="AEW395" s="6"/>
      <c r="AEX395" s="6"/>
      <c r="AEY395" s="6"/>
      <c r="AEZ395" s="6"/>
      <c r="AFA395" s="6"/>
      <c r="AFB395" s="6"/>
      <c r="AFC395" s="6"/>
      <c r="AFD395" s="6"/>
      <c r="AFE395" s="6"/>
      <c r="AFF395" s="6"/>
      <c r="AFG395" s="6"/>
      <c r="AFH395" s="6"/>
      <c r="AFI395" s="6"/>
      <c r="AFJ395" s="6"/>
      <c r="AFK395" s="6"/>
      <c r="AFL395" s="6"/>
      <c r="AFM395" s="6"/>
      <c r="AFN395" s="6"/>
      <c r="AFO395" s="6"/>
      <c r="AFP395" s="6"/>
      <c r="AFQ395" s="6"/>
      <c r="AFR395" s="6"/>
      <c r="AFS395" s="6"/>
      <c r="AFT395" s="6"/>
      <c r="AFU395" s="6"/>
      <c r="AFV395" s="6"/>
      <c r="AFW395" s="6"/>
      <c r="AFX395" s="6"/>
      <c r="AFY395" s="6"/>
      <c r="AFZ395" s="6"/>
      <c r="AGA395" s="6"/>
      <c r="AGB395" s="6"/>
      <c r="AGC395" s="6"/>
      <c r="AGD395" s="6"/>
      <c r="AGE395" s="6"/>
      <c r="AGF395" s="6"/>
      <c r="AGG395" s="6"/>
      <c r="AGH395" s="6"/>
      <c r="AGI395" s="6"/>
      <c r="AGJ395" s="6"/>
      <c r="AGK395" s="6"/>
      <c r="AGL395" s="6"/>
      <c r="AGM395" s="6"/>
      <c r="AGN395" s="6"/>
      <c r="AGO395" s="6"/>
      <c r="AGP395" s="6"/>
      <c r="AGQ395" s="6"/>
      <c r="AGR395" s="6"/>
      <c r="AGS395" s="6"/>
      <c r="AGT395" s="6"/>
      <c r="AGU395" s="6"/>
      <c r="AGV395" s="6"/>
      <c r="AGW395" s="6"/>
      <c r="AGX395" s="6"/>
      <c r="AGY395" s="6"/>
      <c r="AGZ395" s="6"/>
      <c r="AHA395" s="6"/>
      <c r="AHB395" s="6"/>
      <c r="AHC395" s="6"/>
      <c r="AHD395" s="6"/>
      <c r="AHE395" s="6"/>
      <c r="AHF395" s="6"/>
      <c r="AHG395" s="6"/>
      <c r="AHH395" s="6"/>
      <c r="AHI395" s="6"/>
      <c r="AHJ395" s="6"/>
      <c r="AHK395" s="6"/>
      <c r="AHL395" s="6"/>
      <c r="AHM395" s="6"/>
      <c r="AHN395" s="6"/>
      <c r="AHO395" s="6"/>
      <c r="AHP395" s="6"/>
      <c r="AHQ395" s="6"/>
      <c r="AHR395" s="6"/>
      <c r="AHS395" s="6"/>
      <c r="AHT395" s="6"/>
      <c r="AHU395" s="6"/>
      <c r="AHV395" s="6"/>
      <c r="AHW395" s="6"/>
      <c r="AHX395" s="6"/>
      <c r="AHY395" s="6"/>
      <c r="AHZ395" s="6"/>
      <c r="AIA395" s="6"/>
      <c r="AIB395" s="6"/>
      <c r="AIC395" s="6"/>
      <c r="AID395" s="6"/>
      <c r="AIE395" s="6"/>
      <c r="AIF395" s="6"/>
      <c r="AIG395" s="6"/>
      <c r="AIH395" s="6"/>
      <c r="AII395" s="6"/>
      <c r="AIJ395" s="6"/>
      <c r="AIK395" s="6"/>
      <c r="AIL395" s="6"/>
      <c r="AIM395" s="6"/>
      <c r="AIN395" s="6"/>
      <c r="AIO395" s="6"/>
      <c r="AIP395" s="6"/>
      <c r="AIQ395" s="6"/>
      <c r="AIR395" s="6"/>
      <c r="AIS395" s="6"/>
      <c r="AIT395" s="6"/>
      <c r="AIU395" s="6"/>
      <c r="AIV395" s="6"/>
      <c r="AIW395" s="6"/>
      <c r="AIX395" s="6"/>
      <c r="AIY395" s="6"/>
      <c r="AIZ395" s="6"/>
      <c r="AJA395" s="6"/>
      <c r="AJB395" s="6"/>
      <c r="AJC395" s="6"/>
      <c r="AJD395" s="6"/>
      <c r="AJE395" s="6"/>
      <c r="AJF395" s="6"/>
      <c r="AJG395" s="6"/>
      <c r="AJH395" s="6"/>
      <c r="AJI395" s="6"/>
      <c r="AJJ395" s="6"/>
      <c r="AJK395" s="6"/>
      <c r="AJL395" s="6"/>
      <c r="AJM395" s="6"/>
      <c r="AJN395" s="6"/>
      <c r="AJO395" s="6"/>
      <c r="AJP395" s="6"/>
      <c r="AJQ395" s="6"/>
      <c r="AJR395" s="6"/>
      <c r="AJS395" s="6"/>
      <c r="AJT395" s="6"/>
      <c r="AJU395" s="6"/>
      <c r="AJV395" s="6"/>
      <c r="AJW395" s="6"/>
      <c r="AJX395" s="6"/>
      <c r="AJY395" s="6"/>
      <c r="AJZ395" s="6"/>
      <c r="AKA395" s="6"/>
      <c r="AKB395" s="6"/>
      <c r="AKC395" s="6"/>
      <c r="AKD395" s="6"/>
      <c r="AKE395" s="6"/>
      <c r="AKF395" s="6"/>
      <c r="AKG395" s="6"/>
      <c r="AKH395" s="6"/>
      <c r="AKI395" s="6"/>
      <c r="AKJ395" s="6"/>
      <c r="AKK395" s="6"/>
      <c r="AKL395" s="6"/>
      <c r="AKM395" s="6"/>
      <c r="AKN395" s="6"/>
      <c r="AKO395" s="6"/>
      <c r="AKP395" s="6"/>
      <c r="AKQ395" s="6"/>
      <c r="AKR395" s="6"/>
      <c r="AKS395" s="6"/>
      <c r="AKT395" s="6"/>
      <c r="AKU395" s="6"/>
      <c r="AKV395" s="6"/>
      <c r="AKW395" s="6"/>
      <c r="AKX395" s="6"/>
      <c r="AKY395" s="6"/>
      <c r="AKZ395" s="6"/>
      <c r="ALA395" s="6"/>
      <c r="ALB395" s="6"/>
      <c r="ALC395" s="6"/>
      <c r="ALD395" s="6"/>
      <c r="ALE395" s="6"/>
      <c r="ALF395" s="6"/>
      <c r="ALG395" s="6"/>
      <c r="ALH395" s="6"/>
      <c r="ALI395" s="6"/>
      <c r="ALJ395" s="6"/>
      <c r="ALK395" s="6"/>
      <c r="ALL395" s="6"/>
      <c r="ALM395" s="6"/>
      <c r="ALN395" s="6"/>
      <c r="ALO395" s="6"/>
      <c r="ALP395" s="6"/>
      <c r="ALQ395" s="6"/>
      <c r="ALR395" s="6"/>
      <c r="ALS395" s="6"/>
      <c r="ALT395" s="6"/>
      <c r="ALU395" s="6"/>
      <c r="ALV395" s="6"/>
      <c r="ALW395" s="6"/>
      <c r="ALX395" s="6"/>
      <c r="ALY395" s="6"/>
      <c r="ALZ395" s="6"/>
      <c r="AMA395" s="6"/>
      <c r="AMB395" s="6"/>
      <c r="AMC395" s="6"/>
      <c r="AMD395" s="6"/>
      <c r="AME395" s="6"/>
      <c r="AMF395" s="6"/>
      <c r="AMG395" s="6"/>
      <c r="AMH395" s="6"/>
      <c r="AMI395" s="6"/>
      <c r="AMJ395" s="6"/>
      <c r="AMK395" s="6"/>
      <c r="AML395" s="6"/>
      <c r="AMM395" s="6"/>
      <c r="AMN395" s="6"/>
      <c r="AMO395" s="6"/>
      <c r="AMP395" s="6"/>
    </row>
    <row r="396" spans="1:1030" s="12" customFormat="1" x14ac:dyDescent="0.2">
      <c r="A396" s="9" t="str">
        <f t="shared" ref="A396" si="3383">CONCATENATE(B396,"_",C396)</f>
        <v>calcr_human_6NIY</v>
      </c>
      <c r="B396" s="40" t="s">
        <v>401</v>
      </c>
      <c r="C396" s="9" t="s">
        <v>1551</v>
      </c>
      <c r="D396" s="9" t="str">
        <f>IFERROR(MID(VLOOKUP($B396,Seqs!$A:$B,2,0),E396,1),"")</f>
        <v>T</v>
      </c>
      <c r="E396" s="9">
        <v>138</v>
      </c>
      <c r="F396" s="9" t="str">
        <f>IFERROR(MID(VLOOKUP($B396,Seqs!$A:$B,2,0),G396,1),"")</f>
        <v>F</v>
      </c>
      <c r="G396" s="9">
        <v>173</v>
      </c>
      <c r="H396" s="9" t="str">
        <f>IFERROR(MID(VLOOKUP($B396,Seqs!$A:$B,2,0),I396,1),"")</f>
        <v>R</v>
      </c>
      <c r="I396" s="109">
        <v>174</v>
      </c>
      <c r="J396" s="9" t="str">
        <f>IFERROR(MID(VLOOKUP($B396,Seqs!$A:$B,2,0),K396,1),"")</f>
        <v>G</v>
      </c>
      <c r="K396" s="109">
        <v>177</v>
      </c>
      <c r="L396" s="9" t="str">
        <f>IFERROR(MID(VLOOKUP($B396,Seqs!$A:$B,2,0),M396,1),"")</f>
        <v>C</v>
      </c>
      <c r="M396" s="9">
        <v>178</v>
      </c>
      <c r="N396" s="9" t="str">
        <f>IFERROR(MID(VLOOKUP($B396,Seqs!$A:$B,2,0),O396,1),"")</f>
        <v>V</v>
      </c>
      <c r="O396" s="9">
        <v>205</v>
      </c>
      <c r="P396" s="9" t="str">
        <f>IFERROR(MID(VLOOKUP($B396,Seqs!$A:$B,2,0),Q396,1),"")</f>
        <v/>
      </c>
      <c r="Q396" s="9" t="s">
        <v>23</v>
      </c>
      <c r="R396" s="9" t="str">
        <f>IFERROR(MID(VLOOKUP($B396,Seqs!$A:$B,2,0),S396,1),"")</f>
        <v/>
      </c>
      <c r="S396" s="9" t="s">
        <v>23</v>
      </c>
      <c r="T396" s="9" t="str">
        <f>IFERROR(MID(VLOOKUP($B396,Seqs!$A:$B,2,0),U396,1),"")</f>
        <v>V</v>
      </c>
      <c r="U396" s="9">
        <v>217</v>
      </c>
      <c r="V396" s="9" t="str">
        <f>IFERROR(MID(VLOOKUP($B396,Seqs!$A:$B,2,0),W396,1),"")</f>
        <v>V</v>
      </c>
      <c r="W396" s="9">
        <v>250</v>
      </c>
      <c r="X396" s="9" t="str">
        <f>IFERROR(MID(VLOOKUP($B396,Seqs!$A:$B,2,0),Y396,1),"")</f>
        <v/>
      </c>
      <c r="Y396" s="9" t="s">
        <v>23</v>
      </c>
      <c r="Z396" s="9" t="str">
        <f>IFERROR(MID(VLOOKUP($B396,Seqs!$A:$B,2,0),AA396,1),"")</f>
        <v/>
      </c>
      <c r="AA396" s="9" t="s">
        <v>23</v>
      </c>
      <c r="AB396" s="9" t="str">
        <f>IFERROR(MID(VLOOKUP($B396,Seqs!$A:$B,2,0),AC396,1),"")</f>
        <v>R</v>
      </c>
      <c r="AC396" s="9">
        <v>258</v>
      </c>
      <c r="AD396" s="9" t="str">
        <f>IFERROR(MID(VLOOKUP($B396,Seqs!$A:$B,2,0),AE396,1),"")</f>
        <v>F</v>
      </c>
      <c r="AE396" s="9">
        <v>285</v>
      </c>
      <c r="AF396" s="9" t="str">
        <f>IFERROR(MID(VLOOKUP($B396,Seqs!$A:$B,2,0),AG396,1),"")</f>
        <v>C</v>
      </c>
      <c r="AG396" s="9">
        <v>289</v>
      </c>
      <c r="AH396" s="9" t="str">
        <f>IFERROR(MID(VLOOKUP($B396,Seqs!$A:$B,2,0),AI396,1),"")</f>
        <v>L</v>
      </c>
      <c r="AI396" s="9">
        <v>291</v>
      </c>
      <c r="AJ396" s="9" t="str">
        <f>IFERROR(MID(VLOOKUP($B396,Seqs!$A:$B,2,0),AK396,1),"")</f>
        <v>L</v>
      </c>
      <c r="AK396" s="9">
        <v>298</v>
      </c>
      <c r="AL396" s="9" t="str">
        <f>IFERROR(MID(VLOOKUP($B396,Seqs!$A:$B,2,0),AM396,1),"")</f>
        <v>T</v>
      </c>
      <c r="AM396" s="9">
        <v>330</v>
      </c>
      <c r="AN396" s="9" t="str">
        <f>IFERROR(MID(VLOOKUP($B396,Seqs!$A:$B,2,0),AO396,1),"")</f>
        <v>H</v>
      </c>
      <c r="AO396" s="9">
        <v>336</v>
      </c>
      <c r="AP396" s="9" t="str">
        <f>IFERROR(MID(VLOOKUP($B396,Seqs!$A:$B,2,0),AQ396,1),"")</f>
        <v>F</v>
      </c>
      <c r="AQ396" s="9">
        <v>359</v>
      </c>
      <c r="AR396" s="9" t="str">
        <f>IFERROR(MID(VLOOKUP($B396,Seqs!$A:$B,2,0),AS396,1),"")</f>
        <v>N</v>
      </c>
      <c r="AS396" s="9">
        <v>365</v>
      </c>
      <c r="AT396" s="9" t="str">
        <f>IFERROR(MID(VLOOKUP($B396,Seqs!$A:$B,2,0),AU396,1),"")</f>
        <v>C</v>
      </c>
      <c r="AU396" s="9">
        <v>394</v>
      </c>
      <c r="AV396" s="9" t="str">
        <f>IFERROR(MID(VLOOKUP($B396,Seqs!$A:$B,2,0),AW396,1),"")</f>
        <v>N</v>
      </c>
      <c r="AW396" s="9">
        <v>395</v>
      </c>
      <c r="AX396" s="9" t="str">
        <f>IFERROR(MID(VLOOKUP($B396,Seqs!$A:$B,2,0),AY396,1),"")</f>
        <v>Q</v>
      </c>
      <c r="AY396" s="9">
        <v>412</v>
      </c>
      <c r="AZ396" s="110" t="str">
        <f>VLOOKUP(B396,Classification!A:D,2,0)</f>
        <v>B1</v>
      </c>
      <c r="BA396" s="98" t="str">
        <f>VLOOKUP(B396,Classification!A:D,4,0)</f>
        <v>Calcitonin</v>
      </c>
      <c r="BB396" s="36" t="b">
        <f t="shared" ref="BB396" si="3384">AND(E396&lt;G396,OR(G396&lt;I396,I396="-"),OR(I396&lt;K396,I396="-"),OR(K396&lt;M396,K396="-"),M396&lt;O396,OR(O396&lt;Q396,Q396="-"),OR(Q396&lt;S396,Q396="-"),OR(S396&lt;U396,S396="-"),U396&lt;W396,OR(W396&lt;Y396,Y396="-"),OR(Y396&lt;AA396,Y396="-"),OR(AA396&lt;AC396,AA396="-"),AC396&lt;AE396,OR(AE396&lt;AG396,AG396="-"),OR(AG396&lt;AI396,AG396="-"),OR(AI396&lt;AK396,AI396="-"),AK396&lt;AM396,AM396&lt;AO396,AO396&lt;AQ396,AQ396&lt;AS396,AS396&lt;AU396,OR(AU396&lt;AW396,AW396="-"),OR(AW396&lt;AY396,AW396="-"))</f>
        <v>1</v>
      </c>
      <c r="BC396" s="109">
        <f t="shared" ref="BC396" si="3385">_xlfn.AGGREGATE(9,6,CH396:CS396)-_xlfn.AGGREGATE(9,6,BV396:CG396)+12</f>
        <v>240</v>
      </c>
      <c r="BD396" s="11" t="s">
        <v>1375</v>
      </c>
      <c r="BE396" s="9" t="s">
        <v>1291</v>
      </c>
      <c r="BF396" s="119">
        <v>3.34</v>
      </c>
      <c r="BG396" s="51" t="s">
        <v>1422</v>
      </c>
      <c r="BH396" s="51" t="s">
        <v>1422</v>
      </c>
      <c r="BJ396" s="111" t="s">
        <v>1287</v>
      </c>
      <c r="BK396" s="112" t="s">
        <v>1287</v>
      </c>
      <c r="BL396" s="112" t="s">
        <v>1287</v>
      </c>
      <c r="BM396" s="112" t="s">
        <v>1287</v>
      </c>
      <c r="BN396" s="112" t="s">
        <v>1287</v>
      </c>
      <c r="BO396" s="112" t="s">
        <v>1287</v>
      </c>
      <c r="BP396" s="112" t="s">
        <v>1287</v>
      </c>
      <c r="BQ396" s="112" t="s">
        <v>1287</v>
      </c>
      <c r="BR396" s="112" t="s">
        <v>1287</v>
      </c>
      <c r="BS396" s="112" t="s">
        <v>1287</v>
      </c>
      <c r="BT396" s="112" t="s">
        <v>1287</v>
      </c>
      <c r="BU396" s="112" t="s">
        <v>1287</v>
      </c>
      <c r="BV396" s="111">
        <f t="shared" ref="BV396" si="3386">E396</f>
        <v>138</v>
      </c>
      <c r="BW396" s="113">
        <f t="shared" ref="BW396" si="3387">I396</f>
        <v>174</v>
      </c>
      <c r="BX396" s="114">
        <f t="shared" ref="BX396" si="3388">M396</f>
        <v>178</v>
      </c>
      <c r="BY396" s="113" t="str">
        <f t="shared" ref="BY396" si="3389">Q396</f>
        <v>-</v>
      </c>
      <c r="BZ396" s="114">
        <f t="shared" ref="BZ396" si="3390">U396</f>
        <v>217</v>
      </c>
      <c r="CA396" s="113" t="str">
        <f t="shared" ref="CA396" si="3391">Y396</f>
        <v>-</v>
      </c>
      <c r="CB396" s="114">
        <f t="shared" ref="CB396" si="3392">AC396</f>
        <v>258</v>
      </c>
      <c r="CC396" s="113">
        <f t="shared" ref="CC396" si="3393">AG396</f>
        <v>289</v>
      </c>
      <c r="CD396" s="114">
        <f t="shared" ref="CD396" si="3394">AK396</f>
        <v>298</v>
      </c>
      <c r="CE396" s="113">
        <f t="shared" ref="CE396" si="3395">AO396</f>
        <v>336</v>
      </c>
      <c r="CF396" s="114">
        <f t="shared" ref="CF396" si="3396">AS396</f>
        <v>365</v>
      </c>
      <c r="CG396" s="113">
        <f t="shared" ref="CG396" si="3397">AW396</f>
        <v>395</v>
      </c>
      <c r="CH396" s="111">
        <f t="shared" ref="CH396" si="3398">G396</f>
        <v>173</v>
      </c>
      <c r="CI396" s="113">
        <f t="shared" ref="CI396" si="3399">K396</f>
        <v>177</v>
      </c>
      <c r="CJ396" s="114">
        <f t="shared" ref="CJ396" si="3400">O396</f>
        <v>205</v>
      </c>
      <c r="CK396" s="114" t="str">
        <f t="shared" ref="CK396" si="3401">S396</f>
        <v>-</v>
      </c>
      <c r="CL396" s="114">
        <f t="shared" ref="CL396" si="3402">W396</f>
        <v>250</v>
      </c>
      <c r="CM396" s="114" t="str">
        <f t="shared" ref="CM396" si="3403">AA396</f>
        <v>-</v>
      </c>
      <c r="CN396" s="114">
        <f t="shared" ref="CN396" si="3404">AE396</f>
        <v>285</v>
      </c>
      <c r="CO396" s="114">
        <f t="shared" ref="CO396" si="3405">AI396</f>
        <v>291</v>
      </c>
      <c r="CP396" s="114">
        <f t="shared" ref="CP396" si="3406">AM396</f>
        <v>330</v>
      </c>
      <c r="CQ396" s="114">
        <f t="shared" ref="CQ396" si="3407">AQ396</f>
        <v>359</v>
      </c>
      <c r="CR396" s="114">
        <f t="shared" ref="CR396" si="3408">AU396</f>
        <v>394</v>
      </c>
      <c r="CS396" s="114">
        <f t="shared" ref="CS396" si="3409">AY396</f>
        <v>412</v>
      </c>
      <c r="CT396" s="109">
        <f t="shared" ref="CT396" si="3410">M396-K396</f>
        <v>1</v>
      </c>
      <c r="CU396" s="128"/>
      <c r="CV396" s="128"/>
      <c r="CW396" s="128"/>
      <c r="CX396" s="128"/>
      <c r="CY396" s="128"/>
      <c r="CZ396" s="128"/>
      <c r="DA396" s="128"/>
      <c r="DB396" s="128"/>
      <c r="DC396" s="128"/>
      <c r="DD396" s="128"/>
      <c r="DE396" s="128"/>
      <c r="DF396" s="128"/>
      <c r="DG396" s="128"/>
      <c r="DH396" s="128"/>
      <c r="DI396" s="128"/>
      <c r="DJ396" s="128"/>
      <c r="DK396" s="128"/>
      <c r="DL396" s="128"/>
      <c r="DM396" s="128"/>
      <c r="DN396" s="128"/>
      <c r="DO396" s="128"/>
      <c r="DP396" s="128"/>
      <c r="DQ396" s="128"/>
      <c r="DR396" s="128"/>
      <c r="DS396" s="128"/>
      <c r="DT396" s="128"/>
      <c r="DU396" s="128"/>
      <c r="DV396" s="128"/>
      <c r="DW396" s="128"/>
      <c r="DX396" s="128"/>
      <c r="DY396" s="128"/>
      <c r="DZ396" s="128"/>
      <c r="EA396" s="128"/>
      <c r="EB396" s="128"/>
      <c r="EC396" s="128"/>
      <c r="ED396" s="128"/>
      <c r="EE396" s="128"/>
      <c r="EF396" s="128"/>
      <c r="EG396" s="128"/>
      <c r="EH396" s="128"/>
      <c r="EI396" s="128"/>
      <c r="EJ396" s="128"/>
      <c r="EK396" s="128"/>
      <c r="EL396" s="128"/>
      <c r="EM396" s="128"/>
      <c r="EN396" s="128"/>
      <c r="EO396" s="128"/>
      <c r="EP396" s="128"/>
      <c r="EQ396" s="128"/>
      <c r="ER396" s="128"/>
      <c r="ES396" s="128"/>
      <c r="ET396" s="128"/>
      <c r="EU396" s="128"/>
      <c r="EV396" s="128"/>
      <c r="EW396" s="128"/>
      <c r="EX396" s="128"/>
      <c r="EY396" s="128"/>
      <c r="EZ396" s="128"/>
      <c r="FA396" s="128"/>
      <c r="FB396" s="128"/>
      <c r="FC396" s="128"/>
      <c r="FD396" s="128"/>
      <c r="FE396" s="128"/>
      <c r="FF396" s="128"/>
      <c r="FG396" s="128"/>
      <c r="FH396" s="128"/>
      <c r="FI396" s="128"/>
      <c r="FJ396" s="128"/>
      <c r="FK396" s="128"/>
      <c r="FL396" s="128"/>
      <c r="FM396" s="128"/>
      <c r="FN396" s="128"/>
      <c r="FO396" s="128"/>
      <c r="FP396" s="128"/>
      <c r="FQ396" s="128"/>
      <c r="FR396" s="128"/>
      <c r="FS396" s="128"/>
      <c r="FT396" s="128"/>
      <c r="FU396" s="128"/>
      <c r="FV396" s="128"/>
      <c r="FW396" s="128"/>
      <c r="FX396" s="128"/>
      <c r="FY396" s="128"/>
      <c r="FZ396" s="128"/>
      <c r="GA396" s="128"/>
      <c r="GB396" s="128"/>
      <c r="GC396" s="128"/>
      <c r="GD396" s="128"/>
      <c r="GE396" s="128"/>
      <c r="GF396" s="128"/>
      <c r="GG396" s="128"/>
      <c r="GH396" s="128"/>
      <c r="GI396" s="128"/>
      <c r="GJ396" s="128"/>
      <c r="GK396" s="128"/>
      <c r="GL396" s="128"/>
      <c r="GM396" s="128"/>
      <c r="GN396" s="128"/>
      <c r="GO396" s="128"/>
      <c r="GP396" s="128"/>
      <c r="GQ396" s="128"/>
      <c r="GR396" s="128"/>
      <c r="GS396" s="128"/>
      <c r="GT396" s="128"/>
      <c r="GU396" s="128"/>
      <c r="GV396" s="128"/>
      <c r="GW396" s="128"/>
      <c r="GX396" s="128"/>
      <c r="GY396" s="128"/>
      <c r="GZ396" s="128"/>
      <c r="HA396" s="128"/>
      <c r="HB396" s="128"/>
      <c r="HC396" s="128"/>
      <c r="HD396" s="128"/>
      <c r="HE396" s="128"/>
      <c r="HF396" s="128"/>
      <c r="HG396" s="128"/>
      <c r="HH396" s="128"/>
      <c r="HI396" s="128"/>
      <c r="HJ396" s="128"/>
      <c r="HK396" s="128"/>
      <c r="HL396" s="128"/>
      <c r="HM396" s="128"/>
      <c r="HN396" s="128"/>
      <c r="HO396" s="128"/>
      <c r="HP396" s="128"/>
      <c r="HQ396" s="128"/>
      <c r="HR396" s="128"/>
      <c r="HS396" s="128"/>
      <c r="HT396" s="128"/>
      <c r="HU396" s="128"/>
      <c r="HV396" s="128"/>
      <c r="HW396" s="128"/>
      <c r="HX396" s="128"/>
      <c r="HY396" s="128"/>
      <c r="HZ396" s="128"/>
      <c r="IA396" s="128"/>
      <c r="IB396" s="128"/>
      <c r="IC396" s="128"/>
      <c r="ID396" s="128"/>
      <c r="IE396" s="128"/>
      <c r="IF396" s="128"/>
      <c r="IG396" s="128"/>
      <c r="IH396" s="128"/>
      <c r="II396" s="128"/>
      <c r="IJ396" s="128"/>
      <c r="IK396" s="128"/>
      <c r="IL396" s="128"/>
      <c r="IM396" s="128"/>
      <c r="IN396" s="128"/>
      <c r="IO396" s="128"/>
      <c r="IP396" s="128"/>
      <c r="IQ396" s="128"/>
      <c r="IR396" s="128"/>
      <c r="IS396" s="128"/>
      <c r="IT396" s="128"/>
      <c r="IU396" s="128"/>
      <c r="IV396" s="128"/>
      <c r="IW396" s="128"/>
      <c r="IX396" s="128"/>
      <c r="IY396" s="128"/>
      <c r="IZ396" s="128"/>
      <c r="JA396" s="128"/>
      <c r="JB396" s="128"/>
      <c r="JC396" s="128"/>
      <c r="JD396" s="128"/>
      <c r="JE396" s="128"/>
      <c r="JF396" s="128"/>
      <c r="JG396" s="128"/>
      <c r="JH396" s="128"/>
      <c r="JI396" s="128"/>
      <c r="JJ396" s="128"/>
      <c r="JK396" s="128"/>
      <c r="JL396" s="128"/>
      <c r="JM396" s="128"/>
      <c r="JN396" s="128"/>
      <c r="JO396" s="128"/>
      <c r="JP396" s="128"/>
      <c r="JQ396" s="128"/>
      <c r="JR396" s="128"/>
      <c r="JS396" s="128"/>
      <c r="JT396" s="128"/>
      <c r="JU396" s="128"/>
      <c r="JV396" s="128"/>
      <c r="JW396" s="128"/>
      <c r="JX396" s="128"/>
      <c r="JY396" s="128"/>
      <c r="JZ396" s="128"/>
      <c r="KA396" s="128"/>
      <c r="KB396" s="128"/>
      <c r="KC396" s="128"/>
      <c r="KD396" s="128"/>
      <c r="KE396" s="128"/>
      <c r="KF396" s="128"/>
      <c r="KG396" s="128"/>
      <c r="KH396" s="128"/>
      <c r="KI396" s="128"/>
      <c r="KJ396" s="128"/>
      <c r="KK396" s="128"/>
      <c r="KL396" s="128"/>
      <c r="KM396" s="128"/>
      <c r="KN396" s="128"/>
      <c r="KO396" s="128"/>
      <c r="KP396" s="128"/>
      <c r="KQ396" s="128"/>
      <c r="KR396" s="128"/>
      <c r="KS396" s="128"/>
      <c r="KT396" s="128"/>
      <c r="KU396" s="128"/>
      <c r="KV396" s="128"/>
      <c r="KW396" s="128"/>
      <c r="KX396" s="128"/>
      <c r="KY396" s="128"/>
      <c r="KZ396" s="128"/>
      <c r="LA396" s="128"/>
      <c r="LB396" s="128"/>
      <c r="LC396" s="128"/>
      <c r="LD396" s="128"/>
      <c r="LE396" s="128"/>
      <c r="LF396" s="128"/>
      <c r="LG396" s="128"/>
      <c r="LH396" s="128"/>
      <c r="LI396" s="128"/>
      <c r="LJ396" s="128"/>
      <c r="LK396" s="128"/>
      <c r="LL396" s="128"/>
      <c r="LM396" s="128"/>
      <c r="LN396" s="128"/>
      <c r="LO396" s="128"/>
      <c r="LP396" s="128"/>
      <c r="LQ396" s="128"/>
      <c r="LR396" s="128"/>
      <c r="LS396" s="128"/>
      <c r="LT396" s="128"/>
      <c r="LU396" s="128"/>
      <c r="LV396" s="128"/>
      <c r="LW396" s="128"/>
      <c r="LX396" s="128"/>
      <c r="LY396" s="128"/>
      <c r="LZ396" s="128"/>
      <c r="MA396" s="128"/>
      <c r="MB396" s="128"/>
      <c r="MC396" s="128"/>
      <c r="MD396" s="128"/>
      <c r="ME396" s="128"/>
      <c r="MF396" s="128"/>
      <c r="MG396" s="128"/>
      <c r="MH396" s="128"/>
      <c r="MI396" s="128"/>
      <c r="MJ396" s="128"/>
      <c r="MK396" s="128"/>
      <c r="ML396" s="128"/>
      <c r="MM396" s="128"/>
      <c r="MN396" s="128"/>
      <c r="MO396" s="128"/>
      <c r="MP396" s="128"/>
      <c r="MQ396" s="128"/>
      <c r="MR396" s="128"/>
      <c r="MS396" s="128"/>
      <c r="MT396" s="128"/>
      <c r="MU396" s="128"/>
      <c r="MV396" s="128"/>
      <c r="MW396" s="128"/>
      <c r="MX396" s="128"/>
      <c r="MY396" s="128"/>
      <c r="MZ396" s="128"/>
      <c r="NA396" s="128"/>
      <c r="NB396" s="128"/>
      <c r="NC396" s="128"/>
      <c r="ND396" s="128"/>
      <c r="NE396" s="128"/>
      <c r="NF396" s="128"/>
      <c r="NG396" s="128"/>
      <c r="NH396" s="128"/>
      <c r="NI396" s="128"/>
      <c r="NJ396" s="128"/>
      <c r="NK396" s="128"/>
      <c r="NL396" s="128"/>
      <c r="NM396" s="128"/>
      <c r="NN396" s="128"/>
      <c r="NO396" s="128"/>
      <c r="NP396" s="128"/>
      <c r="NQ396" s="128"/>
      <c r="NR396" s="128"/>
      <c r="NS396" s="128"/>
      <c r="NT396" s="128"/>
      <c r="NU396" s="128"/>
      <c r="NV396" s="128"/>
      <c r="NW396" s="128"/>
      <c r="NX396" s="128"/>
      <c r="NY396" s="128"/>
      <c r="NZ396" s="128"/>
      <c r="OA396" s="128"/>
      <c r="OB396" s="128"/>
      <c r="OC396" s="128"/>
      <c r="OD396" s="128"/>
      <c r="OE396" s="128"/>
      <c r="OF396" s="128"/>
      <c r="OG396" s="128"/>
      <c r="OH396" s="128"/>
      <c r="OI396" s="128"/>
      <c r="OJ396" s="128"/>
      <c r="OK396" s="128"/>
      <c r="OL396" s="128"/>
      <c r="OM396" s="128"/>
      <c r="ON396" s="128"/>
      <c r="OO396" s="128"/>
      <c r="OP396" s="128"/>
      <c r="OQ396" s="128"/>
      <c r="OR396" s="128"/>
      <c r="OS396" s="128"/>
      <c r="OT396" s="128"/>
      <c r="OU396" s="128"/>
      <c r="OV396" s="128"/>
      <c r="OW396" s="128"/>
      <c r="OX396" s="128"/>
      <c r="OY396" s="128"/>
      <c r="OZ396" s="128"/>
      <c r="PA396" s="128"/>
      <c r="PB396" s="128"/>
      <c r="PC396" s="128"/>
      <c r="PD396" s="128"/>
      <c r="PE396" s="128"/>
      <c r="PF396" s="128"/>
      <c r="PG396" s="128"/>
      <c r="PH396" s="128"/>
      <c r="PI396" s="128"/>
      <c r="PJ396" s="128"/>
      <c r="PK396" s="128"/>
      <c r="PL396" s="128"/>
      <c r="PM396" s="128"/>
      <c r="PN396" s="128"/>
      <c r="PO396" s="128"/>
      <c r="PP396" s="128"/>
      <c r="PQ396" s="128"/>
      <c r="PR396" s="128"/>
      <c r="PS396" s="128"/>
      <c r="PT396" s="128"/>
      <c r="PU396" s="128"/>
      <c r="PV396" s="128"/>
      <c r="PW396" s="128"/>
      <c r="PX396" s="128"/>
      <c r="PY396" s="128"/>
      <c r="PZ396" s="128"/>
      <c r="QA396" s="128"/>
      <c r="QB396" s="128"/>
      <c r="QC396" s="128"/>
      <c r="QD396" s="128"/>
      <c r="QE396" s="128"/>
      <c r="QF396" s="128"/>
      <c r="QG396" s="128"/>
      <c r="QH396" s="128"/>
      <c r="QI396" s="128"/>
      <c r="QJ396" s="128"/>
      <c r="QK396" s="128"/>
      <c r="QL396" s="128"/>
      <c r="QM396" s="128"/>
      <c r="QN396" s="128"/>
      <c r="QO396" s="128"/>
      <c r="QP396" s="128"/>
      <c r="QQ396" s="128"/>
      <c r="QR396" s="128"/>
      <c r="QS396" s="128"/>
      <c r="QT396" s="128"/>
      <c r="QU396" s="128"/>
      <c r="QV396" s="128"/>
      <c r="QW396" s="128"/>
      <c r="QX396" s="128"/>
      <c r="QY396" s="128"/>
      <c r="QZ396" s="128"/>
      <c r="RA396" s="128"/>
      <c r="RB396" s="128"/>
      <c r="RC396" s="128"/>
      <c r="RD396" s="128"/>
      <c r="RE396" s="128"/>
      <c r="RF396" s="128"/>
      <c r="RG396" s="128"/>
      <c r="RH396" s="128"/>
      <c r="RI396" s="128"/>
      <c r="RJ396" s="128"/>
      <c r="RK396" s="128"/>
      <c r="RL396" s="128"/>
      <c r="RM396" s="128"/>
      <c r="RN396" s="128"/>
      <c r="RO396" s="128"/>
      <c r="RP396" s="128"/>
      <c r="RQ396" s="128"/>
      <c r="RR396" s="128"/>
      <c r="RS396" s="128"/>
      <c r="RT396" s="128"/>
      <c r="RU396" s="128"/>
      <c r="RV396" s="128"/>
      <c r="RW396" s="128"/>
      <c r="RX396" s="128"/>
      <c r="RY396" s="128"/>
      <c r="RZ396" s="128"/>
      <c r="SA396" s="128"/>
      <c r="SB396" s="128"/>
      <c r="SC396" s="128"/>
      <c r="SD396" s="128"/>
      <c r="SE396" s="128"/>
      <c r="SF396" s="128"/>
      <c r="SG396" s="128"/>
      <c r="SH396" s="128"/>
      <c r="SI396" s="128"/>
      <c r="SJ396" s="128"/>
      <c r="SK396" s="128"/>
      <c r="SL396" s="128"/>
      <c r="SM396" s="128"/>
      <c r="SN396" s="128"/>
      <c r="SO396" s="128"/>
      <c r="SP396" s="128"/>
      <c r="SQ396" s="128"/>
      <c r="SR396" s="128"/>
      <c r="SS396" s="128"/>
      <c r="ST396" s="128"/>
      <c r="SU396" s="128"/>
      <c r="SV396" s="128"/>
      <c r="SW396" s="128"/>
      <c r="SX396" s="128"/>
      <c r="SY396" s="128"/>
      <c r="SZ396" s="128"/>
      <c r="TA396" s="128"/>
      <c r="TB396" s="128"/>
      <c r="TC396" s="128"/>
      <c r="TD396" s="128"/>
      <c r="TE396" s="128"/>
      <c r="TF396" s="128"/>
      <c r="TG396" s="128"/>
      <c r="TH396" s="128"/>
      <c r="TI396" s="128"/>
      <c r="TJ396" s="128"/>
      <c r="TK396" s="128"/>
      <c r="TL396" s="128"/>
      <c r="TM396" s="128"/>
      <c r="TN396" s="128"/>
      <c r="TO396" s="128"/>
      <c r="TP396" s="128"/>
      <c r="TQ396" s="128"/>
      <c r="TR396" s="128"/>
      <c r="TS396" s="128"/>
      <c r="TT396" s="128"/>
      <c r="TU396" s="128"/>
      <c r="TV396" s="128"/>
      <c r="TW396" s="128"/>
      <c r="TX396" s="128"/>
      <c r="TY396" s="128"/>
      <c r="TZ396" s="128"/>
      <c r="UA396" s="128"/>
      <c r="UB396" s="128"/>
      <c r="UC396" s="128"/>
      <c r="UD396" s="128"/>
      <c r="UE396" s="128"/>
      <c r="UF396" s="128"/>
      <c r="UG396" s="128"/>
      <c r="UH396" s="128"/>
      <c r="UI396" s="128"/>
      <c r="UJ396" s="128"/>
      <c r="UK396" s="128"/>
      <c r="UL396" s="128"/>
      <c r="UM396" s="128"/>
      <c r="UN396" s="128"/>
      <c r="UO396" s="128"/>
      <c r="UP396" s="128"/>
      <c r="UQ396" s="128"/>
      <c r="UR396" s="128"/>
      <c r="US396" s="128"/>
      <c r="UT396" s="128"/>
      <c r="UU396" s="128"/>
      <c r="UV396" s="128"/>
      <c r="UW396" s="128"/>
      <c r="UX396" s="128"/>
      <c r="UY396" s="128"/>
      <c r="UZ396" s="128"/>
      <c r="VA396" s="128"/>
      <c r="VB396" s="128"/>
      <c r="VC396" s="128"/>
      <c r="VD396" s="128"/>
      <c r="VE396" s="128"/>
      <c r="VF396" s="128"/>
      <c r="VG396" s="128"/>
      <c r="VH396" s="128"/>
      <c r="VI396" s="128"/>
      <c r="VJ396" s="128"/>
      <c r="VK396" s="128"/>
      <c r="VL396" s="128"/>
      <c r="VM396" s="128"/>
      <c r="VN396" s="128"/>
      <c r="VO396" s="128"/>
      <c r="VP396" s="128"/>
      <c r="VQ396" s="128"/>
      <c r="VR396" s="128"/>
      <c r="VS396" s="128"/>
      <c r="VT396" s="128"/>
      <c r="VU396" s="128"/>
      <c r="VV396" s="128"/>
      <c r="VW396" s="128"/>
      <c r="VX396" s="128"/>
      <c r="VY396" s="128"/>
      <c r="VZ396" s="128"/>
      <c r="WA396" s="128"/>
      <c r="WB396" s="128"/>
      <c r="WC396" s="128"/>
      <c r="WD396" s="128"/>
      <c r="WE396" s="128"/>
      <c r="WF396" s="128"/>
      <c r="WG396" s="128"/>
      <c r="WH396" s="128"/>
      <c r="WI396" s="128"/>
      <c r="WJ396" s="128"/>
      <c r="WK396" s="128"/>
      <c r="WL396" s="128"/>
      <c r="WM396" s="128"/>
      <c r="WN396" s="128"/>
      <c r="WO396" s="128"/>
      <c r="WP396" s="128"/>
      <c r="WQ396" s="128"/>
      <c r="WR396" s="128"/>
      <c r="WS396" s="128"/>
      <c r="WT396" s="128"/>
      <c r="WU396" s="128"/>
      <c r="WV396" s="128"/>
      <c r="WW396" s="128"/>
      <c r="WX396" s="128"/>
      <c r="WY396" s="128"/>
      <c r="WZ396" s="128"/>
      <c r="XA396" s="128"/>
      <c r="XB396" s="128"/>
      <c r="XC396" s="128"/>
      <c r="XD396" s="128"/>
      <c r="XE396" s="128"/>
      <c r="XF396" s="128"/>
      <c r="XG396" s="128"/>
      <c r="XH396" s="128"/>
      <c r="XI396" s="128"/>
      <c r="XJ396" s="128"/>
      <c r="XK396" s="128"/>
      <c r="XL396" s="128"/>
      <c r="XM396" s="128"/>
      <c r="XN396" s="128"/>
      <c r="XO396" s="128"/>
      <c r="XP396" s="128"/>
      <c r="XQ396" s="128"/>
      <c r="XR396" s="128"/>
      <c r="XS396" s="128"/>
      <c r="XT396" s="128"/>
      <c r="XU396" s="128"/>
      <c r="XV396" s="128"/>
      <c r="XW396" s="128"/>
      <c r="XX396" s="128"/>
      <c r="XY396" s="128"/>
      <c r="XZ396" s="128"/>
      <c r="YA396" s="128"/>
      <c r="YB396" s="128"/>
      <c r="YC396" s="128"/>
      <c r="YD396" s="128"/>
      <c r="YE396" s="128"/>
      <c r="YF396" s="128"/>
      <c r="YG396" s="128"/>
      <c r="YH396" s="128"/>
      <c r="YI396" s="128"/>
      <c r="YJ396" s="128"/>
      <c r="YK396" s="128"/>
      <c r="YL396" s="128"/>
      <c r="YM396" s="128"/>
      <c r="YN396" s="128"/>
      <c r="YO396" s="128"/>
      <c r="YP396" s="128"/>
      <c r="YQ396" s="128"/>
      <c r="YR396" s="128"/>
      <c r="YS396" s="128"/>
      <c r="YT396" s="128"/>
      <c r="YU396" s="128"/>
      <c r="YV396" s="128"/>
      <c r="YW396" s="128"/>
      <c r="YX396" s="128"/>
      <c r="YY396" s="128"/>
      <c r="YZ396" s="128"/>
      <c r="ZA396" s="128"/>
      <c r="ZB396" s="128"/>
      <c r="ZC396" s="128"/>
      <c r="ZD396" s="128"/>
      <c r="ZE396" s="128"/>
      <c r="ZF396" s="128"/>
      <c r="ZG396" s="128"/>
      <c r="ZH396" s="128"/>
      <c r="ZI396" s="128"/>
      <c r="ZJ396" s="128"/>
      <c r="ZK396" s="128"/>
      <c r="ZL396" s="128"/>
      <c r="ZM396" s="128"/>
      <c r="ZN396" s="128"/>
      <c r="ZO396" s="128"/>
      <c r="ZP396" s="128"/>
      <c r="ZQ396" s="128"/>
      <c r="ZR396" s="128"/>
      <c r="ZS396" s="128"/>
      <c r="ZT396" s="128"/>
      <c r="ZU396" s="128"/>
      <c r="ZV396" s="128"/>
      <c r="ZW396" s="128"/>
      <c r="ZX396" s="128"/>
      <c r="ZY396" s="128"/>
      <c r="ZZ396" s="128"/>
      <c r="AAA396" s="128"/>
      <c r="AAB396" s="128"/>
      <c r="AAC396" s="128"/>
      <c r="AAD396" s="128"/>
      <c r="AAE396" s="128"/>
      <c r="AAF396" s="128"/>
      <c r="AAG396" s="128"/>
      <c r="AAH396" s="128"/>
      <c r="AAI396" s="128"/>
      <c r="AAJ396" s="128"/>
      <c r="AAK396" s="128"/>
      <c r="AAL396" s="128"/>
      <c r="AAM396" s="128"/>
      <c r="AAN396" s="128"/>
      <c r="AAO396" s="128"/>
      <c r="AAP396" s="128"/>
      <c r="AAQ396" s="128"/>
      <c r="AAR396" s="128"/>
      <c r="AAS396" s="128"/>
      <c r="AAT396" s="128"/>
      <c r="AAU396" s="128"/>
      <c r="AAV396" s="128"/>
      <c r="AAW396" s="128"/>
      <c r="AAX396" s="128"/>
      <c r="AAY396" s="128"/>
      <c r="AAZ396" s="128"/>
      <c r="ABA396" s="128"/>
      <c r="ABB396" s="128"/>
      <c r="ABC396" s="128"/>
      <c r="ABD396" s="128"/>
      <c r="ABE396" s="128"/>
      <c r="ABF396" s="128"/>
      <c r="ABG396" s="128"/>
      <c r="ABH396" s="128"/>
      <c r="ABI396" s="128"/>
      <c r="ABJ396" s="128"/>
      <c r="ABK396" s="128"/>
      <c r="ABL396" s="128"/>
      <c r="ABM396" s="128"/>
      <c r="ABN396" s="128"/>
      <c r="ABO396" s="128"/>
      <c r="ABP396" s="128"/>
      <c r="ABQ396" s="128"/>
      <c r="ABR396" s="128"/>
      <c r="ABS396" s="128"/>
      <c r="ABT396" s="128"/>
      <c r="ABU396" s="128"/>
      <c r="ABV396" s="128"/>
      <c r="ABW396" s="128"/>
      <c r="ABX396" s="128"/>
      <c r="ABY396" s="128"/>
      <c r="ABZ396" s="128"/>
      <c r="ACA396" s="128"/>
      <c r="ACB396" s="128"/>
      <c r="ACC396" s="128"/>
      <c r="ACD396" s="128"/>
      <c r="ACE396" s="128"/>
      <c r="ACF396" s="128"/>
      <c r="ACG396" s="128"/>
      <c r="ACH396" s="128"/>
      <c r="ACI396" s="128"/>
      <c r="ACJ396" s="128"/>
      <c r="ACK396" s="128"/>
      <c r="ACL396" s="128"/>
      <c r="ACM396" s="128"/>
      <c r="ACN396" s="128"/>
      <c r="ACO396" s="128"/>
      <c r="ACP396" s="128"/>
      <c r="ACQ396" s="128"/>
      <c r="ACR396" s="128"/>
      <c r="ACS396" s="128"/>
      <c r="ACT396" s="128"/>
      <c r="ACU396" s="128"/>
      <c r="ACV396" s="128"/>
      <c r="ACW396" s="128"/>
      <c r="ACX396" s="128"/>
      <c r="ACY396" s="128"/>
      <c r="ACZ396" s="128"/>
      <c r="ADA396" s="128"/>
      <c r="ADB396" s="128"/>
      <c r="ADC396" s="128"/>
      <c r="ADD396" s="128"/>
      <c r="ADE396" s="128"/>
      <c r="ADF396" s="128"/>
      <c r="ADG396" s="128"/>
      <c r="ADH396" s="128"/>
      <c r="ADI396" s="128"/>
      <c r="ADJ396" s="128"/>
      <c r="ADK396" s="128"/>
      <c r="ADL396" s="128"/>
      <c r="ADM396" s="128"/>
      <c r="ADN396" s="128"/>
      <c r="ADO396" s="128"/>
      <c r="ADP396" s="128"/>
      <c r="ADQ396" s="128"/>
      <c r="ADR396" s="128"/>
      <c r="ADS396" s="128"/>
      <c r="ADT396" s="128"/>
      <c r="ADU396" s="128"/>
      <c r="ADV396" s="128"/>
      <c r="ADW396" s="128"/>
      <c r="ADX396" s="128"/>
      <c r="ADY396" s="128"/>
      <c r="ADZ396" s="128"/>
      <c r="AEA396" s="128"/>
      <c r="AEB396" s="128"/>
      <c r="AEC396" s="128"/>
      <c r="AED396" s="128"/>
      <c r="AEE396" s="128"/>
      <c r="AEF396" s="128"/>
      <c r="AEG396" s="128"/>
      <c r="AEH396" s="128"/>
      <c r="AEI396" s="128"/>
      <c r="AEJ396" s="128"/>
      <c r="AEK396" s="128"/>
      <c r="AEL396" s="128"/>
      <c r="AEM396" s="128"/>
      <c r="AEN396" s="128"/>
      <c r="AEO396" s="128"/>
      <c r="AEP396" s="128"/>
      <c r="AEQ396" s="128"/>
      <c r="AER396" s="128"/>
      <c r="AES396" s="128"/>
      <c r="AET396" s="128"/>
      <c r="AEU396" s="128"/>
      <c r="AEV396" s="128"/>
      <c r="AEW396" s="128"/>
      <c r="AEX396" s="128"/>
      <c r="AEY396" s="128"/>
      <c r="AEZ396" s="128"/>
      <c r="AFA396" s="128"/>
      <c r="AFB396" s="128"/>
      <c r="AFC396" s="128"/>
      <c r="AFD396" s="128"/>
      <c r="AFE396" s="128"/>
      <c r="AFF396" s="128"/>
      <c r="AFG396" s="128"/>
      <c r="AFH396" s="128"/>
      <c r="AFI396" s="128"/>
      <c r="AFJ396" s="128"/>
      <c r="AFK396" s="128"/>
      <c r="AFL396" s="128"/>
      <c r="AFM396" s="128"/>
      <c r="AFN396" s="128"/>
      <c r="AFO396" s="128"/>
      <c r="AFP396" s="128"/>
      <c r="AFQ396" s="128"/>
      <c r="AFR396" s="128"/>
      <c r="AFS396" s="128"/>
      <c r="AFT396" s="128"/>
      <c r="AFU396" s="128"/>
      <c r="AFV396" s="128"/>
      <c r="AFW396" s="128"/>
      <c r="AFX396" s="128"/>
      <c r="AFY396" s="128"/>
      <c r="AFZ396" s="128"/>
      <c r="AGA396" s="128"/>
      <c r="AGB396" s="128"/>
      <c r="AGC396" s="128"/>
      <c r="AGD396" s="128"/>
      <c r="AGE396" s="128"/>
      <c r="AGF396" s="128"/>
      <c r="AGG396" s="128"/>
      <c r="AGH396" s="128"/>
      <c r="AGI396" s="128"/>
      <c r="AGJ396" s="128"/>
      <c r="AGK396" s="128"/>
      <c r="AGL396" s="128"/>
      <c r="AGM396" s="128"/>
      <c r="AGN396" s="128"/>
      <c r="AGO396" s="128"/>
      <c r="AGP396" s="128"/>
      <c r="AGQ396" s="128"/>
      <c r="AGR396" s="128"/>
      <c r="AGS396" s="128"/>
      <c r="AGT396" s="128"/>
      <c r="AGU396" s="128"/>
      <c r="AGV396" s="128"/>
      <c r="AGW396" s="128"/>
      <c r="AGX396" s="128"/>
      <c r="AGY396" s="128"/>
      <c r="AGZ396" s="128"/>
      <c r="AHA396" s="128"/>
      <c r="AHB396" s="128"/>
      <c r="AHC396" s="128"/>
      <c r="AHD396" s="128"/>
      <c r="AHE396" s="128"/>
      <c r="AHF396" s="128"/>
      <c r="AHG396" s="128"/>
      <c r="AHH396" s="128"/>
      <c r="AHI396" s="128"/>
      <c r="AHJ396" s="128"/>
      <c r="AHK396" s="128"/>
      <c r="AHL396" s="128"/>
      <c r="AHM396" s="128"/>
      <c r="AHN396" s="128"/>
      <c r="AHO396" s="128"/>
      <c r="AHP396" s="128"/>
      <c r="AHQ396" s="128"/>
      <c r="AHR396" s="128"/>
      <c r="AHS396" s="128"/>
      <c r="AHT396" s="128"/>
      <c r="AHU396" s="128"/>
      <c r="AHV396" s="128"/>
      <c r="AHW396" s="128"/>
      <c r="AHX396" s="128"/>
      <c r="AHY396" s="128"/>
      <c r="AHZ396" s="128"/>
      <c r="AIA396" s="128"/>
      <c r="AIB396" s="128"/>
      <c r="AIC396" s="128"/>
      <c r="AID396" s="128"/>
      <c r="AIE396" s="128"/>
      <c r="AIF396" s="128"/>
      <c r="AIG396" s="128"/>
      <c r="AIH396" s="128"/>
      <c r="AII396" s="128"/>
      <c r="AIJ396" s="128"/>
      <c r="AIK396" s="128"/>
      <c r="AIL396" s="128"/>
      <c r="AIM396" s="128"/>
      <c r="AIN396" s="128"/>
      <c r="AIO396" s="128"/>
      <c r="AIP396" s="128"/>
      <c r="AIQ396" s="128"/>
      <c r="AIR396" s="128"/>
      <c r="AIS396" s="128"/>
      <c r="AIT396" s="128"/>
      <c r="AIU396" s="128"/>
      <c r="AIV396" s="128"/>
      <c r="AIW396" s="128"/>
      <c r="AIX396" s="128"/>
      <c r="AIY396" s="128"/>
      <c r="AIZ396" s="128"/>
      <c r="AJA396" s="128"/>
      <c r="AJB396" s="128"/>
      <c r="AJC396" s="128"/>
      <c r="AJD396" s="128"/>
      <c r="AJE396" s="128"/>
      <c r="AJF396" s="128"/>
      <c r="AJG396" s="128"/>
      <c r="AJH396" s="128"/>
      <c r="AJI396" s="128"/>
      <c r="AJJ396" s="128"/>
      <c r="AJK396" s="128"/>
      <c r="AJL396" s="128"/>
      <c r="AJM396" s="128"/>
      <c r="AJN396" s="128"/>
      <c r="AJO396" s="128"/>
      <c r="AJP396" s="128"/>
      <c r="AJQ396" s="128"/>
      <c r="AJR396" s="128"/>
      <c r="AJS396" s="128"/>
      <c r="AJT396" s="128"/>
      <c r="AJU396" s="128"/>
      <c r="AJV396" s="128"/>
      <c r="AJW396" s="128"/>
      <c r="AJX396" s="128"/>
      <c r="AJY396" s="128"/>
      <c r="AJZ396" s="128"/>
      <c r="AKA396" s="128"/>
      <c r="AKB396" s="128"/>
      <c r="AKC396" s="128"/>
      <c r="AKD396" s="128"/>
      <c r="AKE396" s="128"/>
      <c r="AKF396" s="128"/>
      <c r="AKG396" s="128"/>
      <c r="AKH396" s="128"/>
      <c r="AKI396" s="128"/>
      <c r="AKJ396" s="128"/>
      <c r="AKK396" s="128"/>
      <c r="AKL396" s="128"/>
      <c r="AKM396" s="128"/>
      <c r="AKN396" s="128"/>
      <c r="AKO396" s="128"/>
      <c r="AKP396" s="128"/>
      <c r="AKQ396" s="128"/>
      <c r="AKR396" s="128"/>
      <c r="AKS396" s="128"/>
      <c r="AKT396" s="128"/>
      <c r="AKU396" s="128"/>
      <c r="AKV396" s="128"/>
      <c r="AKW396" s="128"/>
      <c r="AKX396" s="128"/>
      <c r="AKY396" s="128"/>
      <c r="AKZ396" s="128"/>
      <c r="ALA396" s="128"/>
      <c r="ALB396" s="128"/>
      <c r="ALC396" s="128"/>
      <c r="ALD396" s="128"/>
      <c r="ALE396" s="128"/>
      <c r="ALF396" s="128"/>
      <c r="ALG396" s="128"/>
      <c r="ALH396" s="128"/>
      <c r="ALI396" s="128"/>
      <c r="ALJ396" s="128"/>
      <c r="ALK396" s="128"/>
      <c r="ALL396" s="128"/>
      <c r="ALM396" s="128"/>
      <c r="ALN396" s="128"/>
      <c r="ALO396" s="128"/>
      <c r="ALP396" s="128"/>
      <c r="ALQ396" s="128"/>
      <c r="ALR396" s="128"/>
      <c r="ALS396" s="128"/>
      <c r="ALT396" s="128"/>
      <c r="ALU396" s="128"/>
      <c r="ALV396" s="128"/>
      <c r="ALW396" s="128"/>
      <c r="ALX396" s="128"/>
      <c r="ALY396" s="128"/>
      <c r="ALZ396" s="128"/>
      <c r="AMA396" s="128"/>
      <c r="AMB396" s="128"/>
      <c r="AMC396" s="128"/>
      <c r="AMD396" s="128"/>
      <c r="AME396" s="128"/>
      <c r="AMF396" s="128"/>
      <c r="AMG396" s="128"/>
      <c r="AMH396" s="128"/>
      <c r="AMI396" s="128"/>
      <c r="AMJ396" s="128"/>
      <c r="AMK396" s="128"/>
      <c r="AML396" s="128"/>
      <c r="AMM396" s="128"/>
      <c r="AMN396" s="128"/>
      <c r="AMO396" s="128"/>
      <c r="AMP396" s="128"/>
    </row>
    <row r="397" spans="1:1030" x14ac:dyDescent="0.2">
      <c r="A397" s="3" t="str">
        <f t="shared" si="3326"/>
        <v>calrl_human__wt</v>
      </c>
      <c r="B397" s="2" t="s">
        <v>402</v>
      </c>
      <c r="C397" s="3" t="s">
        <v>100</v>
      </c>
      <c r="D397" s="3" t="str">
        <f>IFERROR(MID(VLOOKUP($B397,Seqs!$A:$B,2,0),E397,1),"")</f>
        <v>N</v>
      </c>
      <c r="E397" s="3">
        <v>130</v>
      </c>
      <c r="F397" s="3" t="str">
        <f>IFERROR(MID(VLOOKUP($B397,Seqs!$A:$B,2,0),G397,1),"")</f>
        <v>F</v>
      </c>
      <c r="G397" s="3">
        <v>166</v>
      </c>
      <c r="H397" s="3" t="str">
        <f>IFERROR(MID(VLOOKUP($B397,Seqs!$A:$B,2,0),I397,1),"")</f>
        <v>K</v>
      </c>
      <c r="I397" s="23">
        <v>167</v>
      </c>
      <c r="J397" s="3" t="str">
        <f>IFERROR(MID(VLOOKUP($B397,Seqs!$A:$B,2,0),K397,1),"")</f>
        <v>S</v>
      </c>
      <c r="K397" s="23">
        <v>170</v>
      </c>
      <c r="L397" s="3" t="str">
        <f>IFERROR(MID(VLOOKUP($B397,Seqs!$A:$B,2,0),M397,1),"")</f>
        <v>C</v>
      </c>
      <c r="M397" s="3">
        <v>171</v>
      </c>
      <c r="N397" s="3" t="str">
        <f>IFERROR(MID(VLOOKUP($B397,Seqs!$A:$B,2,0),O397,1),"")</f>
        <v>V</v>
      </c>
      <c r="O397" s="3">
        <v>198</v>
      </c>
      <c r="P397" s="3" t="str">
        <f>IFERROR(MID(VLOOKUP($B397,Seqs!$A:$B,2,0),Q397,1),"")</f>
        <v/>
      </c>
      <c r="Q397" s="3" t="s">
        <v>23</v>
      </c>
      <c r="R397" s="3" t="str">
        <f>IFERROR(MID(VLOOKUP($B397,Seqs!$A:$B,2,0),S397,1),"")</f>
        <v/>
      </c>
      <c r="S397" s="3" t="s">
        <v>23</v>
      </c>
      <c r="T397" s="3" t="str">
        <f>IFERROR(MID(VLOOKUP($B397,Seqs!$A:$B,2,0),U397,1),"")</f>
        <v>V</v>
      </c>
      <c r="U397" s="3">
        <v>210</v>
      </c>
      <c r="V397" s="3" t="str">
        <f>IFERROR(MID(VLOOKUP($B397,Seqs!$A:$B,2,0),W397,1),"")</f>
        <v>V</v>
      </c>
      <c r="W397" s="3">
        <v>243</v>
      </c>
      <c r="X397" s="3" t="str">
        <f>IFERROR(MID(VLOOKUP($B397,Seqs!$A:$B,2,0),Y397,1),"")</f>
        <v/>
      </c>
      <c r="Y397" s="3" t="s">
        <v>23</v>
      </c>
      <c r="Z397" s="3" t="str">
        <f>IFERROR(MID(VLOOKUP($B397,Seqs!$A:$B,2,0),AA397,1),"")</f>
        <v/>
      </c>
      <c r="AA397" s="3" t="s">
        <v>23</v>
      </c>
      <c r="AB397" s="3" t="str">
        <f>IFERROR(MID(VLOOKUP($B397,Seqs!$A:$B,2,0),AC397,1),"")</f>
        <v>H</v>
      </c>
      <c r="AC397" s="3">
        <v>251</v>
      </c>
      <c r="AD397" s="3" t="str">
        <f>IFERROR(MID(VLOOKUP($B397,Seqs!$A:$B,2,0),AE397,1),"")</f>
        <v>Y</v>
      </c>
      <c r="AE397" s="3">
        <v>277</v>
      </c>
      <c r="AF397" s="3" t="str">
        <f>IFERROR(MID(VLOOKUP($B397,Seqs!$A:$B,2,0),AG397,1),"")</f>
        <v>C</v>
      </c>
      <c r="AG397" s="3">
        <v>282</v>
      </c>
      <c r="AH397" s="3" t="str">
        <f>IFERROR(MID(VLOOKUP($B397,Seqs!$A:$B,2,0),AI397,1),"")</f>
        <v>I</v>
      </c>
      <c r="AI397" s="3">
        <v>284</v>
      </c>
      <c r="AJ397" s="3" t="str">
        <f>IFERROR(MID(VLOOKUP($B397,Seqs!$A:$B,2,0),AK397,1),"")</f>
        <v>L</v>
      </c>
      <c r="AK397" s="3">
        <v>290</v>
      </c>
      <c r="AL397" s="3" t="str">
        <f>IFERROR(MID(VLOOKUP($B397,Seqs!$A:$B,2,0),AM397,1),"")</f>
        <v>K</v>
      </c>
      <c r="AM397" s="3">
        <v>321</v>
      </c>
      <c r="AN397" s="3" t="str">
        <f>IFERROR(MID(VLOOKUP($B397,Seqs!$A:$B,2,0),AO397,1),"")</f>
        <v>Y</v>
      </c>
      <c r="AO397" s="3">
        <v>331</v>
      </c>
      <c r="AP397" s="3" t="str">
        <f>IFERROR(MID(VLOOKUP($B397,Seqs!$A:$B,2,0),AQ397,1),"")</f>
        <v>W</v>
      </c>
      <c r="AQ397" s="3">
        <v>354</v>
      </c>
      <c r="AR397" s="3" t="str">
        <f>IFERROR(MID(VLOOKUP($B397,Seqs!$A:$B,2,0),AS397,1),"")</f>
        <v>K</v>
      </c>
      <c r="AS397" s="3">
        <v>359</v>
      </c>
      <c r="AT397" s="3" t="str">
        <f>IFERROR(MID(VLOOKUP($B397,Seqs!$A:$B,2,0),AU397,1),"")</f>
        <v>F</v>
      </c>
      <c r="AU397" s="3">
        <v>387</v>
      </c>
      <c r="AV397" s="3" t="str">
        <f>IFERROR(MID(VLOOKUP($B397,Seqs!$A:$B,2,0),AW397,1),"")</f>
        <v>N</v>
      </c>
      <c r="AW397" s="3">
        <v>388</v>
      </c>
      <c r="AX397" s="3" t="str">
        <f>IFERROR(MID(VLOOKUP($B397,Seqs!$A:$B,2,0),AY397,1),"")</f>
        <v>S</v>
      </c>
      <c r="AY397" s="3">
        <v>413</v>
      </c>
      <c r="AZ397" s="77" t="str">
        <f>VLOOKUP(B397,Classification!A:D,2,0)</f>
        <v>B1</v>
      </c>
      <c r="BA397" s="94" t="str">
        <f>VLOOKUP(B397,Classification!A:D,4,0)</f>
        <v>Calcitonin</v>
      </c>
      <c r="BB397" s="27" t="b">
        <f t="shared" ref="BB397" si="3411">AND(E397&lt;G397,OR(G397&lt;I397,I397="-"),OR(I397&lt;K397,I397="-"),OR(K397&lt;M397,K397="-"),M397&lt;O397,OR(O397&lt;Q397,Q397="-"),OR(Q397&lt;S397,Q397="-"),OR(S397&lt;U397,S397="-"),U397&lt;W397,OR(W397&lt;Y397,Y397="-"),OR(Y397&lt;AA397,Y397="-"),OR(AA397&lt;AC397,AA397="-"),AC397&lt;AE397,OR(AE397&lt;AG397,AG397="-"),OR(AG397&lt;AI397,AG397="-"),OR(AI397&lt;AK397,AI397="-"),AK397&lt;AM397,AM397&lt;AO397,AO397&lt;AQ397,AQ397&lt;AS397,AS397&lt;AU397,OR(AU397&lt;AW397,AW397="-"),OR(AW397&lt;AY397,AW397="-"))</f>
        <v>1</v>
      </c>
      <c r="BC397" s="23">
        <f t="shared" ref="BC397" si="3412">_xlfn.AGGREGATE(9,6,CH397:CS397)-_xlfn.AGGREGATE(9,6,BV397:CG397)+12</f>
        <v>246</v>
      </c>
      <c r="BD397" s="4" t="s">
        <v>23</v>
      </c>
      <c r="BE397" s="3" t="s">
        <v>23</v>
      </c>
      <c r="BF397" s="118" t="s">
        <v>23</v>
      </c>
      <c r="BG397" s="49" t="s">
        <v>1377</v>
      </c>
      <c r="BH397" s="49" t="s">
        <v>1377</v>
      </c>
      <c r="BI397" s="1"/>
      <c r="BJ397" s="70" t="s">
        <v>1287</v>
      </c>
      <c r="BK397" s="57" t="s">
        <v>1287</v>
      </c>
      <c r="BL397" s="57" t="s">
        <v>1287</v>
      </c>
      <c r="BM397" s="57" t="s">
        <v>1287</v>
      </c>
      <c r="BN397" s="57" t="s">
        <v>1287</v>
      </c>
      <c r="BO397" s="57" t="s">
        <v>1287</v>
      </c>
      <c r="BP397" s="57" t="s">
        <v>1287</v>
      </c>
      <c r="BQ397" s="57" t="s">
        <v>1287</v>
      </c>
      <c r="BR397" s="57" t="s">
        <v>1287</v>
      </c>
      <c r="BS397" s="57" t="s">
        <v>1287</v>
      </c>
      <c r="BT397" s="57" t="s">
        <v>1287</v>
      </c>
      <c r="BU397" s="57" t="s">
        <v>1287</v>
      </c>
      <c r="BV397" s="70">
        <f t="shared" ref="BV397" si="3413">E397</f>
        <v>130</v>
      </c>
      <c r="BW397" s="71">
        <f t="shared" ref="BW397" si="3414">I397</f>
        <v>167</v>
      </c>
      <c r="BX397" s="72">
        <f t="shared" ref="BX397" si="3415">M397</f>
        <v>171</v>
      </c>
      <c r="BY397" s="71" t="str">
        <f t="shared" ref="BY397" si="3416">Q397</f>
        <v>-</v>
      </c>
      <c r="BZ397" s="72">
        <f t="shared" ref="BZ397" si="3417">U397</f>
        <v>210</v>
      </c>
      <c r="CA397" s="71" t="str">
        <f t="shared" ref="CA397" si="3418">Y397</f>
        <v>-</v>
      </c>
      <c r="CB397" s="72">
        <f t="shared" ref="CB397" si="3419">AC397</f>
        <v>251</v>
      </c>
      <c r="CC397" s="71">
        <f t="shared" ref="CC397" si="3420">AG397</f>
        <v>282</v>
      </c>
      <c r="CD397" s="72">
        <f t="shared" ref="CD397" si="3421">AK397</f>
        <v>290</v>
      </c>
      <c r="CE397" s="71">
        <f t="shared" ref="CE397" si="3422">AO397</f>
        <v>331</v>
      </c>
      <c r="CF397" s="72">
        <f t="shared" ref="CF397" si="3423">AS397</f>
        <v>359</v>
      </c>
      <c r="CG397" s="71">
        <f t="shared" ref="CG397" si="3424">AW397</f>
        <v>388</v>
      </c>
      <c r="CH397" s="70">
        <f t="shared" ref="CH397" si="3425">G397</f>
        <v>166</v>
      </c>
      <c r="CI397" s="71">
        <f t="shared" ref="CI397" si="3426">K397</f>
        <v>170</v>
      </c>
      <c r="CJ397" s="72">
        <f t="shared" ref="CJ397" si="3427">O397</f>
        <v>198</v>
      </c>
      <c r="CK397" s="72" t="str">
        <f t="shared" ref="CK397" si="3428">S397</f>
        <v>-</v>
      </c>
      <c r="CL397" s="72">
        <f t="shared" ref="CL397" si="3429">W397</f>
        <v>243</v>
      </c>
      <c r="CM397" s="72" t="str">
        <f t="shared" ref="CM397" si="3430">AA397</f>
        <v>-</v>
      </c>
      <c r="CN397" s="72">
        <f t="shared" ref="CN397" si="3431">AE397</f>
        <v>277</v>
      </c>
      <c r="CO397" s="72">
        <f t="shared" ref="CO397" si="3432">AI397</f>
        <v>284</v>
      </c>
      <c r="CP397" s="72">
        <f t="shared" ref="CP397" si="3433">AM397</f>
        <v>321</v>
      </c>
      <c r="CQ397" s="72">
        <f t="shared" ref="CQ397" si="3434">AQ397</f>
        <v>354</v>
      </c>
      <c r="CR397" s="72">
        <f t="shared" ref="CR397" si="3435">AU397</f>
        <v>387</v>
      </c>
      <c r="CS397" s="72">
        <f t="shared" ref="CS397" si="3436">AY397</f>
        <v>413</v>
      </c>
      <c r="CT397" s="23">
        <f t="shared" ref="CT397" si="3437">M397-K397</f>
        <v>1</v>
      </c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6"/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6"/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Q397" s="6"/>
      <c r="KR397" s="6"/>
      <c r="KS397" s="6"/>
      <c r="KT397" s="6"/>
      <c r="KU397" s="6"/>
      <c r="KV397" s="6"/>
      <c r="KW397" s="6"/>
      <c r="KX397" s="6"/>
      <c r="KY397" s="6"/>
      <c r="KZ397" s="6"/>
      <c r="LA397" s="6"/>
      <c r="LB397" s="6"/>
      <c r="LC397" s="6"/>
      <c r="LD397" s="6"/>
      <c r="LE397" s="6"/>
      <c r="LF397" s="6"/>
      <c r="LG397" s="6"/>
      <c r="LH397" s="6"/>
      <c r="LI397" s="6"/>
      <c r="LJ397" s="6"/>
      <c r="LK397" s="6"/>
      <c r="LL397" s="6"/>
      <c r="LM397" s="6"/>
      <c r="LN397" s="6"/>
      <c r="LO397" s="6"/>
      <c r="LP397" s="6"/>
      <c r="LQ397" s="6"/>
      <c r="LR397" s="6"/>
      <c r="LS397" s="6"/>
      <c r="LT397" s="6"/>
      <c r="LU397" s="6"/>
      <c r="LV397" s="6"/>
      <c r="LW397" s="6"/>
      <c r="LX397" s="6"/>
      <c r="LY397" s="6"/>
      <c r="LZ397" s="6"/>
      <c r="MA397" s="6"/>
      <c r="MB397" s="6"/>
      <c r="MC397" s="6"/>
      <c r="MD397" s="6"/>
      <c r="ME397" s="6"/>
      <c r="MF397" s="6"/>
      <c r="MG397" s="6"/>
      <c r="MH397" s="6"/>
      <c r="MI397" s="6"/>
      <c r="MJ397" s="6"/>
      <c r="MK397" s="6"/>
      <c r="ML397" s="6"/>
      <c r="MM397" s="6"/>
      <c r="MN397" s="6"/>
      <c r="MO397" s="6"/>
      <c r="MP397" s="6"/>
      <c r="MQ397" s="6"/>
      <c r="MR397" s="6"/>
      <c r="MS397" s="6"/>
      <c r="MT397" s="6"/>
      <c r="MU397" s="6"/>
      <c r="MV397" s="6"/>
      <c r="MW397" s="6"/>
      <c r="MX397" s="6"/>
      <c r="MY397" s="6"/>
      <c r="MZ397" s="6"/>
      <c r="NA397" s="6"/>
      <c r="NB397" s="6"/>
      <c r="NC397" s="6"/>
      <c r="ND397" s="6"/>
      <c r="NE397" s="6"/>
      <c r="NF397" s="6"/>
      <c r="NG397" s="6"/>
      <c r="NH397" s="6"/>
      <c r="NI397" s="6"/>
      <c r="NJ397" s="6"/>
      <c r="NK397" s="6"/>
      <c r="NL397" s="6"/>
      <c r="NM397" s="6"/>
      <c r="NN397" s="6"/>
      <c r="NO397" s="6"/>
      <c r="NP397" s="6"/>
      <c r="NQ397" s="6"/>
      <c r="NR397" s="6"/>
      <c r="NS397" s="6"/>
      <c r="NT397" s="6"/>
      <c r="NU397" s="6"/>
      <c r="NV397" s="6"/>
      <c r="NW397" s="6"/>
      <c r="NX397" s="6"/>
      <c r="NY397" s="6"/>
      <c r="NZ397" s="6"/>
      <c r="OA397" s="6"/>
      <c r="OB397" s="6"/>
      <c r="OC397" s="6"/>
      <c r="OD397" s="6"/>
      <c r="OE397" s="6"/>
      <c r="OF397" s="6"/>
      <c r="OG397" s="6"/>
      <c r="OH397" s="6"/>
      <c r="OI397" s="6"/>
      <c r="OJ397" s="6"/>
      <c r="OK397" s="6"/>
      <c r="OL397" s="6"/>
      <c r="OM397" s="6"/>
      <c r="ON397" s="6"/>
      <c r="OO397" s="6"/>
      <c r="OP397" s="6"/>
      <c r="OQ397" s="6"/>
      <c r="OR397" s="6"/>
      <c r="OS397" s="6"/>
      <c r="OT397" s="6"/>
      <c r="OU397" s="6"/>
      <c r="OV397" s="6"/>
      <c r="OW397" s="6"/>
      <c r="OX397" s="6"/>
      <c r="OY397" s="6"/>
      <c r="OZ397" s="6"/>
      <c r="PA397" s="6"/>
      <c r="PB397" s="6"/>
      <c r="PC397" s="6"/>
      <c r="PD397" s="6"/>
      <c r="PE397" s="6"/>
      <c r="PF397" s="6"/>
      <c r="PG397" s="6"/>
      <c r="PH397" s="6"/>
      <c r="PI397" s="6"/>
      <c r="PJ397" s="6"/>
      <c r="PK397" s="6"/>
      <c r="PL397" s="6"/>
      <c r="PM397" s="6"/>
      <c r="PN397" s="6"/>
      <c r="PO397" s="6"/>
      <c r="PP397" s="6"/>
      <c r="PQ397" s="6"/>
      <c r="PR397" s="6"/>
      <c r="PS397" s="6"/>
      <c r="PT397" s="6"/>
      <c r="PU397" s="6"/>
      <c r="PV397" s="6"/>
      <c r="PW397" s="6"/>
      <c r="PX397" s="6"/>
      <c r="PY397" s="6"/>
      <c r="PZ397" s="6"/>
      <c r="QA397" s="6"/>
      <c r="QB397" s="6"/>
      <c r="QC397" s="6"/>
      <c r="QD397" s="6"/>
      <c r="QE397" s="6"/>
      <c r="QF397" s="6"/>
      <c r="QG397" s="6"/>
      <c r="QH397" s="6"/>
      <c r="QI397" s="6"/>
      <c r="QJ397" s="6"/>
      <c r="QK397" s="6"/>
      <c r="QL397" s="6"/>
      <c r="QM397" s="6"/>
      <c r="QN397" s="6"/>
      <c r="QO397" s="6"/>
      <c r="QP397" s="6"/>
      <c r="QQ397" s="6"/>
      <c r="QR397" s="6"/>
      <c r="QS397" s="6"/>
      <c r="QT397" s="6"/>
      <c r="QU397" s="6"/>
      <c r="QV397" s="6"/>
      <c r="QW397" s="6"/>
      <c r="QX397" s="6"/>
      <c r="QY397" s="6"/>
      <c r="QZ397" s="6"/>
      <c r="RA397" s="6"/>
      <c r="RB397" s="6"/>
      <c r="RC397" s="6"/>
      <c r="RD397" s="6"/>
      <c r="RE397" s="6"/>
      <c r="RF397" s="6"/>
      <c r="RG397" s="6"/>
      <c r="RH397" s="6"/>
      <c r="RI397" s="6"/>
      <c r="RJ397" s="6"/>
      <c r="RK397" s="6"/>
      <c r="RL397" s="6"/>
      <c r="RM397" s="6"/>
      <c r="RN397" s="6"/>
      <c r="RO397" s="6"/>
      <c r="RP397" s="6"/>
      <c r="RQ397" s="6"/>
      <c r="RR397" s="6"/>
      <c r="RS397" s="6"/>
      <c r="RT397" s="6"/>
      <c r="RU397" s="6"/>
      <c r="RV397" s="6"/>
      <c r="RW397" s="6"/>
      <c r="RX397" s="6"/>
      <c r="RY397" s="6"/>
      <c r="RZ397" s="6"/>
      <c r="SA397" s="6"/>
      <c r="SB397" s="6"/>
      <c r="SC397" s="6"/>
      <c r="SD397" s="6"/>
      <c r="SE397" s="6"/>
      <c r="SF397" s="6"/>
      <c r="SG397" s="6"/>
      <c r="SH397" s="6"/>
      <c r="SI397" s="6"/>
      <c r="SJ397" s="6"/>
      <c r="SK397" s="6"/>
      <c r="SL397" s="6"/>
      <c r="SM397" s="6"/>
      <c r="SN397" s="6"/>
      <c r="SO397" s="6"/>
      <c r="SP397" s="6"/>
      <c r="SQ397" s="6"/>
      <c r="SR397" s="6"/>
      <c r="SS397" s="6"/>
      <c r="ST397" s="6"/>
      <c r="SU397" s="6"/>
      <c r="SV397" s="6"/>
      <c r="SW397" s="6"/>
      <c r="SX397" s="6"/>
      <c r="SY397" s="6"/>
      <c r="SZ397" s="6"/>
      <c r="TA397" s="6"/>
      <c r="TB397" s="6"/>
      <c r="TC397" s="6"/>
      <c r="TD397" s="6"/>
      <c r="TE397" s="6"/>
      <c r="TF397" s="6"/>
      <c r="TG397" s="6"/>
      <c r="TH397" s="6"/>
      <c r="TI397" s="6"/>
      <c r="TJ397" s="6"/>
      <c r="TK397" s="6"/>
      <c r="TL397" s="6"/>
      <c r="TM397" s="6"/>
      <c r="TN397" s="6"/>
      <c r="TO397" s="6"/>
      <c r="TP397" s="6"/>
      <c r="TQ397" s="6"/>
      <c r="TR397" s="6"/>
      <c r="TS397" s="6"/>
      <c r="TT397" s="6"/>
      <c r="TU397" s="6"/>
      <c r="TV397" s="6"/>
      <c r="TW397" s="6"/>
      <c r="TX397" s="6"/>
      <c r="TY397" s="6"/>
      <c r="TZ397" s="6"/>
      <c r="UA397" s="6"/>
      <c r="UB397" s="6"/>
      <c r="UC397" s="6"/>
      <c r="UD397" s="6"/>
      <c r="UE397" s="6"/>
      <c r="UF397" s="6"/>
      <c r="UG397" s="6"/>
      <c r="UH397" s="6"/>
      <c r="UI397" s="6"/>
      <c r="UJ397" s="6"/>
      <c r="UK397" s="6"/>
      <c r="UL397" s="6"/>
      <c r="UM397" s="6"/>
      <c r="UN397" s="6"/>
      <c r="UO397" s="6"/>
      <c r="UP397" s="6"/>
      <c r="UQ397" s="6"/>
      <c r="UR397" s="6"/>
      <c r="US397" s="6"/>
      <c r="UT397" s="6"/>
      <c r="UU397" s="6"/>
      <c r="UV397" s="6"/>
      <c r="UW397" s="6"/>
      <c r="UX397" s="6"/>
      <c r="UY397" s="6"/>
      <c r="UZ397" s="6"/>
      <c r="VA397" s="6"/>
      <c r="VB397" s="6"/>
      <c r="VC397" s="6"/>
      <c r="VD397" s="6"/>
      <c r="VE397" s="6"/>
      <c r="VF397" s="6"/>
      <c r="VG397" s="6"/>
      <c r="VH397" s="6"/>
      <c r="VI397" s="6"/>
      <c r="VJ397" s="6"/>
      <c r="VK397" s="6"/>
      <c r="VL397" s="6"/>
      <c r="VM397" s="6"/>
      <c r="VN397" s="6"/>
      <c r="VO397" s="6"/>
      <c r="VP397" s="6"/>
      <c r="VQ397" s="6"/>
      <c r="VR397" s="6"/>
      <c r="VS397" s="6"/>
      <c r="VT397" s="6"/>
      <c r="VU397" s="6"/>
      <c r="VV397" s="6"/>
      <c r="VW397" s="6"/>
      <c r="VX397" s="6"/>
      <c r="VY397" s="6"/>
      <c r="VZ397" s="6"/>
      <c r="WA397" s="6"/>
      <c r="WB397" s="6"/>
      <c r="WC397" s="6"/>
      <c r="WD397" s="6"/>
      <c r="WE397" s="6"/>
      <c r="WF397" s="6"/>
      <c r="WG397" s="6"/>
      <c r="WH397" s="6"/>
      <c r="WI397" s="6"/>
      <c r="WJ397" s="6"/>
      <c r="WK397" s="6"/>
      <c r="WL397" s="6"/>
      <c r="WM397" s="6"/>
      <c r="WN397" s="6"/>
      <c r="WO397" s="6"/>
      <c r="WP397" s="6"/>
      <c r="WQ397" s="6"/>
      <c r="WR397" s="6"/>
      <c r="WS397" s="6"/>
      <c r="WT397" s="6"/>
      <c r="WU397" s="6"/>
      <c r="WV397" s="6"/>
      <c r="WW397" s="6"/>
      <c r="WX397" s="6"/>
      <c r="WY397" s="6"/>
      <c r="WZ397" s="6"/>
      <c r="XA397" s="6"/>
      <c r="XB397" s="6"/>
      <c r="XC397" s="6"/>
      <c r="XD397" s="6"/>
      <c r="XE397" s="6"/>
      <c r="XF397" s="6"/>
      <c r="XG397" s="6"/>
      <c r="XH397" s="6"/>
      <c r="XI397" s="6"/>
      <c r="XJ397" s="6"/>
      <c r="XK397" s="6"/>
      <c r="XL397" s="6"/>
      <c r="XM397" s="6"/>
      <c r="XN397" s="6"/>
      <c r="XO397" s="6"/>
      <c r="XP397" s="6"/>
      <c r="XQ397" s="6"/>
      <c r="XR397" s="6"/>
      <c r="XS397" s="6"/>
      <c r="XT397" s="6"/>
      <c r="XU397" s="6"/>
      <c r="XV397" s="6"/>
      <c r="XW397" s="6"/>
      <c r="XX397" s="6"/>
      <c r="XY397" s="6"/>
      <c r="XZ397" s="6"/>
      <c r="YA397" s="6"/>
      <c r="YB397" s="6"/>
      <c r="YC397" s="6"/>
      <c r="YD397" s="6"/>
      <c r="YE397" s="6"/>
      <c r="YF397" s="6"/>
      <c r="YG397" s="6"/>
      <c r="YH397" s="6"/>
      <c r="YI397" s="6"/>
      <c r="YJ397" s="6"/>
      <c r="YK397" s="6"/>
      <c r="YL397" s="6"/>
      <c r="YM397" s="6"/>
      <c r="YN397" s="6"/>
      <c r="YO397" s="6"/>
      <c r="YP397" s="6"/>
      <c r="YQ397" s="6"/>
      <c r="YR397" s="6"/>
      <c r="YS397" s="6"/>
      <c r="YT397" s="6"/>
      <c r="YU397" s="6"/>
      <c r="YV397" s="6"/>
      <c r="YW397" s="6"/>
      <c r="YX397" s="6"/>
      <c r="YY397" s="6"/>
      <c r="YZ397" s="6"/>
      <c r="ZA397" s="6"/>
      <c r="ZB397" s="6"/>
      <c r="ZC397" s="6"/>
      <c r="ZD397" s="6"/>
      <c r="ZE397" s="6"/>
      <c r="ZF397" s="6"/>
      <c r="ZG397" s="6"/>
      <c r="ZH397" s="6"/>
      <c r="ZI397" s="6"/>
      <c r="ZJ397" s="6"/>
      <c r="ZK397" s="6"/>
      <c r="ZL397" s="6"/>
      <c r="ZM397" s="6"/>
      <c r="ZN397" s="6"/>
      <c r="ZO397" s="6"/>
      <c r="ZP397" s="6"/>
      <c r="ZQ397" s="6"/>
      <c r="ZR397" s="6"/>
      <c r="ZS397" s="6"/>
      <c r="ZT397" s="6"/>
      <c r="ZU397" s="6"/>
      <c r="ZV397" s="6"/>
      <c r="ZW397" s="6"/>
      <c r="ZX397" s="6"/>
      <c r="ZY397" s="6"/>
      <c r="ZZ397" s="6"/>
      <c r="AAA397" s="6"/>
      <c r="AAB397" s="6"/>
      <c r="AAC397" s="6"/>
      <c r="AAD397" s="6"/>
      <c r="AAE397" s="6"/>
      <c r="AAF397" s="6"/>
      <c r="AAG397" s="6"/>
      <c r="AAH397" s="6"/>
      <c r="AAI397" s="6"/>
      <c r="AAJ397" s="6"/>
      <c r="AAK397" s="6"/>
      <c r="AAL397" s="6"/>
      <c r="AAM397" s="6"/>
      <c r="AAN397" s="6"/>
      <c r="AAO397" s="6"/>
      <c r="AAP397" s="6"/>
      <c r="AAQ397" s="6"/>
      <c r="AAR397" s="6"/>
      <c r="AAS397" s="6"/>
      <c r="AAT397" s="6"/>
      <c r="AAU397" s="6"/>
      <c r="AAV397" s="6"/>
      <c r="AAW397" s="6"/>
      <c r="AAX397" s="6"/>
      <c r="AAY397" s="6"/>
      <c r="AAZ397" s="6"/>
      <c r="ABA397" s="6"/>
      <c r="ABB397" s="6"/>
      <c r="ABC397" s="6"/>
      <c r="ABD397" s="6"/>
      <c r="ABE397" s="6"/>
      <c r="ABF397" s="6"/>
      <c r="ABG397" s="6"/>
      <c r="ABH397" s="6"/>
      <c r="ABI397" s="6"/>
      <c r="ABJ397" s="6"/>
      <c r="ABK397" s="6"/>
      <c r="ABL397" s="6"/>
      <c r="ABM397" s="6"/>
      <c r="ABN397" s="6"/>
      <c r="ABO397" s="6"/>
      <c r="ABP397" s="6"/>
      <c r="ABQ397" s="6"/>
      <c r="ABR397" s="6"/>
      <c r="ABS397" s="6"/>
      <c r="ABT397" s="6"/>
      <c r="ABU397" s="6"/>
      <c r="ABV397" s="6"/>
      <c r="ABW397" s="6"/>
      <c r="ABX397" s="6"/>
      <c r="ABY397" s="6"/>
      <c r="ABZ397" s="6"/>
      <c r="ACA397" s="6"/>
      <c r="ACB397" s="6"/>
      <c r="ACC397" s="6"/>
      <c r="ACD397" s="6"/>
      <c r="ACE397" s="6"/>
      <c r="ACF397" s="6"/>
      <c r="ACG397" s="6"/>
      <c r="ACH397" s="6"/>
      <c r="ACI397" s="6"/>
      <c r="ACJ397" s="6"/>
      <c r="ACK397" s="6"/>
      <c r="ACL397" s="6"/>
      <c r="ACM397" s="6"/>
      <c r="ACN397" s="6"/>
      <c r="ACO397" s="6"/>
      <c r="ACP397" s="6"/>
      <c r="ACQ397" s="6"/>
      <c r="ACR397" s="6"/>
      <c r="ACS397" s="6"/>
      <c r="ACT397" s="6"/>
      <c r="ACU397" s="6"/>
      <c r="ACV397" s="6"/>
      <c r="ACW397" s="6"/>
      <c r="ACX397" s="6"/>
      <c r="ACY397" s="6"/>
      <c r="ACZ397" s="6"/>
      <c r="ADA397" s="6"/>
      <c r="ADB397" s="6"/>
      <c r="ADC397" s="6"/>
      <c r="ADD397" s="6"/>
      <c r="ADE397" s="6"/>
      <c r="ADF397" s="6"/>
      <c r="ADG397" s="6"/>
      <c r="ADH397" s="6"/>
      <c r="ADI397" s="6"/>
      <c r="ADJ397" s="6"/>
      <c r="ADK397" s="6"/>
      <c r="ADL397" s="6"/>
      <c r="ADM397" s="6"/>
      <c r="ADN397" s="6"/>
      <c r="ADO397" s="6"/>
      <c r="ADP397" s="6"/>
      <c r="ADQ397" s="6"/>
      <c r="ADR397" s="6"/>
      <c r="ADS397" s="6"/>
      <c r="ADT397" s="6"/>
      <c r="ADU397" s="6"/>
      <c r="ADV397" s="6"/>
      <c r="ADW397" s="6"/>
      <c r="ADX397" s="6"/>
      <c r="ADY397" s="6"/>
      <c r="ADZ397" s="6"/>
      <c r="AEA397" s="6"/>
      <c r="AEB397" s="6"/>
      <c r="AEC397" s="6"/>
      <c r="AED397" s="6"/>
      <c r="AEE397" s="6"/>
      <c r="AEF397" s="6"/>
      <c r="AEG397" s="6"/>
      <c r="AEH397" s="6"/>
      <c r="AEI397" s="6"/>
      <c r="AEJ397" s="6"/>
      <c r="AEK397" s="6"/>
      <c r="AEL397" s="6"/>
      <c r="AEM397" s="6"/>
      <c r="AEN397" s="6"/>
      <c r="AEO397" s="6"/>
      <c r="AEP397" s="6"/>
      <c r="AEQ397" s="6"/>
      <c r="AER397" s="6"/>
      <c r="AES397" s="6"/>
      <c r="AET397" s="6"/>
      <c r="AEU397" s="6"/>
      <c r="AEV397" s="6"/>
      <c r="AEW397" s="6"/>
      <c r="AEX397" s="6"/>
      <c r="AEY397" s="6"/>
      <c r="AEZ397" s="6"/>
      <c r="AFA397" s="6"/>
      <c r="AFB397" s="6"/>
      <c r="AFC397" s="6"/>
      <c r="AFD397" s="6"/>
      <c r="AFE397" s="6"/>
      <c r="AFF397" s="6"/>
      <c r="AFG397" s="6"/>
      <c r="AFH397" s="6"/>
      <c r="AFI397" s="6"/>
      <c r="AFJ397" s="6"/>
      <c r="AFK397" s="6"/>
      <c r="AFL397" s="6"/>
      <c r="AFM397" s="6"/>
      <c r="AFN397" s="6"/>
      <c r="AFO397" s="6"/>
      <c r="AFP397" s="6"/>
      <c r="AFQ397" s="6"/>
      <c r="AFR397" s="6"/>
      <c r="AFS397" s="6"/>
      <c r="AFT397" s="6"/>
      <c r="AFU397" s="6"/>
      <c r="AFV397" s="6"/>
      <c r="AFW397" s="6"/>
      <c r="AFX397" s="6"/>
      <c r="AFY397" s="6"/>
      <c r="AFZ397" s="6"/>
      <c r="AGA397" s="6"/>
      <c r="AGB397" s="6"/>
      <c r="AGC397" s="6"/>
      <c r="AGD397" s="6"/>
      <c r="AGE397" s="6"/>
      <c r="AGF397" s="6"/>
      <c r="AGG397" s="6"/>
      <c r="AGH397" s="6"/>
      <c r="AGI397" s="6"/>
      <c r="AGJ397" s="6"/>
      <c r="AGK397" s="6"/>
      <c r="AGL397" s="6"/>
      <c r="AGM397" s="6"/>
      <c r="AGN397" s="6"/>
      <c r="AGO397" s="6"/>
      <c r="AGP397" s="6"/>
      <c r="AGQ397" s="6"/>
      <c r="AGR397" s="6"/>
      <c r="AGS397" s="6"/>
      <c r="AGT397" s="6"/>
      <c r="AGU397" s="6"/>
      <c r="AGV397" s="6"/>
      <c r="AGW397" s="6"/>
      <c r="AGX397" s="6"/>
      <c r="AGY397" s="6"/>
      <c r="AGZ397" s="6"/>
      <c r="AHA397" s="6"/>
      <c r="AHB397" s="6"/>
      <c r="AHC397" s="6"/>
      <c r="AHD397" s="6"/>
      <c r="AHE397" s="6"/>
      <c r="AHF397" s="6"/>
      <c r="AHG397" s="6"/>
      <c r="AHH397" s="6"/>
      <c r="AHI397" s="6"/>
      <c r="AHJ397" s="6"/>
      <c r="AHK397" s="6"/>
      <c r="AHL397" s="6"/>
      <c r="AHM397" s="6"/>
      <c r="AHN397" s="6"/>
      <c r="AHO397" s="6"/>
      <c r="AHP397" s="6"/>
      <c r="AHQ397" s="6"/>
      <c r="AHR397" s="6"/>
      <c r="AHS397" s="6"/>
      <c r="AHT397" s="6"/>
      <c r="AHU397" s="6"/>
      <c r="AHV397" s="6"/>
      <c r="AHW397" s="6"/>
      <c r="AHX397" s="6"/>
      <c r="AHY397" s="6"/>
      <c r="AHZ397" s="6"/>
      <c r="AIA397" s="6"/>
      <c r="AIB397" s="6"/>
      <c r="AIC397" s="6"/>
      <c r="AID397" s="6"/>
      <c r="AIE397" s="6"/>
      <c r="AIF397" s="6"/>
      <c r="AIG397" s="6"/>
      <c r="AIH397" s="6"/>
      <c r="AII397" s="6"/>
      <c r="AIJ397" s="6"/>
      <c r="AIK397" s="6"/>
      <c r="AIL397" s="6"/>
      <c r="AIM397" s="6"/>
      <c r="AIN397" s="6"/>
      <c r="AIO397" s="6"/>
      <c r="AIP397" s="6"/>
      <c r="AIQ397" s="6"/>
      <c r="AIR397" s="6"/>
      <c r="AIS397" s="6"/>
      <c r="AIT397" s="6"/>
      <c r="AIU397" s="6"/>
      <c r="AIV397" s="6"/>
      <c r="AIW397" s="6"/>
      <c r="AIX397" s="6"/>
      <c r="AIY397" s="6"/>
      <c r="AIZ397" s="6"/>
      <c r="AJA397" s="6"/>
      <c r="AJB397" s="6"/>
      <c r="AJC397" s="6"/>
      <c r="AJD397" s="6"/>
      <c r="AJE397" s="6"/>
      <c r="AJF397" s="6"/>
      <c r="AJG397" s="6"/>
      <c r="AJH397" s="6"/>
      <c r="AJI397" s="6"/>
      <c r="AJJ397" s="6"/>
      <c r="AJK397" s="6"/>
      <c r="AJL397" s="6"/>
      <c r="AJM397" s="6"/>
      <c r="AJN397" s="6"/>
      <c r="AJO397" s="6"/>
      <c r="AJP397" s="6"/>
      <c r="AJQ397" s="6"/>
      <c r="AJR397" s="6"/>
      <c r="AJS397" s="6"/>
      <c r="AJT397" s="6"/>
      <c r="AJU397" s="6"/>
      <c r="AJV397" s="6"/>
      <c r="AJW397" s="6"/>
      <c r="AJX397" s="6"/>
      <c r="AJY397" s="6"/>
      <c r="AJZ397" s="6"/>
      <c r="AKA397" s="6"/>
      <c r="AKB397" s="6"/>
      <c r="AKC397" s="6"/>
      <c r="AKD397" s="6"/>
      <c r="AKE397" s="6"/>
      <c r="AKF397" s="6"/>
      <c r="AKG397" s="6"/>
      <c r="AKH397" s="6"/>
      <c r="AKI397" s="6"/>
      <c r="AKJ397" s="6"/>
      <c r="AKK397" s="6"/>
      <c r="AKL397" s="6"/>
      <c r="AKM397" s="6"/>
      <c r="AKN397" s="6"/>
      <c r="AKO397" s="6"/>
      <c r="AKP397" s="6"/>
      <c r="AKQ397" s="6"/>
      <c r="AKR397" s="6"/>
      <c r="AKS397" s="6"/>
      <c r="AKT397" s="6"/>
      <c r="AKU397" s="6"/>
      <c r="AKV397" s="6"/>
      <c r="AKW397" s="6"/>
      <c r="AKX397" s="6"/>
      <c r="AKY397" s="6"/>
      <c r="AKZ397" s="6"/>
      <c r="ALA397" s="6"/>
      <c r="ALB397" s="6"/>
      <c r="ALC397" s="6"/>
      <c r="ALD397" s="6"/>
      <c r="ALE397" s="6"/>
      <c r="ALF397" s="6"/>
      <c r="ALG397" s="6"/>
      <c r="ALH397" s="6"/>
      <c r="ALI397" s="6"/>
      <c r="ALJ397" s="6"/>
      <c r="ALK397" s="6"/>
      <c r="ALL397" s="6"/>
      <c r="ALM397" s="6"/>
      <c r="ALN397" s="6"/>
      <c r="ALO397" s="6"/>
      <c r="ALP397" s="6"/>
      <c r="ALQ397" s="6"/>
      <c r="ALR397" s="6"/>
      <c r="ALS397" s="6"/>
      <c r="ALT397" s="6"/>
      <c r="ALU397" s="6"/>
      <c r="ALV397" s="6"/>
      <c r="ALW397" s="6"/>
      <c r="ALX397" s="6"/>
      <c r="ALY397" s="6"/>
      <c r="ALZ397" s="6"/>
      <c r="AMA397" s="6"/>
      <c r="AMB397" s="6"/>
      <c r="AMC397" s="6"/>
      <c r="AMD397" s="6"/>
      <c r="AME397" s="6"/>
      <c r="AMF397" s="6"/>
      <c r="AMG397" s="6"/>
      <c r="AMH397" s="6"/>
      <c r="AMI397" s="6"/>
      <c r="AMJ397" s="6"/>
      <c r="AMK397" s="6"/>
      <c r="AML397" s="6"/>
      <c r="AMM397" s="6"/>
      <c r="AMN397" s="6"/>
      <c r="AMO397" s="6"/>
      <c r="AMP397" s="6"/>
    </row>
    <row r="398" spans="1:1030" x14ac:dyDescent="0.2">
      <c r="A398" s="3" t="str">
        <f t="shared" si="3326"/>
        <v>calrl_human_6E3Y</v>
      </c>
      <c r="B398" s="2" t="s">
        <v>402</v>
      </c>
      <c r="C398" s="3" t="s">
        <v>1516</v>
      </c>
      <c r="D398" s="3" t="str">
        <f>IFERROR(MID(VLOOKUP($B398,Seqs!$A:$B,2,0),E398,1),"")</f>
        <v>N</v>
      </c>
      <c r="E398" s="3">
        <v>130</v>
      </c>
      <c r="F398" s="3" t="str">
        <f>IFERROR(MID(VLOOKUP($B398,Seqs!$A:$B,2,0),G398,1),"")</f>
        <v>F</v>
      </c>
      <c r="G398" s="3">
        <v>166</v>
      </c>
      <c r="H398" s="3" t="str">
        <f>IFERROR(MID(VLOOKUP($B398,Seqs!$A:$B,2,0),I398,1),"")</f>
        <v/>
      </c>
      <c r="I398" s="23" t="s">
        <v>23</v>
      </c>
      <c r="J398" s="3" t="str">
        <f>IFERROR(MID(VLOOKUP($B398,Seqs!$A:$B,2,0),K398,1),"")</f>
        <v/>
      </c>
      <c r="K398" s="23" t="s">
        <v>23</v>
      </c>
      <c r="L398" s="3" t="str">
        <f>IFERROR(MID(VLOOKUP($B398,Seqs!$A:$B,2,0),M398,1),"")</f>
        <v>C</v>
      </c>
      <c r="M398" s="3">
        <v>171</v>
      </c>
      <c r="N398" s="3" t="str">
        <f>IFERROR(MID(VLOOKUP($B398,Seqs!$A:$B,2,0),O398,1),"")</f>
        <v>V</v>
      </c>
      <c r="O398" s="3">
        <v>198</v>
      </c>
      <c r="P398" s="3" t="str">
        <f>IFERROR(MID(VLOOKUP($B398,Seqs!$A:$B,2,0),Q398,1),"")</f>
        <v/>
      </c>
      <c r="Q398" s="3" t="s">
        <v>23</v>
      </c>
      <c r="R398" s="3" t="str">
        <f>IFERROR(MID(VLOOKUP($B398,Seqs!$A:$B,2,0),S398,1),"")</f>
        <v/>
      </c>
      <c r="S398" s="3" t="s">
        <v>23</v>
      </c>
      <c r="T398" s="3" t="str">
        <f>IFERROR(MID(VLOOKUP($B398,Seqs!$A:$B,2,0),U398,1),"")</f>
        <v>V</v>
      </c>
      <c r="U398" s="3">
        <v>210</v>
      </c>
      <c r="V398" s="3" t="str">
        <f>IFERROR(MID(VLOOKUP($B398,Seqs!$A:$B,2,0),W398,1),"")</f>
        <v>V</v>
      </c>
      <c r="W398" s="3">
        <v>242</v>
      </c>
      <c r="X398" s="3" t="str">
        <f>IFERROR(MID(VLOOKUP($B398,Seqs!$A:$B,2,0),Y398,1),"")</f>
        <v/>
      </c>
      <c r="Y398" s="3" t="s">
        <v>23</v>
      </c>
      <c r="Z398" s="3" t="str">
        <f>IFERROR(MID(VLOOKUP($B398,Seqs!$A:$B,2,0),AA398,1),"")</f>
        <v/>
      </c>
      <c r="AA398" s="3" t="s">
        <v>23</v>
      </c>
      <c r="AB398" s="3" t="str">
        <f>IFERROR(MID(VLOOKUP($B398,Seqs!$A:$B,2,0),AC398,1),"")</f>
        <v>M</v>
      </c>
      <c r="AC398" s="3">
        <v>253</v>
      </c>
      <c r="AD398" s="3" t="str">
        <f>IFERROR(MID(VLOOKUP($B398,Seqs!$A:$B,2,0),AE398,1),"")</f>
        <v>Y</v>
      </c>
      <c r="AE398" s="3">
        <v>277</v>
      </c>
      <c r="AF398" s="3" t="str">
        <f>IFERROR(MID(VLOOKUP($B398,Seqs!$A:$B,2,0),AG398,1),"")</f>
        <v>C</v>
      </c>
      <c r="AG398" s="3">
        <v>282</v>
      </c>
      <c r="AH398" s="3" t="str">
        <f>IFERROR(MID(VLOOKUP($B398,Seqs!$A:$B,2,0),AI398,1),"")</f>
        <v>I</v>
      </c>
      <c r="AI398" s="3">
        <v>284</v>
      </c>
      <c r="AJ398" s="3" t="str">
        <f>IFERROR(MID(VLOOKUP($B398,Seqs!$A:$B,2,0),AK398,1),"")</f>
        <v>L</v>
      </c>
      <c r="AK398" s="3">
        <v>290</v>
      </c>
      <c r="AL398" s="3" t="str">
        <f>IFERROR(MID(VLOOKUP($B398,Seqs!$A:$B,2,0),AM398,1),"")</f>
        <v>K</v>
      </c>
      <c r="AM398" s="3">
        <v>321</v>
      </c>
      <c r="AN398" s="3" t="str">
        <f>IFERROR(MID(VLOOKUP($B398,Seqs!$A:$B,2,0),AO398,1),"")</f>
        <v>N</v>
      </c>
      <c r="AO398" s="3">
        <v>329</v>
      </c>
      <c r="AP398" s="3" t="str">
        <f>IFERROR(MID(VLOOKUP($B398,Seqs!$A:$B,2,0),AQ398,1),"")</f>
        <v>L</v>
      </c>
      <c r="AQ398" s="3">
        <v>351</v>
      </c>
      <c r="AR398" s="3" t="str">
        <f>IFERROR(MID(VLOOKUP($B398,Seqs!$A:$B,2,0),AS398,1),"")</f>
        <v>V</v>
      </c>
      <c r="AS398" s="3">
        <v>364</v>
      </c>
      <c r="AT398" s="3" t="str">
        <f>IFERROR(MID(VLOOKUP($B398,Seqs!$A:$B,2,0),AU398,1),"")</f>
        <v>F</v>
      </c>
      <c r="AU398" s="3">
        <v>387</v>
      </c>
      <c r="AV398" s="3" t="str">
        <f>IFERROR(MID(VLOOKUP($B398,Seqs!$A:$B,2,0),AW398,1),"")</f>
        <v>N</v>
      </c>
      <c r="AW398" s="3">
        <v>388</v>
      </c>
      <c r="AX398" s="3" t="str">
        <f>IFERROR(MID(VLOOKUP($B398,Seqs!$A:$B,2,0),AY398,1),"")</f>
        <v>W</v>
      </c>
      <c r="AY398" s="3">
        <v>399</v>
      </c>
      <c r="AZ398" s="77" t="str">
        <f>VLOOKUP(B398,Classification!A:D,2,0)</f>
        <v>B1</v>
      </c>
      <c r="BA398" s="94" t="str">
        <f>VLOOKUP(B398,Classification!A:D,4,0)</f>
        <v>Calcitonin</v>
      </c>
      <c r="BB398" s="27" t="b">
        <f t="shared" ref="BB398" si="3438">AND(E398&lt;G398,OR(G398&lt;I398,I398="-"),OR(I398&lt;K398,I398="-"),OR(K398&lt;M398,K398="-"),M398&lt;O398,OR(O398&lt;Q398,Q398="-"),OR(Q398&lt;S398,Q398="-"),OR(S398&lt;U398,S398="-"),U398&lt;W398,OR(W398&lt;Y398,Y398="-"),OR(Y398&lt;AA398,Y398="-"),OR(AA398&lt;AC398,AA398="-"),AC398&lt;AE398,OR(AE398&lt;AG398,AG398="-"),OR(AG398&lt;AI398,AG398="-"),OR(AI398&lt;AK398,AI398="-"),AK398&lt;AM398,AM398&lt;AO398,AO398&lt;AQ398,AQ398&lt;AS398,AS398&lt;AU398,OR(AU398&lt;AW398,AW398="-"),OR(AW398&lt;AY398,AW398="-"))</f>
        <v>1</v>
      </c>
      <c r="BC398" s="23">
        <f t="shared" ref="BC398" si="3439">_xlfn.AGGREGATE(9,6,CH398:CS398)-_xlfn.AGGREGATE(9,6,BV398:CG398)+12</f>
        <v>220</v>
      </c>
      <c r="BD398" s="4" t="s">
        <v>23</v>
      </c>
      <c r="BE398" s="3" t="s">
        <v>1291</v>
      </c>
      <c r="BF398" s="118">
        <v>3.3</v>
      </c>
      <c r="BG398" s="49" t="s">
        <v>1422</v>
      </c>
      <c r="BH398" s="49" t="s">
        <v>1422</v>
      </c>
      <c r="BI398" s="1"/>
      <c r="BJ398" s="70" t="s">
        <v>1287</v>
      </c>
      <c r="BK398" s="57" t="s">
        <v>1287</v>
      </c>
      <c r="BL398" s="57" t="s">
        <v>1287</v>
      </c>
      <c r="BM398" s="57" t="s">
        <v>1287</v>
      </c>
      <c r="BN398" s="57" t="s">
        <v>1287</v>
      </c>
      <c r="BO398" s="57" t="s">
        <v>1287</v>
      </c>
      <c r="BP398" s="57" t="s">
        <v>1287</v>
      </c>
      <c r="BQ398" s="57" t="s">
        <v>1287</v>
      </c>
      <c r="BR398" s="57" t="s">
        <v>1287</v>
      </c>
      <c r="BS398" s="57" t="s">
        <v>1287</v>
      </c>
      <c r="BT398" s="57" t="s">
        <v>1287</v>
      </c>
      <c r="BU398" s="57" t="s">
        <v>1287</v>
      </c>
      <c r="BV398" s="70">
        <f t="shared" ref="BV398" si="3440">E398</f>
        <v>130</v>
      </c>
      <c r="BW398" s="71" t="str">
        <f t="shared" ref="BW398" si="3441">I398</f>
        <v>-</v>
      </c>
      <c r="BX398" s="72">
        <f t="shared" ref="BX398" si="3442">M398</f>
        <v>171</v>
      </c>
      <c r="BY398" s="71" t="str">
        <f t="shared" ref="BY398" si="3443">Q398</f>
        <v>-</v>
      </c>
      <c r="BZ398" s="72">
        <f t="shared" ref="BZ398" si="3444">U398</f>
        <v>210</v>
      </c>
      <c r="CA398" s="71" t="str">
        <f t="shared" ref="CA398" si="3445">Y398</f>
        <v>-</v>
      </c>
      <c r="CB398" s="72">
        <f t="shared" ref="CB398" si="3446">AC398</f>
        <v>253</v>
      </c>
      <c r="CC398" s="71">
        <f t="shared" ref="CC398" si="3447">AG398</f>
        <v>282</v>
      </c>
      <c r="CD398" s="72">
        <f t="shared" ref="CD398" si="3448">AK398</f>
        <v>290</v>
      </c>
      <c r="CE398" s="71">
        <f t="shared" ref="CE398" si="3449">AO398</f>
        <v>329</v>
      </c>
      <c r="CF398" s="72">
        <f t="shared" ref="CF398" si="3450">AS398</f>
        <v>364</v>
      </c>
      <c r="CG398" s="71">
        <f t="shared" ref="CG398" si="3451">AW398</f>
        <v>388</v>
      </c>
      <c r="CH398" s="70">
        <f t="shared" ref="CH398" si="3452">G398</f>
        <v>166</v>
      </c>
      <c r="CI398" s="71" t="str">
        <f t="shared" ref="CI398" si="3453">K398</f>
        <v>-</v>
      </c>
      <c r="CJ398" s="72">
        <f t="shared" ref="CJ398" si="3454">O398</f>
        <v>198</v>
      </c>
      <c r="CK398" s="72" t="str">
        <f t="shared" ref="CK398" si="3455">S398</f>
        <v>-</v>
      </c>
      <c r="CL398" s="72">
        <f t="shared" ref="CL398" si="3456">W398</f>
        <v>242</v>
      </c>
      <c r="CM398" s="72" t="str">
        <f t="shared" ref="CM398" si="3457">AA398</f>
        <v>-</v>
      </c>
      <c r="CN398" s="72">
        <f t="shared" ref="CN398" si="3458">AE398</f>
        <v>277</v>
      </c>
      <c r="CO398" s="72">
        <f t="shared" ref="CO398" si="3459">AI398</f>
        <v>284</v>
      </c>
      <c r="CP398" s="72">
        <f t="shared" ref="CP398" si="3460">AM398</f>
        <v>321</v>
      </c>
      <c r="CQ398" s="72">
        <f t="shared" ref="CQ398" si="3461">AQ398</f>
        <v>351</v>
      </c>
      <c r="CR398" s="72">
        <f t="shared" ref="CR398" si="3462">AU398</f>
        <v>387</v>
      </c>
      <c r="CS398" s="72">
        <f t="shared" ref="CS398" si="3463">AY398</f>
        <v>399</v>
      </c>
      <c r="CT398" s="23" t="e">
        <f t="shared" ref="CT398" si="3464">M398-K398</f>
        <v>#VALUE!</v>
      </c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Q398" s="6"/>
      <c r="KR398" s="6"/>
      <c r="KS398" s="6"/>
      <c r="KT398" s="6"/>
      <c r="KU398" s="6"/>
      <c r="KV398" s="6"/>
      <c r="KW398" s="6"/>
      <c r="KX398" s="6"/>
      <c r="KY398" s="6"/>
      <c r="KZ398" s="6"/>
      <c r="LA398" s="6"/>
      <c r="LB398" s="6"/>
      <c r="LC398" s="6"/>
      <c r="LD398" s="6"/>
      <c r="LE398" s="6"/>
      <c r="LF398" s="6"/>
      <c r="LG398" s="6"/>
      <c r="LH398" s="6"/>
      <c r="LI398" s="6"/>
      <c r="LJ398" s="6"/>
      <c r="LK398" s="6"/>
      <c r="LL398" s="6"/>
      <c r="LM398" s="6"/>
      <c r="LN398" s="6"/>
      <c r="LO398" s="6"/>
      <c r="LP398" s="6"/>
      <c r="LQ398" s="6"/>
      <c r="LR398" s="6"/>
      <c r="LS398" s="6"/>
      <c r="LT398" s="6"/>
      <c r="LU398" s="6"/>
      <c r="LV398" s="6"/>
      <c r="LW398" s="6"/>
      <c r="LX398" s="6"/>
      <c r="LY398" s="6"/>
      <c r="LZ398" s="6"/>
      <c r="MA398" s="6"/>
      <c r="MB398" s="6"/>
      <c r="MC398" s="6"/>
      <c r="MD398" s="6"/>
      <c r="ME398" s="6"/>
      <c r="MF398" s="6"/>
      <c r="MG398" s="6"/>
      <c r="MH398" s="6"/>
      <c r="MI398" s="6"/>
      <c r="MJ398" s="6"/>
      <c r="MK398" s="6"/>
      <c r="ML398" s="6"/>
      <c r="MM398" s="6"/>
      <c r="MN398" s="6"/>
      <c r="MO398" s="6"/>
      <c r="MP398" s="6"/>
      <c r="MQ398" s="6"/>
      <c r="MR398" s="6"/>
      <c r="MS398" s="6"/>
      <c r="MT398" s="6"/>
      <c r="MU398" s="6"/>
      <c r="MV398" s="6"/>
      <c r="MW398" s="6"/>
      <c r="MX398" s="6"/>
      <c r="MY398" s="6"/>
      <c r="MZ398" s="6"/>
      <c r="NA398" s="6"/>
      <c r="NB398" s="6"/>
      <c r="NC398" s="6"/>
      <c r="ND398" s="6"/>
      <c r="NE398" s="6"/>
      <c r="NF398" s="6"/>
      <c r="NG398" s="6"/>
      <c r="NH398" s="6"/>
      <c r="NI398" s="6"/>
      <c r="NJ398" s="6"/>
      <c r="NK398" s="6"/>
      <c r="NL398" s="6"/>
      <c r="NM398" s="6"/>
      <c r="NN398" s="6"/>
      <c r="NO398" s="6"/>
      <c r="NP398" s="6"/>
      <c r="NQ398" s="6"/>
      <c r="NR398" s="6"/>
      <c r="NS398" s="6"/>
      <c r="NT398" s="6"/>
      <c r="NU398" s="6"/>
      <c r="NV398" s="6"/>
      <c r="NW398" s="6"/>
      <c r="NX398" s="6"/>
      <c r="NY398" s="6"/>
      <c r="NZ398" s="6"/>
      <c r="OA398" s="6"/>
      <c r="OB398" s="6"/>
      <c r="OC398" s="6"/>
      <c r="OD398" s="6"/>
      <c r="OE398" s="6"/>
      <c r="OF398" s="6"/>
      <c r="OG398" s="6"/>
      <c r="OH398" s="6"/>
      <c r="OI398" s="6"/>
      <c r="OJ398" s="6"/>
      <c r="OK398" s="6"/>
      <c r="OL398" s="6"/>
      <c r="OM398" s="6"/>
      <c r="ON398" s="6"/>
      <c r="OO398" s="6"/>
      <c r="OP398" s="6"/>
      <c r="OQ398" s="6"/>
      <c r="OR398" s="6"/>
      <c r="OS398" s="6"/>
      <c r="OT398" s="6"/>
      <c r="OU398" s="6"/>
      <c r="OV398" s="6"/>
      <c r="OW398" s="6"/>
      <c r="OX398" s="6"/>
      <c r="OY398" s="6"/>
      <c r="OZ398" s="6"/>
      <c r="PA398" s="6"/>
      <c r="PB398" s="6"/>
      <c r="PC398" s="6"/>
      <c r="PD398" s="6"/>
      <c r="PE398" s="6"/>
      <c r="PF398" s="6"/>
      <c r="PG398" s="6"/>
      <c r="PH398" s="6"/>
      <c r="PI398" s="6"/>
      <c r="PJ398" s="6"/>
      <c r="PK398" s="6"/>
      <c r="PL398" s="6"/>
      <c r="PM398" s="6"/>
      <c r="PN398" s="6"/>
      <c r="PO398" s="6"/>
      <c r="PP398" s="6"/>
      <c r="PQ398" s="6"/>
      <c r="PR398" s="6"/>
      <c r="PS398" s="6"/>
      <c r="PT398" s="6"/>
      <c r="PU398" s="6"/>
      <c r="PV398" s="6"/>
      <c r="PW398" s="6"/>
      <c r="PX398" s="6"/>
      <c r="PY398" s="6"/>
      <c r="PZ398" s="6"/>
      <c r="QA398" s="6"/>
      <c r="QB398" s="6"/>
      <c r="QC398" s="6"/>
      <c r="QD398" s="6"/>
      <c r="QE398" s="6"/>
      <c r="QF398" s="6"/>
      <c r="QG398" s="6"/>
      <c r="QH398" s="6"/>
      <c r="QI398" s="6"/>
      <c r="QJ398" s="6"/>
      <c r="QK398" s="6"/>
      <c r="QL398" s="6"/>
      <c r="QM398" s="6"/>
      <c r="QN398" s="6"/>
      <c r="QO398" s="6"/>
      <c r="QP398" s="6"/>
      <c r="QQ398" s="6"/>
      <c r="QR398" s="6"/>
      <c r="QS398" s="6"/>
      <c r="QT398" s="6"/>
      <c r="QU398" s="6"/>
      <c r="QV398" s="6"/>
      <c r="QW398" s="6"/>
      <c r="QX398" s="6"/>
      <c r="QY398" s="6"/>
      <c r="QZ398" s="6"/>
      <c r="RA398" s="6"/>
      <c r="RB398" s="6"/>
      <c r="RC398" s="6"/>
      <c r="RD398" s="6"/>
      <c r="RE398" s="6"/>
      <c r="RF398" s="6"/>
      <c r="RG398" s="6"/>
      <c r="RH398" s="6"/>
      <c r="RI398" s="6"/>
      <c r="RJ398" s="6"/>
      <c r="RK398" s="6"/>
      <c r="RL398" s="6"/>
      <c r="RM398" s="6"/>
      <c r="RN398" s="6"/>
      <c r="RO398" s="6"/>
      <c r="RP398" s="6"/>
      <c r="RQ398" s="6"/>
      <c r="RR398" s="6"/>
      <c r="RS398" s="6"/>
      <c r="RT398" s="6"/>
      <c r="RU398" s="6"/>
      <c r="RV398" s="6"/>
      <c r="RW398" s="6"/>
      <c r="RX398" s="6"/>
      <c r="RY398" s="6"/>
      <c r="RZ398" s="6"/>
      <c r="SA398" s="6"/>
      <c r="SB398" s="6"/>
      <c r="SC398" s="6"/>
      <c r="SD398" s="6"/>
      <c r="SE398" s="6"/>
      <c r="SF398" s="6"/>
      <c r="SG398" s="6"/>
      <c r="SH398" s="6"/>
      <c r="SI398" s="6"/>
      <c r="SJ398" s="6"/>
      <c r="SK398" s="6"/>
      <c r="SL398" s="6"/>
      <c r="SM398" s="6"/>
      <c r="SN398" s="6"/>
      <c r="SO398" s="6"/>
      <c r="SP398" s="6"/>
      <c r="SQ398" s="6"/>
      <c r="SR398" s="6"/>
      <c r="SS398" s="6"/>
      <c r="ST398" s="6"/>
      <c r="SU398" s="6"/>
      <c r="SV398" s="6"/>
      <c r="SW398" s="6"/>
      <c r="SX398" s="6"/>
      <c r="SY398" s="6"/>
      <c r="SZ398" s="6"/>
      <c r="TA398" s="6"/>
      <c r="TB398" s="6"/>
      <c r="TC398" s="6"/>
      <c r="TD398" s="6"/>
      <c r="TE398" s="6"/>
      <c r="TF398" s="6"/>
      <c r="TG398" s="6"/>
      <c r="TH398" s="6"/>
      <c r="TI398" s="6"/>
      <c r="TJ398" s="6"/>
      <c r="TK398" s="6"/>
      <c r="TL398" s="6"/>
      <c r="TM398" s="6"/>
      <c r="TN398" s="6"/>
      <c r="TO398" s="6"/>
      <c r="TP398" s="6"/>
      <c r="TQ398" s="6"/>
      <c r="TR398" s="6"/>
      <c r="TS398" s="6"/>
      <c r="TT398" s="6"/>
      <c r="TU398" s="6"/>
      <c r="TV398" s="6"/>
      <c r="TW398" s="6"/>
      <c r="TX398" s="6"/>
      <c r="TY398" s="6"/>
      <c r="TZ398" s="6"/>
      <c r="UA398" s="6"/>
      <c r="UB398" s="6"/>
      <c r="UC398" s="6"/>
      <c r="UD398" s="6"/>
      <c r="UE398" s="6"/>
      <c r="UF398" s="6"/>
      <c r="UG398" s="6"/>
      <c r="UH398" s="6"/>
      <c r="UI398" s="6"/>
      <c r="UJ398" s="6"/>
      <c r="UK398" s="6"/>
      <c r="UL398" s="6"/>
      <c r="UM398" s="6"/>
      <c r="UN398" s="6"/>
      <c r="UO398" s="6"/>
      <c r="UP398" s="6"/>
      <c r="UQ398" s="6"/>
      <c r="UR398" s="6"/>
      <c r="US398" s="6"/>
      <c r="UT398" s="6"/>
      <c r="UU398" s="6"/>
      <c r="UV398" s="6"/>
      <c r="UW398" s="6"/>
      <c r="UX398" s="6"/>
      <c r="UY398" s="6"/>
      <c r="UZ398" s="6"/>
      <c r="VA398" s="6"/>
      <c r="VB398" s="6"/>
      <c r="VC398" s="6"/>
      <c r="VD398" s="6"/>
      <c r="VE398" s="6"/>
      <c r="VF398" s="6"/>
      <c r="VG398" s="6"/>
      <c r="VH398" s="6"/>
      <c r="VI398" s="6"/>
      <c r="VJ398" s="6"/>
      <c r="VK398" s="6"/>
      <c r="VL398" s="6"/>
      <c r="VM398" s="6"/>
      <c r="VN398" s="6"/>
      <c r="VO398" s="6"/>
      <c r="VP398" s="6"/>
      <c r="VQ398" s="6"/>
      <c r="VR398" s="6"/>
      <c r="VS398" s="6"/>
      <c r="VT398" s="6"/>
      <c r="VU398" s="6"/>
      <c r="VV398" s="6"/>
      <c r="VW398" s="6"/>
      <c r="VX398" s="6"/>
      <c r="VY398" s="6"/>
      <c r="VZ398" s="6"/>
      <c r="WA398" s="6"/>
      <c r="WB398" s="6"/>
      <c r="WC398" s="6"/>
      <c r="WD398" s="6"/>
      <c r="WE398" s="6"/>
      <c r="WF398" s="6"/>
      <c r="WG398" s="6"/>
      <c r="WH398" s="6"/>
      <c r="WI398" s="6"/>
      <c r="WJ398" s="6"/>
      <c r="WK398" s="6"/>
      <c r="WL398" s="6"/>
      <c r="WM398" s="6"/>
      <c r="WN398" s="6"/>
      <c r="WO398" s="6"/>
      <c r="WP398" s="6"/>
      <c r="WQ398" s="6"/>
      <c r="WR398" s="6"/>
      <c r="WS398" s="6"/>
      <c r="WT398" s="6"/>
      <c r="WU398" s="6"/>
      <c r="WV398" s="6"/>
      <c r="WW398" s="6"/>
      <c r="WX398" s="6"/>
      <c r="WY398" s="6"/>
      <c r="WZ398" s="6"/>
      <c r="XA398" s="6"/>
      <c r="XB398" s="6"/>
      <c r="XC398" s="6"/>
      <c r="XD398" s="6"/>
      <c r="XE398" s="6"/>
      <c r="XF398" s="6"/>
      <c r="XG398" s="6"/>
      <c r="XH398" s="6"/>
      <c r="XI398" s="6"/>
      <c r="XJ398" s="6"/>
      <c r="XK398" s="6"/>
      <c r="XL398" s="6"/>
      <c r="XM398" s="6"/>
      <c r="XN398" s="6"/>
      <c r="XO398" s="6"/>
      <c r="XP398" s="6"/>
      <c r="XQ398" s="6"/>
      <c r="XR398" s="6"/>
      <c r="XS398" s="6"/>
      <c r="XT398" s="6"/>
      <c r="XU398" s="6"/>
      <c r="XV398" s="6"/>
      <c r="XW398" s="6"/>
      <c r="XX398" s="6"/>
      <c r="XY398" s="6"/>
      <c r="XZ398" s="6"/>
      <c r="YA398" s="6"/>
      <c r="YB398" s="6"/>
      <c r="YC398" s="6"/>
      <c r="YD398" s="6"/>
      <c r="YE398" s="6"/>
      <c r="YF398" s="6"/>
      <c r="YG398" s="6"/>
      <c r="YH398" s="6"/>
      <c r="YI398" s="6"/>
      <c r="YJ398" s="6"/>
      <c r="YK398" s="6"/>
      <c r="YL398" s="6"/>
      <c r="YM398" s="6"/>
      <c r="YN398" s="6"/>
      <c r="YO398" s="6"/>
      <c r="YP398" s="6"/>
      <c r="YQ398" s="6"/>
      <c r="YR398" s="6"/>
      <c r="YS398" s="6"/>
      <c r="YT398" s="6"/>
      <c r="YU398" s="6"/>
      <c r="YV398" s="6"/>
      <c r="YW398" s="6"/>
      <c r="YX398" s="6"/>
      <c r="YY398" s="6"/>
      <c r="YZ398" s="6"/>
      <c r="ZA398" s="6"/>
      <c r="ZB398" s="6"/>
      <c r="ZC398" s="6"/>
      <c r="ZD398" s="6"/>
      <c r="ZE398" s="6"/>
      <c r="ZF398" s="6"/>
      <c r="ZG398" s="6"/>
      <c r="ZH398" s="6"/>
      <c r="ZI398" s="6"/>
      <c r="ZJ398" s="6"/>
      <c r="ZK398" s="6"/>
      <c r="ZL398" s="6"/>
      <c r="ZM398" s="6"/>
      <c r="ZN398" s="6"/>
      <c r="ZO398" s="6"/>
      <c r="ZP398" s="6"/>
      <c r="ZQ398" s="6"/>
      <c r="ZR398" s="6"/>
      <c r="ZS398" s="6"/>
      <c r="ZT398" s="6"/>
      <c r="ZU398" s="6"/>
      <c r="ZV398" s="6"/>
      <c r="ZW398" s="6"/>
      <c r="ZX398" s="6"/>
      <c r="ZY398" s="6"/>
      <c r="ZZ398" s="6"/>
      <c r="AAA398" s="6"/>
      <c r="AAB398" s="6"/>
      <c r="AAC398" s="6"/>
      <c r="AAD398" s="6"/>
      <c r="AAE398" s="6"/>
      <c r="AAF398" s="6"/>
      <c r="AAG398" s="6"/>
      <c r="AAH398" s="6"/>
      <c r="AAI398" s="6"/>
      <c r="AAJ398" s="6"/>
      <c r="AAK398" s="6"/>
      <c r="AAL398" s="6"/>
      <c r="AAM398" s="6"/>
      <c r="AAN398" s="6"/>
      <c r="AAO398" s="6"/>
      <c r="AAP398" s="6"/>
      <c r="AAQ398" s="6"/>
      <c r="AAR398" s="6"/>
      <c r="AAS398" s="6"/>
      <c r="AAT398" s="6"/>
      <c r="AAU398" s="6"/>
      <c r="AAV398" s="6"/>
      <c r="AAW398" s="6"/>
      <c r="AAX398" s="6"/>
      <c r="AAY398" s="6"/>
      <c r="AAZ398" s="6"/>
      <c r="ABA398" s="6"/>
      <c r="ABB398" s="6"/>
      <c r="ABC398" s="6"/>
      <c r="ABD398" s="6"/>
      <c r="ABE398" s="6"/>
      <c r="ABF398" s="6"/>
      <c r="ABG398" s="6"/>
      <c r="ABH398" s="6"/>
      <c r="ABI398" s="6"/>
      <c r="ABJ398" s="6"/>
      <c r="ABK398" s="6"/>
      <c r="ABL398" s="6"/>
      <c r="ABM398" s="6"/>
      <c r="ABN398" s="6"/>
      <c r="ABO398" s="6"/>
      <c r="ABP398" s="6"/>
      <c r="ABQ398" s="6"/>
      <c r="ABR398" s="6"/>
      <c r="ABS398" s="6"/>
      <c r="ABT398" s="6"/>
      <c r="ABU398" s="6"/>
      <c r="ABV398" s="6"/>
      <c r="ABW398" s="6"/>
      <c r="ABX398" s="6"/>
      <c r="ABY398" s="6"/>
      <c r="ABZ398" s="6"/>
      <c r="ACA398" s="6"/>
      <c r="ACB398" s="6"/>
      <c r="ACC398" s="6"/>
      <c r="ACD398" s="6"/>
      <c r="ACE398" s="6"/>
      <c r="ACF398" s="6"/>
      <c r="ACG398" s="6"/>
      <c r="ACH398" s="6"/>
      <c r="ACI398" s="6"/>
      <c r="ACJ398" s="6"/>
      <c r="ACK398" s="6"/>
      <c r="ACL398" s="6"/>
      <c r="ACM398" s="6"/>
      <c r="ACN398" s="6"/>
      <c r="ACO398" s="6"/>
      <c r="ACP398" s="6"/>
      <c r="ACQ398" s="6"/>
      <c r="ACR398" s="6"/>
      <c r="ACS398" s="6"/>
      <c r="ACT398" s="6"/>
      <c r="ACU398" s="6"/>
      <c r="ACV398" s="6"/>
      <c r="ACW398" s="6"/>
      <c r="ACX398" s="6"/>
      <c r="ACY398" s="6"/>
      <c r="ACZ398" s="6"/>
      <c r="ADA398" s="6"/>
      <c r="ADB398" s="6"/>
      <c r="ADC398" s="6"/>
      <c r="ADD398" s="6"/>
      <c r="ADE398" s="6"/>
      <c r="ADF398" s="6"/>
      <c r="ADG398" s="6"/>
      <c r="ADH398" s="6"/>
      <c r="ADI398" s="6"/>
      <c r="ADJ398" s="6"/>
      <c r="ADK398" s="6"/>
      <c r="ADL398" s="6"/>
      <c r="ADM398" s="6"/>
      <c r="ADN398" s="6"/>
      <c r="ADO398" s="6"/>
      <c r="ADP398" s="6"/>
      <c r="ADQ398" s="6"/>
      <c r="ADR398" s="6"/>
      <c r="ADS398" s="6"/>
      <c r="ADT398" s="6"/>
      <c r="ADU398" s="6"/>
      <c r="ADV398" s="6"/>
      <c r="ADW398" s="6"/>
      <c r="ADX398" s="6"/>
      <c r="ADY398" s="6"/>
      <c r="ADZ398" s="6"/>
      <c r="AEA398" s="6"/>
      <c r="AEB398" s="6"/>
      <c r="AEC398" s="6"/>
      <c r="AED398" s="6"/>
      <c r="AEE398" s="6"/>
      <c r="AEF398" s="6"/>
      <c r="AEG398" s="6"/>
      <c r="AEH398" s="6"/>
      <c r="AEI398" s="6"/>
      <c r="AEJ398" s="6"/>
      <c r="AEK398" s="6"/>
      <c r="AEL398" s="6"/>
      <c r="AEM398" s="6"/>
      <c r="AEN398" s="6"/>
      <c r="AEO398" s="6"/>
      <c r="AEP398" s="6"/>
      <c r="AEQ398" s="6"/>
      <c r="AER398" s="6"/>
      <c r="AES398" s="6"/>
      <c r="AET398" s="6"/>
      <c r="AEU398" s="6"/>
      <c r="AEV398" s="6"/>
      <c r="AEW398" s="6"/>
      <c r="AEX398" s="6"/>
      <c r="AEY398" s="6"/>
      <c r="AEZ398" s="6"/>
      <c r="AFA398" s="6"/>
      <c r="AFB398" s="6"/>
      <c r="AFC398" s="6"/>
      <c r="AFD398" s="6"/>
      <c r="AFE398" s="6"/>
      <c r="AFF398" s="6"/>
      <c r="AFG398" s="6"/>
      <c r="AFH398" s="6"/>
      <c r="AFI398" s="6"/>
      <c r="AFJ398" s="6"/>
      <c r="AFK398" s="6"/>
      <c r="AFL398" s="6"/>
      <c r="AFM398" s="6"/>
      <c r="AFN398" s="6"/>
      <c r="AFO398" s="6"/>
      <c r="AFP398" s="6"/>
      <c r="AFQ398" s="6"/>
      <c r="AFR398" s="6"/>
      <c r="AFS398" s="6"/>
      <c r="AFT398" s="6"/>
      <c r="AFU398" s="6"/>
      <c r="AFV398" s="6"/>
      <c r="AFW398" s="6"/>
      <c r="AFX398" s="6"/>
      <c r="AFY398" s="6"/>
      <c r="AFZ398" s="6"/>
      <c r="AGA398" s="6"/>
      <c r="AGB398" s="6"/>
      <c r="AGC398" s="6"/>
      <c r="AGD398" s="6"/>
      <c r="AGE398" s="6"/>
      <c r="AGF398" s="6"/>
      <c r="AGG398" s="6"/>
      <c r="AGH398" s="6"/>
      <c r="AGI398" s="6"/>
      <c r="AGJ398" s="6"/>
      <c r="AGK398" s="6"/>
      <c r="AGL398" s="6"/>
      <c r="AGM398" s="6"/>
      <c r="AGN398" s="6"/>
      <c r="AGO398" s="6"/>
      <c r="AGP398" s="6"/>
      <c r="AGQ398" s="6"/>
      <c r="AGR398" s="6"/>
      <c r="AGS398" s="6"/>
      <c r="AGT398" s="6"/>
      <c r="AGU398" s="6"/>
      <c r="AGV398" s="6"/>
      <c r="AGW398" s="6"/>
      <c r="AGX398" s="6"/>
      <c r="AGY398" s="6"/>
      <c r="AGZ398" s="6"/>
      <c r="AHA398" s="6"/>
      <c r="AHB398" s="6"/>
      <c r="AHC398" s="6"/>
      <c r="AHD398" s="6"/>
      <c r="AHE398" s="6"/>
      <c r="AHF398" s="6"/>
      <c r="AHG398" s="6"/>
      <c r="AHH398" s="6"/>
      <c r="AHI398" s="6"/>
      <c r="AHJ398" s="6"/>
      <c r="AHK398" s="6"/>
      <c r="AHL398" s="6"/>
      <c r="AHM398" s="6"/>
      <c r="AHN398" s="6"/>
      <c r="AHO398" s="6"/>
      <c r="AHP398" s="6"/>
      <c r="AHQ398" s="6"/>
      <c r="AHR398" s="6"/>
      <c r="AHS398" s="6"/>
      <c r="AHT398" s="6"/>
      <c r="AHU398" s="6"/>
      <c r="AHV398" s="6"/>
      <c r="AHW398" s="6"/>
      <c r="AHX398" s="6"/>
      <c r="AHY398" s="6"/>
      <c r="AHZ398" s="6"/>
      <c r="AIA398" s="6"/>
      <c r="AIB398" s="6"/>
      <c r="AIC398" s="6"/>
      <c r="AID398" s="6"/>
      <c r="AIE398" s="6"/>
      <c r="AIF398" s="6"/>
      <c r="AIG398" s="6"/>
      <c r="AIH398" s="6"/>
      <c r="AII398" s="6"/>
      <c r="AIJ398" s="6"/>
      <c r="AIK398" s="6"/>
      <c r="AIL398" s="6"/>
      <c r="AIM398" s="6"/>
      <c r="AIN398" s="6"/>
      <c r="AIO398" s="6"/>
      <c r="AIP398" s="6"/>
      <c r="AIQ398" s="6"/>
      <c r="AIR398" s="6"/>
      <c r="AIS398" s="6"/>
      <c r="AIT398" s="6"/>
      <c r="AIU398" s="6"/>
      <c r="AIV398" s="6"/>
      <c r="AIW398" s="6"/>
      <c r="AIX398" s="6"/>
      <c r="AIY398" s="6"/>
      <c r="AIZ398" s="6"/>
      <c r="AJA398" s="6"/>
      <c r="AJB398" s="6"/>
      <c r="AJC398" s="6"/>
      <c r="AJD398" s="6"/>
      <c r="AJE398" s="6"/>
      <c r="AJF398" s="6"/>
      <c r="AJG398" s="6"/>
      <c r="AJH398" s="6"/>
      <c r="AJI398" s="6"/>
      <c r="AJJ398" s="6"/>
      <c r="AJK398" s="6"/>
      <c r="AJL398" s="6"/>
      <c r="AJM398" s="6"/>
      <c r="AJN398" s="6"/>
      <c r="AJO398" s="6"/>
      <c r="AJP398" s="6"/>
      <c r="AJQ398" s="6"/>
      <c r="AJR398" s="6"/>
      <c r="AJS398" s="6"/>
      <c r="AJT398" s="6"/>
      <c r="AJU398" s="6"/>
      <c r="AJV398" s="6"/>
      <c r="AJW398" s="6"/>
      <c r="AJX398" s="6"/>
      <c r="AJY398" s="6"/>
      <c r="AJZ398" s="6"/>
      <c r="AKA398" s="6"/>
      <c r="AKB398" s="6"/>
      <c r="AKC398" s="6"/>
      <c r="AKD398" s="6"/>
      <c r="AKE398" s="6"/>
      <c r="AKF398" s="6"/>
      <c r="AKG398" s="6"/>
      <c r="AKH398" s="6"/>
      <c r="AKI398" s="6"/>
      <c r="AKJ398" s="6"/>
      <c r="AKK398" s="6"/>
      <c r="AKL398" s="6"/>
      <c r="AKM398" s="6"/>
      <c r="AKN398" s="6"/>
      <c r="AKO398" s="6"/>
      <c r="AKP398" s="6"/>
      <c r="AKQ398" s="6"/>
      <c r="AKR398" s="6"/>
      <c r="AKS398" s="6"/>
      <c r="AKT398" s="6"/>
      <c r="AKU398" s="6"/>
      <c r="AKV398" s="6"/>
      <c r="AKW398" s="6"/>
      <c r="AKX398" s="6"/>
      <c r="AKY398" s="6"/>
      <c r="AKZ398" s="6"/>
      <c r="ALA398" s="6"/>
      <c r="ALB398" s="6"/>
      <c r="ALC398" s="6"/>
      <c r="ALD398" s="6"/>
      <c r="ALE398" s="6"/>
      <c r="ALF398" s="6"/>
      <c r="ALG398" s="6"/>
      <c r="ALH398" s="6"/>
      <c r="ALI398" s="6"/>
      <c r="ALJ398" s="6"/>
      <c r="ALK398" s="6"/>
      <c r="ALL398" s="6"/>
      <c r="ALM398" s="6"/>
      <c r="ALN398" s="6"/>
      <c r="ALO398" s="6"/>
      <c r="ALP398" s="6"/>
      <c r="ALQ398" s="6"/>
      <c r="ALR398" s="6"/>
      <c r="ALS398" s="6"/>
      <c r="ALT398" s="6"/>
      <c r="ALU398" s="6"/>
      <c r="ALV398" s="6"/>
      <c r="ALW398" s="6"/>
      <c r="ALX398" s="6"/>
      <c r="ALY398" s="6"/>
      <c r="ALZ398" s="6"/>
      <c r="AMA398" s="6"/>
      <c r="AMB398" s="6"/>
      <c r="AMC398" s="6"/>
      <c r="AMD398" s="6"/>
      <c r="AME398" s="6"/>
      <c r="AMF398" s="6"/>
      <c r="AMG398" s="6"/>
      <c r="AMH398" s="6"/>
      <c r="AMI398" s="6"/>
      <c r="AMJ398" s="6"/>
      <c r="AMK398" s="6"/>
      <c r="AML398" s="6"/>
      <c r="AMM398" s="6"/>
      <c r="AMN398" s="6"/>
      <c r="AMO398" s="6"/>
      <c r="AMP398" s="6"/>
    </row>
    <row r="399" spans="1:1030" s="12" customFormat="1" x14ac:dyDescent="0.2">
      <c r="A399" s="9" t="str">
        <f t="shared" ref="A399" si="3465">CONCATENATE(B399,"_",C399)</f>
        <v>calrl_human_6UUN</v>
      </c>
      <c r="B399" s="40" t="s">
        <v>402</v>
      </c>
      <c r="C399" s="9" t="s">
        <v>1672</v>
      </c>
      <c r="D399" s="9" t="str">
        <f>IFERROR(MID(VLOOKUP($B399,Seqs!$A:$B,2,0),E399,1),"")</f>
        <v>T</v>
      </c>
      <c r="E399" s="9">
        <v>131</v>
      </c>
      <c r="F399" s="9" t="str">
        <f>IFERROR(MID(VLOOKUP($B399,Seqs!$A:$B,2,0),G399,1),"")</f>
        <v>F</v>
      </c>
      <c r="G399" s="9">
        <v>166</v>
      </c>
      <c r="H399" s="9" t="str">
        <f>IFERROR(MID(VLOOKUP($B399,Seqs!$A:$B,2,0),I399,1),"")</f>
        <v/>
      </c>
      <c r="I399" s="109" t="s">
        <v>23</v>
      </c>
      <c r="J399" s="9" t="str">
        <f>IFERROR(MID(VLOOKUP($B399,Seqs!$A:$B,2,0),K399,1),"")</f>
        <v/>
      </c>
      <c r="K399" s="109" t="s">
        <v>23</v>
      </c>
      <c r="L399" s="9" t="str">
        <f>IFERROR(MID(VLOOKUP($B399,Seqs!$A:$B,2,0),M399,1),"")</f>
        <v>C</v>
      </c>
      <c r="M399" s="9">
        <v>171</v>
      </c>
      <c r="N399" s="9" t="str">
        <f>IFERROR(MID(VLOOKUP($B399,Seqs!$A:$B,2,0),O399,1),"")</f>
        <v>A</v>
      </c>
      <c r="O399" s="9">
        <v>199</v>
      </c>
      <c r="P399" s="9" t="str">
        <f>IFERROR(MID(VLOOKUP($B399,Seqs!$A:$B,2,0),Q399,1),"")</f>
        <v/>
      </c>
      <c r="Q399" s="9" t="s">
        <v>23</v>
      </c>
      <c r="R399" s="9" t="str">
        <f>IFERROR(MID(VLOOKUP($B399,Seqs!$A:$B,2,0),S399,1),"")</f>
        <v/>
      </c>
      <c r="S399" s="9" t="s">
        <v>23</v>
      </c>
      <c r="T399" s="9" t="str">
        <f>IFERROR(MID(VLOOKUP($B399,Seqs!$A:$B,2,0),U399,1),"")</f>
        <v>P</v>
      </c>
      <c r="U399" s="9">
        <v>209</v>
      </c>
      <c r="V399" s="9" t="str">
        <f>IFERROR(MID(VLOOKUP($B399,Seqs!$A:$B,2,0),W399,1),"")</f>
        <v>V</v>
      </c>
      <c r="W399" s="9">
        <v>242</v>
      </c>
      <c r="X399" s="9" t="str">
        <f>IFERROR(MID(VLOOKUP($B399,Seqs!$A:$B,2,0),Y399,1),"")</f>
        <v/>
      </c>
      <c r="Y399" s="9" t="s">
        <v>23</v>
      </c>
      <c r="Z399" s="9" t="str">
        <f>IFERROR(MID(VLOOKUP($B399,Seqs!$A:$B,2,0),AA399,1),"")</f>
        <v/>
      </c>
      <c r="AA399" s="9" t="s">
        <v>23</v>
      </c>
      <c r="AB399" s="9" t="str">
        <f>IFERROR(MID(VLOOKUP($B399,Seqs!$A:$B,2,0),AC399,1),"")</f>
        <v>M</v>
      </c>
      <c r="AC399" s="9">
        <v>253</v>
      </c>
      <c r="AD399" s="9" t="str">
        <f>IFERROR(MID(VLOOKUP($B399,Seqs!$A:$B,2,0),AE399,1),"")</f>
        <v>Y</v>
      </c>
      <c r="AE399" s="9">
        <v>278</v>
      </c>
      <c r="AF399" s="9" t="str">
        <f>IFERROR(MID(VLOOKUP($B399,Seqs!$A:$B,2,0),AG399,1),"")</f>
        <v>C</v>
      </c>
      <c r="AG399" s="9">
        <v>282</v>
      </c>
      <c r="AH399" s="9" t="str">
        <f>IFERROR(MID(VLOOKUP($B399,Seqs!$A:$B,2,0),AI399,1),"")</f>
        <v>I</v>
      </c>
      <c r="AI399" s="9">
        <v>284</v>
      </c>
      <c r="AJ399" s="9" t="str">
        <f>IFERROR(MID(VLOOKUP($B399,Seqs!$A:$B,2,0),AK399,1),"")</f>
        <v>L</v>
      </c>
      <c r="AK399" s="9">
        <v>290</v>
      </c>
      <c r="AL399" s="9" t="str">
        <f>IFERROR(MID(VLOOKUP($B399,Seqs!$A:$B,2,0),AM399,1),"")</f>
        <v>K</v>
      </c>
      <c r="AM399" s="9">
        <v>321</v>
      </c>
      <c r="AN399" s="9" t="str">
        <f>IFERROR(MID(VLOOKUP($B399,Seqs!$A:$B,2,0),AO399,1),"")</f>
        <v>K</v>
      </c>
      <c r="AO399" s="9">
        <v>333</v>
      </c>
      <c r="AP399" s="9" t="str">
        <f>IFERROR(MID(VLOOKUP($B399,Seqs!$A:$B,2,0),AQ399,1),"")</f>
        <v>L</v>
      </c>
      <c r="AQ399" s="9">
        <v>351</v>
      </c>
      <c r="AR399" s="9" t="str">
        <f>IFERROR(MID(VLOOKUP($B399,Seqs!$A:$B,2,0),AS399,1),"")</f>
        <v>E</v>
      </c>
      <c r="AS399" s="9">
        <v>363</v>
      </c>
      <c r="AT399" s="9" t="str">
        <f>IFERROR(MID(VLOOKUP($B399,Seqs!$A:$B,2,0),AU399,1),"")</f>
        <v>F</v>
      </c>
      <c r="AU399" s="9">
        <v>387</v>
      </c>
      <c r="AV399" s="9" t="str">
        <f>IFERROR(MID(VLOOKUP($B399,Seqs!$A:$B,2,0),AW399,1),"")</f>
        <v>N</v>
      </c>
      <c r="AW399" s="9">
        <v>388</v>
      </c>
      <c r="AX399" s="9" t="str">
        <f>IFERROR(MID(VLOOKUP($B399,Seqs!$A:$B,2,0),AY399,1),"")</f>
        <v>W</v>
      </c>
      <c r="AY399" s="9">
        <v>399</v>
      </c>
      <c r="AZ399" s="110" t="str">
        <f>VLOOKUP(B399,Classification!A:D,2,0)</f>
        <v>B1</v>
      </c>
      <c r="BA399" s="98" t="str">
        <f>VLOOKUP(B399,Classification!A:D,4,0)</f>
        <v>Calcitonin</v>
      </c>
      <c r="BB399" s="36" t="b">
        <f t="shared" ref="BB399" si="3466">AND(E399&lt;G399,OR(G399&lt;I399,I399="-"),OR(I399&lt;K399,I399="-"),OR(K399&lt;M399,K399="-"),M399&lt;O399,OR(O399&lt;Q399,Q399="-"),OR(Q399&lt;S399,Q399="-"),OR(S399&lt;U399,S399="-"),U399&lt;W399,OR(W399&lt;Y399,Y399="-"),OR(Y399&lt;AA399,Y399="-"),OR(AA399&lt;AC399,AA399="-"),AC399&lt;AE399,OR(AE399&lt;AG399,AG399="-"),OR(AG399&lt;AI399,AG399="-"),OR(AI399&lt;AK399,AI399="-"),AK399&lt;AM399,AM399&lt;AO399,AO399&lt;AQ399,AQ399&lt;AS399,AS399&lt;AU399,OR(AU399&lt;AW399,AW399="-"),OR(AW399&lt;AY399,AW399="-"))</f>
        <v>1</v>
      </c>
      <c r="BC399" s="109">
        <f t="shared" ref="BC399" si="3467">_xlfn.AGGREGATE(9,6,CH399:CS399)-_xlfn.AGGREGATE(9,6,BV399:CG399)+12</f>
        <v>219</v>
      </c>
      <c r="BD399" s="11" t="s">
        <v>23</v>
      </c>
      <c r="BE399" s="9" t="s">
        <v>1291</v>
      </c>
      <c r="BF399" s="119">
        <v>3</v>
      </c>
      <c r="BG399" s="51" t="s">
        <v>1422</v>
      </c>
      <c r="BH399" s="51" t="s">
        <v>1422</v>
      </c>
      <c r="BJ399" s="111" t="s">
        <v>1287</v>
      </c>
      <c r="BK399" s="112" t="s">
        <v>1287</v>
      </c>
      <c r="BL399" s="112" t="s">
        <v>1287</v>
      </c>
      <c r="BM399" s="112" t="s">
        <v>1287</v>
      </c>
      <c r="BN399" s="112" t="s">
        <v>1287</v>
      </c>
      <c r="BO399" s="112" t="s">
        <v>1287</v>
      </c>
      <c r="BP399" s="112" t="s">
        <v>1287</v>
      </c>
      <c r="BQ399" s="112" t="s">
        <v>1287</v>
      </c>
      <c r="BR399" s="112" t="s">
        <v>1287</v>
      </c>
      <c r="BS399" s="112" t="s">
        <v>1287</v>
      </c>
      <c r="BT399" s="112" t="s">
        <v>1287</v>
      </c>
      <c r="BU399" s="112" t="s">
        <v>1287</v>
      </c>
      <c r="BV399" s="111">
        <f t="shared" ref="BV399" si="3468">E399</f>
        <v>131</v>
      </c>
      <c r="BW399" s="113" t="str">
        <f t="shared" ref="BW399" si="3469">I399</f>
        <v>-</v>
      </c>
      <c r="BX399" s="114">
        <f t="shared" ref="BX399" si="3470">M399</f>
        <v>171</v>
      </c>
      <c r="BY399" s="113" t="str">
        <f t="shared" ref="BY399" si="3471">Q399</f>
        <v>-</v>
      </c>
      <c r="BZ399" s="114">
        <f t="shared" ref="BZ399" si="3472">U399</f>
        <v>209</v>
      </c>
      <c r="CA399" s="113" t="str">
        <f t="shared" ref="CA399" si="3473">Y399</f>
        <v>-</v>
      </c>
      <c r="CB399" s="114">
        <f t="shared" ref="CB399" si="3474">AC399</f>
        <v>253</v>
      </c>
      <c r="CC399" s="113">
        <f t="shared" ref="CC399" si="3475">AG399</f>
        <v>282</v>
      </c>
      <c r="CD399" s="114">
        <f t="shared" ref="CD399" si="3476">AK399</f>
        <v>290</v>
      </c>
      <c r="CE399" s="113">
        <f t="shared" ref="CE399" si="3477">AO399</f>
        <v>333</v>
      </c>
      <c r="CF399" s="114">
        <f t="shared" ref="CF399" si="3478">AS399</f>
        <v>363</v>
      </c>
      <c r="CG399" s="113">
        <f t="shared" ref="CG399" si="3479">AW399</f>
        <v>388</v>
      </c>
      <c r="CH399" s="111">
        <f t="shared" ref="CH399" si="3480">G399</f>
        <v>166</v>
      </c>
      <c r="CI399" s="113" t="str">
        <f t="shared" ref="CI399" si="3481">K399</f>
        <v>-</v>
      </c>
      <c r="CJ399" s="114">
        <f t="shared" ref="CJ399" si="3482">O399</f>
        <v>199</v>
      </c>
      <c r="CK399" s="114" t="str">
        <f t="shared" ref="CK399" si="3483">S399</f>
        <v>-</v>
      </c>
      <c r="CL399" s="114">
        <f t="shared" ref="CL399" si="3484">W399</f>
        <v>242</v>
      </c>
      <c r="CM399" s="114" t="str">
        <f t="shared" ref="CM399" si="3485">AA399</f>
        <v>-</v>
      </c>
      <c r="CN399" s="114">
        <f t="shared" ref="CN399" si="3486">AE399</f>
        <v>278</v>
      </c>
      <c r="CO399" s="114">
        <f t="shared" ref="CO399" si="3487">AI399</f>
        <v>284</v>
      </c>
      <c r="CP399" s="114">
        <f t="shared" ref="CP399" si="3488">AM399</f>
        <v>321</v>
      </c>
      <c r="CQ399" s="114">
        <f t="shared" ref="CQ399" si="3489">AQ399</f>
        <v>351</v>
      </c>
      <c r="CR399" s="114">
        <f t="shared" ref="CR399" si="3490">AU399</f>
        <v>387</v>
      </c>
      <c r="CS399" s="114">
        <f t="shared" ref="CS399" si="3491">AY399</f>
        <v>399</v>
      </c>
      <c r="CT399" s="109" t="e">
        <f t="shared" ref="CT399" si="3492">M399-K399</f>
        <v>#VALUE!</v>
      </c>
      <c r="CU399" s="128"/>
      <c r="CV399" s="128"/>
      <c r="CW399" s="128"/>
      <c r="CX399" s="128"/>
      <c r="CY399" s="128"/>
      <c r="CZ399" s="128"/>
      <c r="DA399" s="128"/>
      <c r="DB399" s="128"/>
      <c r="DC399" s="128"/>
      <c r="DD399" s="128"/>
      <c r="DE399" s="128"/>
      <c r="DF399" s="128"/>
      <c r="DG399" s="128"/>
      <c r="DH399" s="128"/>
      <c r="DI399" s="128"/>
      <c r="DJ399" s="128"/>
      <c r="DK399" s="128"/>
      <c r="DL399" s="128"/>
      <c r="DM399" s="128"/>
      <c r="DN399" s="128"/>
      <c r="DO399" s="128"/>
      <c r="DP399" s="128"/>
      <c r="DQ399" s="128"/>
      <c r="DR399" s="128"/>
      <c r="DS399" s="128"/>
      <c r="DT399" s="128"/>
      <c r="DU399" s="128"/>
      <c r="DV399" s="128"/>
      <c r="DW399" s="128"/>
      <c r="DX399" s="128"/>
      <c r="DY399" s="128"/>
      <c r="DZ399" s="128"/>
      <c r="EA399" s="128"/>
      <c r="EB399" s="128"/>
      <c r="EC399" s="128"/>
      <c r="ED399" s="128"/>
      <c r="EE399" s="128"/>
      <c r="EF399" s="128"/>
      <c r="EG399" s="128"/>
      <c r="EH399" s="128"/>
      <c r="EI399" s="128"/>
      <c r="EJ399" s="128"/>
      <c r="EK399" s="128"/>
      <c r="EL399" s="128"/>
      <c r="EM399" s="128"/>
      <c r="EN399" s="128"/>
      <c r="EO399" s="128"/>
      <c r="EP399" s="128"/>
      <c r="EQ399" s="128"/>
      <c r="ER399" s="128"/>
      <c r="ES399" s="128"/>
      <c r="ET399" s="128"/>
      <c r="EU399" s="128"/>
      <c r="EV399" s="128"/>
      <c r="EW399" s="128"/>
      <c r="EX399" s="128"/>
      <c r="EY399" s="128"/>
      <c r="EZ399" s="128"/>
      <c r="FA399" s="128"/>
      <c r="FB399" s="128"/>
      <c r="FC399" s="128"/>
      <c r="FD399" s="128"/>
      <c r="FE399" s="128"/>
      <c r="FF399" s="128"/>
      <c r="FG399" s="128"/>
      <c r="FH399" s="128"/>
      <c r="FI399" s="128"/>
      <c r="FJ399" s="128"/>
      <c r="FK399" s="128"/>
      <c r="FL399" s="128"/>
      <c r="FM399" s="128"/>
      <c r="FN399" s="128"/>
      <c r="FO399" s="128"/>
      <c r="FP399" s="128"/>
      <c r="FQ399" s="128"/>
      <c r="FR399" s="128"/>
      <c r="FS399" s="128"/>
      <c r="FT399" s="128"/>
      <c r="FU399" s="128"/>
      <c r="FV399" s="128"/>
      <c r="FW399" s="128"/>
      <c r="FX399" s="128"/>
      <c r="FY399" s="128"/>
      <c r="FZ399" s="128"/>
      <c r="GA399" s="128"/>
      <c r="GB399" s="128"/>
      <c r="GC399" s="128"/>
      <c r="GD399" s="128"/>
      <c r="GE399" s="128"/>
      <c r="GF399" s="128"/>
      <c r="GG399" s="128"/>
      <c r="GH399" s="128"/>
      <c r="GI399" s="128"/>
      <c r="GJ399" s="128"/>
      <c r="GK399" s="128"/>
      <c r="GL399" s="128"/>
      <c r="GM399" s="128"/>
      <c r="GN399" s="128"/>
      <c r="GO399" s="128"/>
      <c r="GP399" s="128"/>
      <c r="GQ399" s="128"/>
      <c r="GR399" s="128"/>
      <c r="GS399" s="128"/>
      <c r="GT399" s="128"/>
      <c r="GU399" s="128"/>
      <c r="GV399" s="128"/>
      <c r="GW399" s="128"/>
      <c r="GX399" s="128"/>
      <c r="GY399" s="128"/>
      <c r="GZ399" s="128"/>
      <c r="HA399" s="128"/>
      <c r="HB399" s="128"/>
      <c r="HC399" s="128"/>
      <c r="HD399" s="128"/>
      <c r="HE399" s="128"/>
      <c r="HF399" s="128"/>
      <c r="HG399" s="128"/>
      <c r="HH399" s="128"/>
      <c r="HI399" s="128"/>
      <c r="HJ399" s="128"/>
      <c r="HK399" s="128"/>
      <c r="HL399" s="128"/>
      <c r="HM399" s="128"/>
      <c r="HN399" s="128"/>
      <c r="HO399" s="128"/>
      <c r="HP399" s="128"/>
      <c r="HQ399" s="128"/>
      <c r="HR399" s="128"/>
      <c r="HS399" s="128"/>
      <c r="HT399" s="128"/>
      <c r="HU399" s="128"/>
      <c r="HV399" s="128"/>
      <c r="HW399" s="128"/>
      <c r="HX399" s="128"/>
      <c r="HY399" s="128"/>
      <c r="HZ399" s="128"/>
      <c r="IA399" s="128"/>
      <c r="IB399" s="128"/>
      <c r="IC399" s="128"/>
      <c r="ID399" s="128"/>
      <c r="IE399" s="128"/>
      <c r="IF399" s="128"/>
      <c r="IG399" s="128"/>
      <c r="IH399" s="128"/>
      <c r="II399" s="128"/>
      <c r="IJ399" s="128"/>
      <c r="IK399" s="128"/>
      <c r="IL399" s="128"/>
      <c r="IM399" s="128"/>
      <c r="IN399" s="128"/>
      <c r="IO399" s="128"/>
      <c r="IP399" s="128"/>
      <c r="IQ399" s="128"/>
      <c r="IR399" s="128"/>
      <c r="IS399" s="128"/>
      <c r="IT399" s="128"/>
      <c r="IU399" s="128"/>
      <c r="IV399" s="128"/>
      <c r="IW399" s="128"/>
      <c r="IX399" s="128"/>
      <c r="IY399" s="128"/>
      <c r="IZ399" s="128"/>
      <c r="JA399" s="128"/>
      <c r="JB399" s="128"/>
      <c r="JC399" s="128"/>
      <c r="JD399" s="128"/>
      <c r="JE399" s="128"/>
      <c r="JF399" s="128"/>
      <c r="JG399" s="128"/>
      <c r="JH399" s="128"/>
      <c r="JI399" s="128"/>
      <c r="JJ399" s="128"/>
      <c r="JK399" s="128"/>
      <c r="JL399" s="128"/>
      <c r="JM399" s="128"/>
      <c r="JN399" s="128"/>
      <c r="JO399" s="128"/>
      <c r="JP399" s="128"/>
      <c r="JQ399" s="128"/>
      <c r="JR399" s="128"/>
      <c r="JS399" s="128"/>
      <c r="JT399" s="128"/>
      <c r="JU399" s="128"/>
      <c r="JV399" s="128"/>
      <c r="JW399" s="128"/>
      <c r="JX399" s="128"/>
      <c r="JY399" s="128"/>
      <c r="JZ399" s="128"/>
      <c r="KA399" s="128"/>
      <c r="KB399" s="128"/>
      <c r="KC399" s="128"/>
      <c r="KD399" s="128"/>
      <c r="KE399" s="128"/>
      <c r="KF399" s="128"/>
      <c r="KG399" s="128"/>
      <c r="KH399" s="128"/>
      <c r="KI399" s="128"/>
      <c r="KJ399" s="128"/>
      <c r="KK399" s="128"/>
      <c r="KL399" s="128"/>
      <c r="KM399" s="128"/>
      <c r="KN399" s="128"/>
      <c r="KO399" s="128"/>
      <c r="KP399" s="128"/>
      <c r="KQ399" s="128"/>
      <c r="KR399" s="128"/>
      <c r="KS399" s="128"/>
      <c r="KT399" s="128"/>
      <c r="KU399" s="128"/>
      <c r="KV399" s="128"/>
      <c r="KW399" s="128"/>
      <c r="KX399" s="128"/>
      <c r="KY399" s="128"/>
      <c r="KZ399" s="128"/>
      <c r="LA399" s="128"/>
      <c r="LB399" s="128"/>
      <c r="LC399" s="128"/>
      <c r="LD399" s="128"/>
      <c r="LE399" s="128"/>
      <c r="LF399" s="128"/>
      <c r="LG399" s="128"/>
      <c r="LH399" s="128"/>
      <c r="LI399" s="128"/>
      <c r="LJ399" s="128"/>
      <c r="LK399" s="128"/>
      <c r="LL399" s="128"/>
      <c r="LM399" s="128"/>
      <c r="LN399" s="128"/>
      <c r="LO399" s="128"/>
      <c r="LP399" s="128"/>
      <c r="LQ399" s="128"/>
      <c r="LR399" s="128"/>
      <c r="LS399" s="128"/>
      <c r="LT399" s="128"/>
      <c r="LU399" s="128"/>
      <c r="LV399" s="128"/>
      <c r="LW399" s="128"/>
      <c r="LX399" s="128"/>
      <c r="LY399" s="128"/>
      <c r="LZ399" s="128"/>
      <c r="MA399" s="128"/>
      <c r="MB399" s="128"/>
      <c r="MC399" s="128"/>
      <c r="MD399" s="128"/>
      <c r="ME399" s="128"/>
      <c r="MF399" s="128"/>
      <c r="MG399" s="128"/>
      <c r="MH399" s="128"/>
      <c r="MI399" s="128"/>
      <c r="MJ399" s="128"/>
      <c r="MK399" s="128"/>
      <c r="ML399" s="128"/>
      <c r="MM399" s="128"/>
      <c r="MN399" s="128"/>
      <c r="MO399" s="128"/>
      <c r="MP399" s="128"/>
      <c r="MQ399" s="128"/>
      <c r="MR399" s="128"/>
      <c r="MS399" s="128"/>
      <c r="MT399" s="128"/>
      <c r="MU399" s="128"/>
      <c r="MV399" s="128"/>
      <c r="MW399" s="128"/>
      <c r="MX399" s="128"/>
      <c r="MY399" s="128"/>
      <c r="MZ399" s="128"/>
      <c r="NA399" s="128"/>
      <c r="NB399" s="128"/>
      <c r="NC399" s="128"/>
      <c r="ND399" s="128"/>
      <c r="NE399" s="128"/>
      <c r="NF399" s="128"/>
      <c r="NG399" s="128"/>
      <c r="NH399" s="128"/>
      <c r="NI399" s="128"/>
      <c r="NJ399" s="128"/>
      <c r="NK399" s="128"/>
      <c r="NL399" s="128"/>
      <c r="NM399" s="128"/>
      <c r="NN399" s="128"/>
      <c r="NO399" s="128"/>
      <c r="NP399" s="128"/>
      <c r="NQ399" s="128"/>
      <c r="NR399" s="128"/>
      <c r="NS399" s="128"/>
      <c r="NT399" s="128"/>
      <c r="NU399" s="128"/>
      <c r="NV399" s="128"/>
      <c r="NW399" s="128"/>
      <c r="NX399" s="128"/>
      <c r="NY399" s="128"/>
      <c r="NZ399" s="128"/>
      <c r="OA399" s="128"/>
      <c r="OB399" s="128"/>
      <c r="OC399" s="128"/>
      <c r="OD399" s="128"/>
      <c r="OE399" s="128"/>
      <c r="OF399" s="128"/>
      <c r="OG399" s="128"/>
      <c r="OH399" s="128"/>
      <c r="OI399" s="128"/>
      <c r="OJ399" s="128"/>
      <c r="OK399" s="128"/>
      <c r="OL399" s="128"/>
      <c r="OM399" s="128"/>
      <c r="ON399" s="128"/>
      <c r="OO399" s="128"/>
      <c r="OP399" s="128"/>
      <c r="OQ399" s="128"/>
      <c r="OR399" s="128"/>
      <c r="OS399" s="128"/>
      <c r="OT399" s="128"/>
      <c r="OU399" s="128"/>
      <c r="OV399" s="128"/>
      <c r="OW399" s="128"/>
      <c r="OX399" s="128"/>
      <c r="OY399" s="128"/>
      <c r="OZ399" s="128"/>
      <c r="PA399" s="128"/>
      <c r="PB399" s="128"/>
      <c r="PC399" s="128"/>
      <c r="PD399" s="128"/>
      <c r="PE399" s="128"/>
      <c r="PF399" s="128"/>
      <c r="PG399" s="128"/>
      <c r="PH399" s="128"/>
      <c r="PI399" s="128"/>
      <c r="PJ399" s="128"/>
      <c r="PK399" s="128"/>
      <c r="PL399" s="128"/>
      <c r="PM399" s="128"/>
      <c r="PN399" s="128"/>
      <c r="PO399" s="128"/>
      <c r="PP399" s="128"/>
      <c r="PQ399" s="128"/>
      <c r="PR399" s="128"/>
      <c r="PS399" s="128"/>
      <c r="PT399" s="128"/>
      <c r="PU399" s="128"/>
      <c r="PV399" s="128"/>
      <c r="PW399" s="128"/>
      <c r="PX399" s="128"/>
      <c r="PY399" s="128"/>
      <c r="PZ399" s="128"/>
      <c r="QA399" s="128"/>
      <c r="QB399" s="128"/>
      <c r="QC399" s="128"/>
      <c r="QD399" s="128"/>
      <c r="QE399" s="128"/>
      <c r="QF399" s="128"/>
      <c r="QG399" s="128"/>
      <c r="QH399" s="128"/>
      <c r="QI399" s="128"/>
      <c r="QJ399" s="128"/>
      <c r="QK399" s="128"/>
      <c r="QL399" s="128"/>
      <c r="QM399" s="128"/>
      <c r="QN399" s="128"/>
      <c r="QO399" s="128"/>
      <c r="QP399" s="128"/>
      <c r="QQ399" s="128"/>
      <c r="QR399" s="128"/>
      <c r="QS399" s="128"/>
      <c r="QT399" s="128"/>
      <c r="QU399" s="128"/>
      <c r="QV399" s="128"/>
      <c r="QW399" s="128"/>
      <c r="QX399" s="128"/>
      <c r="QY399" s="128"/>
      <c r="QZ399" s="128"/>
      <c r="RA399" s="128"/>
      <c r="RB399" s="128"/>
      <c r="RC399" s="128"/>
      <c r="RD399" s="128"/>
      <c r="RE399" s="128"/>
      <c r="RF399" s="128"/>
      <c r="RG399" s="128"/>
      <c r="RH399" s="128"/>
      <c r="RI399" s="128"/>
      <c r="RJ399" s="128"/>
      <c r="RK399" s="128"/>
      <c r="RL399" s="128"/>
      <c r="RM399" s="128"/>
      <c r="RN399" s="128"/>
      <c r="RO399" s="128"/>
      <c r="RP399" s="128"/>
      <c r="RQ399" s="128"/>
      <c r="RR399" s="128"/>
      <c r="RS399" s="128"/>
      <c r="RT399" s="128"/>
      <c r="RU399" s="128"/>
      <c r="RV399" s="128"/>
      <c r="RW399" s="128"/>
      <c r="RX399" s="128"/>
      <c r="RY399" s="128"/>
      <c r="RZ399" s="128"/>
      <c r="SA399" s="128"/>
      <c r="SB399" s="128"/>
      <c r="SC399" s="128"/>
      <c r="SD399" s="128"/>
      <c r="SE399" s="128"/>
      <c r="SF399" s="128"/>
      <c r="SG399" s="128"/>
      <c r="SH399" s="128"/>
      <c r="SI399" s="128"/>
      <c r="SJ399" s="128"/>
      <c r="SK399" s="128"/>
      <c r="SL399" s="128"/>
      <c r="SM399" s="128"/>
      <c r="SN399" s="128"/>
      <c r="SO399" s="128"/>
      <c r="SP399" s="128"/>
      <c r="SQ399" s="128"/>
      <c r="SR399" s="128"/>
      <c r="SS399" s="128"/>
      <c r="ST399" s="128"/>
      <c r="SU399" s="128"/>
      <c r="SV399" s="128"/>
      <c r="SW399" s="128"/>
      <c r="SX399" s="128"/>
      <c r="SY399" s="128"/>
      <c r="SZ399" s="128"/>
      <c r="TA399" s="128"/>
      <c r="TB399" s="128"/>
      <c r="TC399" s="128"/>
      <c r="TD399" s="128"/>
      <c r="TE399" s="128"/>
      <c r="TF399" s="128"/>
      <c r="TG399" s="128"/>
      <c r="TH399" s="128"/>
      <c r="TI399" s="128"/>
      <c r="TJ399" s="128"/>
      <c r="TK399" s="128"/>
      <c r="TL399" s="128"/>
      <c r="TM399" s="128"/>
      <c r="TN399" s="128"/>
      <c r="TO399" s="128"/>
      <c r="TP399" s="128"/>
      <c r="TQ399" s="128"/>
      <c r="TR399" s="128"/>
      <c r="TS399" s="128"/>
      <c r="TT399" s="128"/>
      <c r="TU399" s="128"/>
      <c r="TV399" s="128"/>
      <c r="TW399" s="128"/>
      <c r="TX399" s="128"/>
      <c r="TY399" s="128"/>
      <c r="TZ399" s="128"/>
      <c r="UA399" s="128"/>
      <c r="UB399" s="128"/>
      <c r="UC399" s="128"/>
      <c r="UD399" s="128"/>
      <c r="UE399" s="128"/>
      <c r="UF399" s="128"/>
      <c r="UG399" s="128"/>
      <c r="UH399" s="128"/>
      <c r="UI399" s="128"/>
      <c r="UJ399" s="128"/>
      <c r="UK399" s="128"/>
      <c r="UL399" s="128"/>
      <c r="UM399" s="128"/>
      <c r="UN399" s="128"/>
      <c r="UO399" s="128"/>
      <c r="UP399" s="128"/>
      <c r="UQ399" s="128"/>
      <c r="UR399" s="128"/>
      <c r="US399" s="128"/>
      <c r="UT399" s="128"/>
      <c r="UU399" s="128"/>
      <c r="UV399" s="128"/>
      <c r="UW399" s="128"/>
      <c r="UX399" s="128"/>
      <c r="UY399" s="128"/>
      <c r="UZ399" s="128"/>
      <c r="VA399" s="128"/>
      <c r="VB399" s="128"/>
      <c r="VC399" s="128"/>
      <c r="VD399" s="128"/>
      <c r="VE399" s="128"/>
      <c r="VF399" s="128"/>
      <c r="VG399" s="128"/>
      <c r="VH399" s="128"/>
      <c r="VI399" s="128"/>
      <c r="VJ399" s="128"/>
      <c r="VK399" s="128"/>
      <c r="VL399" s="128"/>
      <c r="VM399" s="128"/>
      <c r="VN399" s="128"/>
      <c r="VO399" s="128"/>
      <c r="VP399" s="128"/>
      <c r="VQ399" s="128"/>
      <c r="VR399" s="128"/>
      <c r="VS399" s="128"/>
      <c r="VT399" s="128"/>
      <c r="VU399" s="128"/>
      <c r="VV399" s="128"/>
      <c r="VW399" s="128"/>
      <c r="VX399" s="128"/>
      <c r="VY399" s="128"/>
      <c r="VZ399" s="128"/>
      <c r="WA399" s="128"/>
      <c r="WB399" s="128"/>
      <c r="WC399" s="128"/>
      <c r="WD399" s="128"/>
      <c r="WE399" s="128"/>
      <c r="WF399" s="128"/>
      <c r="WG399" s="128"/>
      <c r="WH399" s="128"/>
      <c r="WI399" s="128"/>
      <c r="WJ399" s="128"/>
      <c r="WK399" s="128"/>
      <c r="WL399" s="128"/>
      <c r="WM399" s="128"/>
      <c r="WN399" s="128"/>
      <c r="WO399" s="128"/>
      <c r="WP399" s="128"/>
      <c r="WQ399" s="128"/>
      <c r="WR399" s="128"/>
      <c r="WS399" s="128"/>
      <c r="WT399" s="128"/>
      <c r="WU399" s="128"/>
      <c r="WV399" s="128"/>
      <c r="WW399" s="128"/>
      <c r="WX399" s="128"/>
      <c r="WY399" s="128"/>
      <c r="WZ399" s="128"/>
      <c r="XA399" s="128"/>
      <c r="XB399" s="128"/>
      <c r="XC399" s="128"/>
      <c r="XD399" s="128"/>
      <c r="XE399" s="128"/>
      <c r="XF399" s="128"/>
      <c r="XG399" s="128"/>
      <c r="XH399" s="128"/>
      <c r="XI399" s="128"/>
      <c r="XJ399" s="128"/>
      <c r="XK399" s="128"/>
      <c r="XL399" s="128"/>
      <c r="XM399" s="128"/>
      <c r="XN399" s="128"/>
      <c r="XO399" s="128"/>
      <c r="XP399" s="128"/>
      <c r="XQ399" s="128"/>
      <c r="XR399" s="128"/>
      <c r="XS399" s="128"/>
      <c r="XT399" s="128"/>
      <c r="XU399" s="128"/>
      <c r="XV399" s="128"/>
      <c r="XW399" s="128"/>
      <c r="XX399" s="128"/>
      <c r="XY399" s="128"/>
      <c r="XZ399" s="128"/>
      <c r="YA399" s="128"/>
      <c r="YB399" s="128"/>
      <c r="YC399" s="128"/>
      <c r="YD399" s="128"/>
      <c r="YE399" s="128"/>
      <c r="YF399" s="128"/>
      <c r="YG399" s="128"/>
      <c r="YH399" s="128"/>
      <c r="YI399" s="128"/>
      <c r="YJ399" s="128"/>
      <c r="YK399" s="128"/>
      <c r="YL399" s="128"/>
      <c r="YM399" s="128"/>
      <c r="YN399" s="128"/>
      <c r="YO399" s="128"/>
      <c r="YP399" s="128"/>
      <c r="YQ399" s="128"/>
      <c r="YR399" s="128"/>
      <c r="YS399" s="128"/>
      <c r="YT399" s="128"/>
      <c r="YU399" s="128"/>
      <c r="YV399" s="128"/>
      <c r="YW399" s="128"/>
      <c r="YX399" s="128"/>
      <c r="YY399" s="128"/>
      <c r="YZ399" s="128"/>
      <c r="ZA399" s="128"/>
      <c r="ZB399" s="128"/>
      <c r="ZC399" s="128"/>
      <c r="ZD399" s="128"/>
      <c r="ZE399" s="128"/>
      <c r="ZF399" s="128"/>
      <c r="ZG399" s="128"/>
      <c r="ZH399" s="128"/>
      <c r="ZI399" s="128"/>
      <c r="ZJ399" s="128"/>
      <c r="ZK399" s="128"/>
      <c r="ZL399" s="128"/>
      <c r="ZM399" s="128"/>
      <c r="ZN399" s="128"/>
      <c r="ZO399" s="128"/>
      <c r="ZP399" s="128"/>
      <c r="ZQ399" s="128"/>
      <c r="ZR399" s="128"/>
      <c r="ZS399" s="128"/>
      <c r="ZT399" s="128"/>
      <c r="ZU399" s="128"/>
      <c r="ZV399" s="128"/>
      <c r="ZW399" s="128"/>
      <c r="ZX399" s="128"/>
      <c r="ZY399" s="128"/>
      <c r="ZZ399" s="128"/>
      <c r="AAA399" s="128"/>
      <c r="AAB399" s="128"/>
      <c r="AAC399" s="128"/>
      <c r="AAD399" s="128"/>
      <c r="AAE399" s="128"/>
      <c r="AAF399" s="128"/>
      <c r="AAG399" s="128"/>
      <c r="AAH399" s="128"/>
      <c r="AAI399" s="128"/>
      <c r="AAJ399" s="128"/>
      <c r="AAK399" s="128"/>
      <c r="AAL399" s="128"/>
      <c r="AAM399" s="128"/>
      <c r="AAN399" s="128"/>
      <c r="AAO399" s="128"/>
      <c r="AAP399" s="128"/>
      <c r="AAQ399" s="128"/>
      <c r="AAR399" s="128"/>
      <c r="AAS399" s="128"/>
      <c r="AAT399" s="128"/>
      <c r="AAU399" s="128"/>
      <c r="AAV399" s="128"/>
      <c r="AAW399" s="128"/>
      <c r="AAX399" s="128"/>
      <c r="AAY399" s="128"/>
      <c r="AAZ399" s="128"/>
      <c r="ABA399" s="128"/>
      <c r="ABB399" s="128"/>
      <c r="ABC399" s="128"/>
      <c r="ABD399" s="128"/>
      <c r="ABE399" s="128"/>
      <c r="ABF399" s="128"/>
      <c r="ABG399" s="128"/>
      <c r="ABH399" s="128"/>
      <c r="ABI399" s="128"/>
      <c r="ABJ399" s="128"/>
      <c r="ABK399" s="128"/>
      <c r="ABL399" s="128"/>
      <c r="ABM399" s="128"/>
      <c r="ABN399" s="128"/>
      <c r="ABO399" s="128"/>
      <c r="ABP399" s="128"/>
      <c r="ABQ399" s="128"/>
      <c r="ABR399" s="128"/>
      <c r="ABS399" s="128"/>
      <c r="ABT399" s="128"/>
      <c r="ABU399" s="128"/>
      <c r="ABV399" s="128"/>
      <c r="ABW399" s="128"/>
      <c r="ABX399" s="128"/>
      <c r="ABY399" s="128"/>
      <c r="ABZ399" s="128"/>
      <c r="ACA399" s="128"/>
      <c r="ACB399" s="128"/>
      <c r="ACC399" s="128"/>
      <c r="ACD399" s="128"/>
      <c r="ACE399" s="128"/>
      <c r="ACF399" s="128"/>
      <c r="ACG399" s="128"/>
      <c r="ACH399" s="128"/>
      <c r="ACI399" s="128"/>
      <c r="ACJ399" s="128"/>
      <c r="ACK399" s="128"/>
      <c r="ACL399" s="128"/>
      <c r="ACM399" s="128"/>
      <c r="ACN399" s="128"/>
      <c r="ACO399" s="128"/>
      <c r="ACP399" s="128"/>
      <c r="ACQ399" s="128"/>
      <c r="ACR399" s="128"/>
      <c r="ACS399" s="128"/>
      <c r="ACT399" s="128"/>
      <c r="ACU399" s="128"/>
      <c r="ACV399" s="128"/>
      <c r="ACW399" s="128"/>
      <c r="ACX399" s="128"/>
      <c r="ACY399" s="128"/>
      <c r="ACZ399" s="128"/>
      <c r="ADA399" s="128"/>
      <c r="ADB399" s="128"/>
      <c r="ADC399" s="128"/>
      <c r="ADD399" s="128"/>
      <c r="ADE399" s="128"/>
      <c r="ADF399" s="128"/>
      <c r="ADG399" s="128"/>
      <c r="ADH399" s="128"/>
      <c r="ADI399" s="128"/>
      <c r="ADJ399" s="128"/>
      <c r="ADK399" s="128"/>
      <c r="ADL399" s="128"/>
      <c r="ADM399" s="128"/>
      <c r="ADN399" s="128"/>
      <c r="ADO399" s="128"/>
      <c r="ADP399" s="128"/>
      <c r="ADQ399" s="128"/>
      <c r="ADR399" s="128"/>
      <c r="ADS399" s="128"/>
      <c r="ADT399" s="128"/>
      <c r="ADU399" s="128"/>
      <c r="ADV399" s="128"/>
      <c r="ADW399" s="128"/>
      <c r="ADX399" s="128"/>
      <c r="ADY399" s="128"/>
      <c r="ADZ399" s="128"/>
      <c r="AEA399" s="128"/>
      <c r="AEB399" s="128"/>
      <c r="AEC399" s="128"/>
      <c r="AED399" s="128"/>
      <c r="AEE399" s="128"/>
      <c r="AEF399" s="128"/>
      <c r="AEG399" s="128"/>
      <c r="AEH399" s="128"/>
      <c r="AEI399" s="128"/>
      <c r="AEJ399" s="128"/>
      <c r="AEK399" s="128"/>
      <c r="AEL399" s="128"/>
      <c r="AEM399" s="128"/>
      <c r="AEN399" s="128"/>
      <c r="AEO399" s="128"/>
      <c r="AEP399" s="128"/>
      <c r="AEQ399" s="128"/>
      <c r="AER399" s="128"/>
      <c r="AES399" s="128"/>
      <c r="AET399" s="128"/>
      <c r="AEU399" s="128"/>
      <c r="AEV399" s="128"/>
      <c r="AEW399" s="128"/>
      <c r="AEX399" s="128"/>
      <c r="AEY399" s="128"/>
      <c r="AEZ399" s="128"/>
      <c r="AFA399" s="128"/>
      <c r="AFB399" s="128"/>
      <c r="AFC399" s="128"/>
      <c r="AFD399" s="128"/>
      <c r="AFE399" s="128"/>
      <c r="AFF399" s="128"/>
      <c r="AFG399" s="128"/>
      <c r="AFH399" s="128"/>
      <c r="AFI399" s="128"/>
      <c r="AFJ399" s="128"/>
      <c r="AFK399" s="128"/>
      <c r="AFL399" s="128"/>
      <c r="AFM399" s="128"/>
      <c r="AFN399" s="128"/>
      <c r="AFO399" s="128"/>
      <c r="AFP399" s="128"/>
      <c r="AFQ399" s="128"/>
      <c r="AFR399" s="128"/>
      <c r="AFS399" s="128"/>
      <c r="AFT399" s="128"/>
      <c r="AFU399" s="128"/>
      <c r="AFV399" s="128"/>
      <c r="AFW399" s="128"/>
      <c r="AFX399" s="128"/>
      <c r="AFY399" s="128"/>
      <c r="AFZ399" s="128"/>
      <c r="AGA399" s="128"/>
      <c r="AGB399" s="128"/>
      <c r="AGC399" s="128"/>
      <c r="AGD399" s="128"/>
      <c r="AGE399" s="128"/>
      <c r="AGF399" s="128"/>
      <c r="AGG399" s="128"/>
      <c r="AGH399" s="128"/>
      <c r="AGI399" s="128"/>
      <c r="AGJ399" s="128"/>
      <c r="AGK399" s="128"/>
      <c r="AGL399" s="128"/>
      <c r="AGM399" s="128"/>
      <c r="AGN399" s="128"/>
      <c r="AGO399" s="128"/>
      <c r="AGP399" s="128"/>
      <c r="AGQ399" s="128"/>
      <c r="AGR399" s="128"/>
      <c r="AGS399" s="128"/>
      <c r="AGT399" s="128"/>
      <c r="AGU399" s="128"/>
      <c r="AGV399" s="128"/>
      <c r="AGW399" s="128"/>
      <c r="AGX399" s="128"/>
      <c r="AGY399" s="128"/>
      <c r="AGZ399" s="128"/>
      <c r="AHA399" s="128"/>
      <c r="AHB399" s="128"/>
      <c r="AHC399" s="128"/>
      <c r="AHD399" s="128"/>
      <c r="AHE399" s="128"/>
      <c r="AHF399" s="128"/>
      <c r="AHG399" s="128"/>
      <c r="AHH399" s="128"/>
      <c r="AHI399" s="128"/>
      <c r="AHJ399" s="128"/>
      <c r="AHK399" s="128"/>
      <c r="AHL399" s="128"/>
      <c r="AHM399" s="128"/>
      <c r="AHN399" s="128"/>
      <c r="AHO399" s="128"/>
      <c r="AHP399" s="128"/>
      <c r="AHQ399" s="128"/>
      <c r="AHR399" s="128"/>
      <c r="AHS399" s="128"/>
      <c r="AHT399" s="128"/>
      <c r="AHU399" s="128"/>
      <c r="AHV399" s="128"/>
      <c r="AHW399" s="128"/>
      <c r="AHX399" s="128"/>
      <c r="AHY399" s="128"/>
      <c r="AHZ399" s="128"/>
      <c r="AIA399" s="128"/>
      <c r="AIB399" s="128"/>
      <c r="AIC399" s="128"/>
      <c r="AID399" s="128"/>
      <c r="AIE399" s="128"/>
      <c r="AIF399" s="128"/>
      <c r="AIG399" s="128"/>
      <c r="AIH399" s="128"/>
      <c r="AII399" s="128"/>
      <c r="AIJ399" s="128"/>
      <c r="AIK399" s="128"/>
      <c r="AIL399" s="128"/>
      <c r="AIM399" s="128"/>
      <c r="AIN399" s="128"/>
      <c r="AIO399" s="128"/>
      <c r="AIP399" s="128"/>
      <c r="AIQ399" s="128"/>
      <c r="AIR399" s="128"/>
      <c r="AIS399" s="128"/>
      <c r="AIT399" s="128"/>
      <c r="AIU399" s="128"/>
      <c r="AIV399" s="128"/>
      <c r="AIW399" s="128"/>
      <c r="AIX399" s="128"/>
      <c r="AIY399" s="128"/>
      <c r="AIZ399" s="128"/>
      <c r="AJA399" s="128"/>
      <c r="AJB399" s="128"/>
      <c r="AJC399" s="128"/>
      <c r="AJD399" s="128"/>
      <c r="AJE399" s="128"/>
      <c r="AJF399" s="128"/>
      <c r="AJG399" s="128"/>
      <c r="AJH399" s="128"/>
      <c r="AJI399" s="128"/>
      <c r="AJJ399" s="128"/>
      <c r="AJK399" s="128"/>
      <c r="AJL399" s="128"/>
      <c r="AJM399" s="128"/>
      <c r="AJN399" s="128"/>
      <c r="AJO399" s="128"/>
      <c r="AJP399" s="128"/>
      <c r="AJQ399" s="128"/>
      <c r="AJR399" s="128"/>
      <c r="AJS399" s="128"/>
      <c r="AJT399" s="128"/>
      <c r="AJU399" s="128"/>
      <c r="AJV399" s="128"/>
      <c r="AJW399" s="128"/>
      <c r="AJX399" s="128"/>
      <c r="AJY399" s="128"/>
      <c r="AJZ399" s="128"/>
      <c r="AKA399" s="128"/>
      <c r="AKB399" s="128"/>
      <c r="AKC399" s="128"/>
      <c r="AKD399" s="128"/>
      <c r="AKE399" s="128"/>
      <c r="AKF399" s="128"/>
      <c r="AKG399" s="128"/>
      <c r="AKH399" s="128"/>
      <c r="AKI399" s="128"/>
      <c r="AKJ399" s="128"/>
      <c r="AKK399" s="128"/>
      <c r="AKL399" s="128"/>
      <c r="AKM399" s="128"/>
      <c r="AKN399" s="128"/>
      <c r="AKO399" s="128"/>
      <c r="AKP399" s="128"/>
      <c r="AKQ399" s="128"/>
      <c r="AKR399" s="128"/>
      <c r="AKS399" s="128"/>
      <c r="AKT399" s="128"/>
      <c r="AKU399" s="128"/>
      <c r="AKV399" s="128"/>
      <c r="AKW399" s="128"/>
      <c r="AKX399" s="128"/>
      <c r="AKY399" s="128"/>
      <c r="AKZ399" s="128"/>
      <c r="ALA399" s="128"/>
      <c r="ALB399" s="128"/>
      <c r="ALC399" s="128"/>
      <c r="ALD399" s="128"/>
      <c r="ALE399" s="128"/>
      <c r="ALF399" s="128"/>
      <c r="ALG399" s="128"/>
      <c r="ALH399" s="128"/>
      <c r="ALI399" s="128"/>
      <c r="ALJ399" s="128"/>
      <c r="ALK399" s="128"/>
      <c r="ALL399" s="128"/>
      <c r="ALM399" s="128"/>
      <c r="ALN399" s="128"/>
      <c r="ALO399" s="128"/>
      <c r="ALP399" s="128"/>
      <c r="ALQ399" s="128"/>
      <c r="ALR399" s="128"/>
      <c r="ALS399" s="128"/>
      <c r="ALT399" s="128"/>
      <c r="ALU399" s="128"/>
      <c r="ALV399" s="128"/>
      <c r="ALW399" s="128"/>
      <c r="ALX399" s="128"/>
      <c r="ALY399" s="128"/>
      <c r="ALZ399" s="128"/>
      <c r="AMA399" s="128"/>
      <c r="AMB399" s="128"/>
      <c r="AMC399" s="128"/>
      <c r="AMD399" s="128"/>
      <c r="AME399" s="128"/>
      <c r="AMF399" s="128"/>
      <c r="AMG399" s="128"/>
      <c r="AMH399" s="128"/>
      <c r="AMI399" s="128"/>
      <c r="AMJ399" s="128"/>
      <c r="AMK399" s="128"/>
      <c r="AML399" s="128"/>
      <c r="AMM399" s="128"/>
      <c r="AMN399" s="128"/>
      <c r="AMO399" s="128"/>
      <c r="AMP399" s="128"/>
    </row>
    <row r="400" spans="1:1030" s="12" customFormat="1" x14ac:dyDescent="0.2">
      <c r="A400" s="9" t="str">
        <f t="shared" ref="A400" si="3493">CONCATENATE(B400,"_",C400)</f>
        <v>calrl_human_6UUS</v>
      </c>
      <c r="B400" s="40" t="s">
        <v>402</v>
      </c>
      <c r="C400" s="9" t="s">
        <v>1673</v>
      </c>
      <c r="D400" s="9" t="str">
        <f>IFERROR(MID(VLOOKUP($B400,Seqs!$A:$B,2,0),E400,1),"")</f>
        <v>T</v>
      </c>
      <c r="E400" s="9">
        <v>131</v>
      </c>
      <c r="F400" s="9" t="str">
        <f>IFERROR(MID(VLOOKUP($B400,Seqs!$A:$B,2,0),G400,1),"")</f>
        <v>F</v>
      </c>
      <c r="G400" s="9">
        <v>166</v>
      </c>
      <c r="H400" s="9" t="str">
        <f>IFERROR(MID(VLOOKUP($B400,Seqs!$A:$B,2,0),I400,1),"")</f>
        <v>K</v>
      </c>
      <c r="I400" s="109">
        <v>167</v>
      </c>
      <c r="J400" s="9" t="str">
        <f>IFERROR(MID(VLOOKUP($B400,Seqs!$A:$B,2,0),K400,1),"")</f>
        <v>S</v>
      </c>
      <c r="K400" s="109">
        <v>170</v>
      </c>
      <c r="L400" s="9" t="str">
        <f>IFERROR(MID(VLOOKUP($B400,Seqs!$A:$B,2,0),M400,1),"")</f>
        <v>C</v>
      </c>
      <c r="M400" s="9">
        <v>171</v>
      </c>
      <c r="N400" s="9" t="str">
        <f>IFERROR(MID(VLOOKUP($B400,Seqs!$A:$B,2,0),O400,1),"")</f>
        <v>V</v>
      </c>
      <c r="O400" s="9">
        <v>198</v>
      </c>
      <c r="P400" s="9" t="str">
        <f>IFERROR(MID(VLOOKUP($B400,Seqs!$A:$B,2,0),Q400,1),"")</f>
        <v/>
      </c>
      <c r="Q400" s="9" t="s">
        <v>23</v>
      </c>
      <c r="R400" s="9" t="str">
        <f>IFERROR(MID(VLOOKUP($B400,Seqs!$A:$B,2,0),S400,1),"")</f>
        <v/>
      </c>
      <c r="S400" s="9" t="s">
        <v>23</v>
      </c>
      <c r="T400" s="9" t="str">
        <f>IFERROR(MID(VLOOKUP($B400,Seqs!$A:$B,2,0),U400,1),"")</f>
        <v>V</v>
      </c>
      <c r="U400" s="9">
        <v>210</v>
      </c>
      <c r="V400" s="9" t="str">
        <f>IFERROR(MID(VLOOKUP($B400,Seqs!$A:$B,2,0),W400,1),"")</f>
        <v>V</v>
      </c>
      <c r="W400" s="9">
        <v>243</v>
      </c>
      <c r="X400" s="9" t="str">
        <f>IFERROR(MID(VLOOKUP($B400,Seqs!$A:$B,2,0),Y400,1),"")</f>
        <v/>
      </c>
      <c r="Y400" s="9" t="s">
        <v>23</v>
      </c>
      <c r="Z400" s="9" t="str">
        <f>IFERROR(MID(VLOOKUP($B400,Seqs!$A:$B,2,0),AA400,1),"")</f>
        <v/>
      </c>
      <c r="AA400" s="9" t="s">
        <v>23</v>
      </c>
      <c r="AB400" s="9" t="str">
        <f>IFERROR(MID(VLOOKUP($B400,Seqs!$A:$B,2,0),AC400,1),"")</f>
        <v>L</v>
      </c>
      <c r="AC400" s="9">
        <v>252</v>
      </c>
      <c r="AD400" s="9" t="str">
        <f>IFERROR(MID(VLOOKUP($B400,Seqs!$A:$B,2,0),AE400,1),"")</f>
        <v>Y</v>
      </c>
      <c r="AE400" s="9">
        <v>278</v>
      </c>
      <c r="AF400" s="9" t="str">
        <f>IFERROR(MID(VLOOKUP($B400,Seqs!$A:$B,2,0),AG400,1),"")</f>
        <v>C</v>
      </c>
      <c r="AG400" s="9">
        <v>282</v>
      </c>
      <c r="AH400" s="9" t="str">
        <f>IFERROR(MID(VLOOKUP($B400,Seqs!$A:$B,2,0),AI400,1),"")</f>
        <v>I</v>
      </c>
      <c r="AI400" s="9">
        <v>284</v>
      </c>
      <c r="AJ400" s="9" t="str">
        <f>IFERROR(MID(VLOOKUP($B400,Seqs!$A:$B,2,0),AK400,1),"")</f>
        <v>H</v>
      </c>
      <c r="AK400" s="9">
        <v>289</v>
      </c>
      <c r="AL400" s="9" t="str">
        <f>IFERROR(MID(VLOOKUP($B400,Seqs!$A:$B,2,0),AM400,1),"")</f>
        <v>K</v>
      </c>
      <c r="AM400" s="9">
        <v>321</v>
      </c>
      <c r="AN400" s="9" t="str">
        <f>IFERROR(MID(VLOOKUP($B400,Seqs!$A:$B,2,0),AO400,1),"")</f>
        <v>L</v>
      </c>
      <c r="AO400" s="9">
        <v>330</v>
      </c>
      <c r="AP400" s="9" t="str">
        <f>IFERROR(MID(VLOOKUP($B400,Seqs!$A:$B,2,0),AQ400,1),"")</f>
        <v>L</v>
      </c>
      <c r="AQ400" s="9">
        <v>351</v>
      </c>
      <c r="AR400" s="9" t="str">
        <f>IFERROR(MID(VLOOKUP($B400,Seqs!$A:$B,2,0),AS400,1),"")</f>
        <v>V</v>
      </c>
      <c r="AS400" s="9">
        <v>364</v>
      </c>
      <c r="AT400" s="9" t="str">
        <f>IFERROR(MID(VLOOKUP($B400,Seqs!$A:$B,2,0),AU400,1),"")</f>
        <v>F</v>
      </c>
      <c r="AU400" s="9">
        <v>387</v>
      </c>
      <c r="AV400" s="9" t="str">
        <f>IFERROR(MID(VLOOKUP($B400,Seqs!$A:$B,2,0),AW400,1),"")</f>
        <v>N</v>
      </c>
      <c r="AW400" s="9">
        <v>388</v>
      </c>
      <c r="AX400" s="9" t="str">
        <f>IFERROR(MID(VLOOKUP($B400,Seqs!$A:$B,2,0),AY400,1),"")</f>
        <v>W</v>
      </c>
      <c r="AY400" s="9">
        <v>399</v>
      </c>
      <c r="AZ400" s="110" t="str">
        <f>VLOOKUP(B400,Classification!A:D,2,0)</f>
        <v>B1</v>
      </c>
      <c r="BA400" s="98" t="str">
        <f>VLOOKUP(B400,Classification!A:D,4,0)</f>
        <v>Calcitonin</v>
      </c>
      <c r="BB400" s="36" t="b">
        <f t="shared" ref="BB400" si="3494">AND(E400&lt;G400,OR(G400&lt;I400,I400="-"),OR(I400&lt;K400,I400="-"),OR(K400&lt;M400,K400="-"),M400&lt;O400,OR(O400&lt;Q400,Q400="-"),OR(Q400&lt;S400,Q400="-"),OR(S400&lt;U400,S400="-"),U400&lt;W400,OR(W400&lt;Y400,Y400="-"),OR(Y400&lt;AA400,Y400="-"),OR(AA400&lt;AC400,AA400="-"),AC400&lt;AE400,OR(AE400&lt;AG400,AG400="-"),OR(AG400&lt;AI400,AG400="-"),OR(AI400&lt;AK400,AI400="-"),AK400&lt;AM400,AM400&lt;AO400,AO400&lt;AQ400,AQ400&lt;AS400,AS400&lt;AU400,OR(AU400&lt;AW400,AW400="-"),OR(AW400&lt;AY400,AW400="-"))</f>
        <v>1</v>
      </c>
      <c r="BC400" s="109">
        <f t="shared" ref="BC400" si="3495">_xlfn.AGGREGATE(9,6,CH400:CS400)-_xlfn.AGGREGATE(9,6,BV400:CG400)+12</f>
        <v>225</v>
      </c>
      <c r="BD400" s="11" t="s">
        <v>1375</v>
      </c>
      <c r="BE400" s="9" t="s">
        <v>1291</v>
      </c>
      <c r="BF400" s="119">
        <v>2.4</v>
      </c>
      <c r="BG400" s="51" t="s">
        <v>1422</v>
      </c>
      <c r="BH400" s="51" t="s">
        <v>1422</v>
      </c>
      <c r="BJ400" s="111" t="s">
        <v>1287</v>
      </c>
      <c r="BK400" s="112" t="s">
        <v>1287</v>
      </c>
      <c r="BL400" s="112" t="s">
        <v>1287</v>
      </c>
      <c r="BM400" s="112" t="s">
        <v>1287</v>
      </c>
      <c r="BN400" s="112" t="s">
        <v>1287</v>
      </c>
      <c r="BO400" s="112" t="s">
        <v>1287</v>
      </c>
      <c r="BP400" s="112" t="s">
        <v>1287</v>
      </c>
      <c r="BQ400" s="112" t="s">
        <v>1287</v>
      </c>
      <c r="BR400" s="112" t="s">
        <v>1287</v>
      </c>
      <c r="BS400" s="112" t="s">
        <v>1287</v>
      </c>
      <c r="BT400" s="112" t="s">
        <v>1287</v>
      </c>
      <c r="BU400" s="112" t="s">
        <v>1287</v>
      </c>
      <c r="BV400" s="111">
        <f t="shared" ref="BV400" si="3496">E400</f>
        <v>131</v>
      </c>
      <c r="BW400" s="113">
        <f t="shared" ref="BW400" si="3497">I400</f>
        <v>167</v>
      </c>
      <c r="BX400" s="114">
        <f t="shared" ref="BX400" si="3498">M400</f>
        <v>171</v>
      </c>
      <c r="BY400" s="113" t="str">
        <f t="shared" ref="BY400" si="3499">Q400</f>
        <v>-</v>
      </c>
      <c r="BZ400" s="114">
        <f t="shared" ref="BZ400" si="3500">U400</f>
        <v>210</v>
      </c>
      <c r="CA400" s="113" t="str">
        <f t="shared" ref="CA400" si="3501">Y400</f>
        <v>-</v>
      </c>
      <c r="CB400" s="114">
        <f t="shared" ref="CB400" si="3502">AC400</f>
        <v>252</v>
      </c>
      <c r="CC400" s="113">
        <f t="shared" ref="CC400" si="3503">AG400</f>
        <v>282</v>
      </c>
      <c r="CD400" s="114">
        <f t="shared" ref="CD400" si="3504">AK400</f>
        <v>289</v>
      </c>
      <c r="CE400" s="113">
        <f t="shared" ref="CE400" si="3505">AO400</f>
        <v>330</v>
      </c>
      <c r="CF400" s="114">
        <f t="shared" ref="CF400" si="3506">AS400</f>
        <v>364</v>
      </c>
      <c r="CG400" s="113">
        <f t="shared" ref="CG400" si="3507">AW400</f>
        <v>388</v>
      </c>
      <c r="CH400" s="111">
        <f t="shared" ref="CH400" si="3508">G400</f>
        <v>166</v>
      </c>
      <c r="CI400" s="113">
        <f t="shared" ref="CI400" si="3509">K400</f>
        <v>170</v>
      </c>
      <c r="CJ400" s="114">
        <f t="shared" ref="CJ400" si="3510">O400</f>
        <v>198</v>
      </c>
      <c r="CK400" s="114" t="str">
        <f t="shared" ref="CK400" si="3511">S400</f>
        <v>-</v>
      </c>
      <c r="CL400" s="114">
        <f t="shared" ref="CL400" si="3512">W400</f>
        <v>243</v>
      </c>
      <c r="CM400" s="114" t="str">
        <f t="shared" ref="CM400" si="3513">AA400</f>
        <v>-</v>
      </c>
      <c r="CN400" s="114">
        <f t="shared" ref="CN400" si="3514">AE400</f>
        <v>278</v>
      </c>
      <c r="CO400" s="114">
        <f t="shared" ref="CO400" si="3515">AI400</f>
        <v>284</v>
      </c>
      <c r="CP400" s="114">
        <f t="shared" ref="CP400" si="3516">AM400</f>
        <v>321</v>
      </c>
      <c r="CQ400" s="114">
        <f t="shared" ref="CQ400" si="3517">AQ400</f>
        <v>351</v>
      </c>
      <c r="CR400" s="114">
        <f t="shared" ref="CR400" si="3518">AU400</f>
        <v>387</v>
      </c>
      <c r="CS400" s="114">
        <f t="shared" ref="CS400" si="3519">AY400</f>
        <v>399</v>
      </c>
      <c r="CT400" s="109">
        <f t="shared" ref="CT400" si="3520">M400-K400</f>
        <v>1</v>
      </c>
      <c r="CU400" s="128"/>
      <c r="CV400" s="128"/>
      <c r="CW400" s="128"/>
      <c r="CX400" s="128"/>
      <c r="CY400" s="128"/>
      <c r="CZ400" s="128"/>
      <c r="DA400" s="128"/>
      <c r="DB400" s="128"/>
      <c r="DC400" s="128"/>
      <c r="DD400" s="128"/>
      <c r="DE400" s="128"/>
      <c r="DF400" s="128"/>
      <c r="DG400" s="128"/>
      <c r="DH400" s="128"/>
      <c r="DI400" s="128"/>
      <c r="DJ400" s="128"/>
      <c r="DK400" s="128"/>
      <c r="DL400" s="128"/>
      <c r="DM400" s="128"/>
      <c r="DN400" s="128"/>
      <c r="DO400" s="128"/>
      <c r="DP400" s="128"/>
      <c r="DQ400" s="128"/>
      <c r="DR400" s="128"/>
      <c r="DS400" s="128"/>
      <c r="DT400" s="128"/>
      <c r="DU400" s="128"/>
      <c r="DV400" s="128"/>
      <c r="DW400" s="128"/>
      <c r="DX400" s="128"/>
      <c r="DY400" s="128"/>
      <c r="DZ400" s="128"/>
      <c r="EA400" s="128"/>
      <c r="EB400" s="128"/>
      <c r="EC400" s="128"/>
      <c r="ED400" s="128"/>
      <c r="EE400" s="128"/>
      <c r="EF400" s="128"/>
      <c r="EG400" s="128"/>
      <c r="EH400" s="128"/>
      <c r="EI400" s="128"/>
      <c r="EJ400" s="128"/>
      <c r="EK400" s="128"/>
      <c r="EL400" s="128"/>
      <c r="EM400" s="128"/>
      <c r="EN400" s="128"/>
      <c r="EO400" s="128"/>
      <c r="EP400" s="128"/>
      <c r="EQ400" s="128"/>
      <c r="ER400" s="128"/>
      <c r="ES400" s="128"/>
      <c r="ET400" s="128"/>
      <c r="EU400" s="128"/>
      <c r="EV400" s="128"/>
      <c r="EW400" s="128"/>
      <c r="EX400" s="128"/>
      <c r="EY400" s="128"/>
      <c r="EZ400" s="128"/>
      <c r="FA400" s="128"/>
      <c r="FB400" s="128"/>
      <c r="FC400" s="128"/>
      <c r="FD400" s="128"/>
      <c r="FE400" s="128"/>
      <c r="FF400" s="128"/>
      <c r="FG400" s="128"/>
      <c r="FH400" s="128"/>
      <c r="FI400" s="128"/>
      <c r="FJ400" s="128"/>
      <c r="FK400" s="128"/>
      <c r="FL400" s="128"/>
      <c r="FM400" s="128"/>
      <c r="FN400" s="128"/>
      <c r="FO400" s="128"/>
      <c r="FP400" s="128"/>
      <c r="FQ400" s="128"/>
      <c r="FR400" s="128"/>
      <c r="FS400" s="128"/>
      <c r="FT400" s="128"/>
      <c r="FU400" s="128"/>
      <c r="FV400" s="128"/>
      <c r="FW400" s="128"/>
      <c r="FX400" s="128"/>
      <c r="FY400" s="128"/>
      <c r="FZ400" s="128"/>
      <c r="GA400" s="128"/>
      <c r="GB400" s="128"/>
      <c r="GC400" s="128"/>
      <c r="GD400" s="128"/>
      <c r="GE400" s="128"/>
      <c r="GF400" s="128"/>
      <c r="GG400" s="128"/>
      <c r="GH400" s="128"/>
      <c r="GI400" s="128"/>
      <c r="GJ400" s="128"/>
      <c r="GK400" s="128"/>
      <c r="GL400" s="128"/>
      <c r="GM400" s="128"/>
      <c r="GN400" s="128"/>
      <c r="GO400" s="128"/>
      <c r="GP400" s="128"/>
      <c r="GQ400" s="128"/>
      <c r="GR400" s="128"/>
      <c r="GS400" s="128"/>
      <c r="GT400" s="128"/>
      <c r="GU400" s="128"/>
      <c r="GV400" s="128"/>
      <c r="GW400" s="128"/>
      <c r="GX400" s="128"/>
      <c r="GY400" s="128"/>
      <c r="GZ400" s="128"/>
      <c r="HA400" s="128"/>
      <c r="HB400" s="128"/>
      <c r="HC400" s="128"/>
      <c r="HD400" s="128"/>
      <c r="HE400" s="128"/>
      <c r="HF400" s="128"/>
      <c r="HG400" s="128"/>
      <c r="HH400" s="128"/>
      <c r="HI400" s="128"/>
      <c r="HJ400" s="128"/>
      <c r="HK400" s="128"/>
      <c r="HL400" s="128"/>
      <c r="HM400" s="128"/>
      <c r="HN400" s="128"/>
      <c r="HO400" s="128"/>
      <c r="HP400" s="128"/>
      <c r="HQ400" s="128"/>
      <c r="HR400" s="128"/>
      <c r="HS400" s="128"/>
      <c r="HT400" s="128"/>
      <c r="HU400" s="128"/>
      <c r="HV400" s="128"/>
      <c r="HW400" s="128"/>
      <c r="HX400" s="128"/>
      <c r="HY400" s="128"/>
      <c r="HZ400" s="128"/>
      <c r="IA400" s="128"/>
      <c r="IB400" s="128"/>
      <c r="IC400" s="128"/>
      <c r="ID400" s="128"/>
      <c r="IE400" s="128"/>
      <c r="IF400" s="128"/>
      <c r="IG400" s="128"/>
      <c r="IH400" s="128"/>
      <c r="II400" s="128"/>
      <c r="IJ400" s="128"/>
      <c r="IK400" s="128"/>
      <c r="IL400" s="128"/>
      <c r="IM400" s="128"/>
      <c r="IN400" s="128"/>
      <c r="IO400" s="128"/>
      <c r="IP400" s="128"/>
      <c r="IQ400" s="128"/>
      <c r="IR400" s="128"/>
      <c r="IS400" s="128"/>
      <c r="IT400" s="128"/>
      <c r="IU400" s="128"/>
      <c r="IV400" s="128"/>
      <c r="IW400" s="128"/>
      <c r="IX400" s="128"/>
      <c r="IY400" s="128"/>
      <c r="IZ400" s="128"/>
      <c r="JA400" s="128"/>
      <c r="JB400" s="128"/>
      <c r="JC400" s="128"/>
      <c r="JD400" s="128"/>
      <c r="JE400" s="128"/>
      <c r="JF400" s="128"/>
      <c r="JG400" s="128"/>
      <c r="JH400" s="128"/>
      <c r="JI400" s="128"/>
      <c r="JJ400" s="128"/>
      <c r="JK400" s="128"/>
      <c r="JL400" s="128"/>
      <c r="JM400" s="128"/>
      <c r="JN400" s="128"/>
      <c r="JO400" s="128"/>
      <c r="JP400" s="128"/>
      <c r="JQ400" s="128"/>
      <c r="JR400" s="128"/>
      <c r="JS400" s="128"/>
      <c r="JT400" s="128"/>
      <c r="JU400" s="128"/>
      <c r="JV400" s="128"/>
      <c r="JW400" s="128"/>
      <c r="JX400" s="128"/>
      <c r="JY400" s="128"/>
      <c r="JZ400" s="128"/>
      <c r="KA400" s="128"/>
      <c r="KB400" s="128"/>
      <c r="KC400" s="128"/>
      <c r="KD400" s="128"/>
      <c r="KE400" s="128"/>
      <c r="KF400" s="128"/>
      <c r="KG400" s="128"/>
      <c r="KH400" s="128"/>
      <c r="KI400" s="128"/>
      <c r="KJ400" s="128"/>
      <c r="KK400" s="128"/>
      <c r="KL400" s="128"/>
      <c r="KM400" s="128"/>
      <c r="KN400" s="128"/>
      <c r="KO400" s="128"/>
      <c r="KP400" s="128"/>
      <c r="KQ400" s="128"/>
      <c r="KR400" s="128"/>
      <c r="KS400" s="128"/>
      <c r="KT400" s="128"/>
      <c r="KU400" s="128"/>
      <c r="KV400" s="128"/>
      <c r="KW400" s="128"/>
      <c r="KX400" s="128"/>
      <c r="KY400" s="128"/>
      <c r="KZ400" s="128"/>
      <c r="LA400" s="128"/>
      <c r="LB400" s="128"/>
      <c r="LC400" s="128"/>
      <c r="LD400" s="128"/>
      <c r="LE400" s="128"/>
      <c r="LF400" s="128"/>
      <c r="LG400" s="128"/>
      <c r="LH400" s="128"/>
      <c r="LI400" s="128"/>
      <c r="LJ400" s="128"/>
      <c r="LK400" s="128"/>
      <c r="LL400" s="128"/>
      <c r="LM400" s="128"/>
      <c r="LN400" s="128"/>
      <c r="LO400" s="128"/>
      <c r="LP400" s="128"/>
      <c r="LQ400" s="128"/>
      <c r="LR400" s="128"/>
      <c r="LS400" s="128"/>
      <c r="LT400" s="128"/>
      <c r="LU400" s="128"/>
      <c r="LV400" s="128"/>
      <c r="LW400" s="128"/>
      <c r="LX400" s="128"/>
      <c r="LY400" s="128"/>
      <c r="LZ400" s="128"/>
      <c r="MA400" s="128"/>
      <c r="MB400" s="128"/>
      <c r="MC400" s="128"/>
      <c r="MD400" s="128"/>
      <c r="ME400" s="128"/>
      <c r="MF400" s="128"/>
      <c r="MG400" s="128"/>
      <c r="MH400" s="128"/>
      <c r="MI400" s="128"/>
      <c r="MJ400" s="128"/>
      <c r="MK400" s="128"/>
      <c r="ML400" s="128"/>
      <c r="MM400" s="128"/>
      <c r="MN400" s="128"/>
      <c r="MO400" s="128"/>
      <c r="MP400" s="128"/>
      <c r="MQ400" s="128"/>
      <c r="MR400" s="128"/>
      <c r="MS400" s="128"/>
      <c r="MT400" s="128"/>
      <c r="MU400" s="128"/>
      <c r="MV400" s="128"/>
      <c r="MW400" s="128"/>
      <c r="MX400" s="128"/>
      <c r="MY400" s="128"/>
      <c r="MZ400" s="128"/>
      <c r="NA400" s="128"/>
      <c r="NB400" s="128"/>
      <c r="NC400" s="128"/>
      <c r="ND400" s="128"/>
      <c r="NE400" s="128"/>
      <c r="NF400" s="128"/>
      <c r="NG400" s="128"/>
      <c r="NH400" s="128"/>
      <c r="NI400" s="128"/>
      <c r="NJ400" s="128"/>
      <c r="NK400" s="128"/>
      <c r="NL400" s="128"/>
      <c r="NM400" s="128"/>
      <c r="NN400" s="128"/>
      <c r="NO400" s="128"/>
      <c r="NP400" s="128"/>
      <c r="NQ400" s="128"/>
      <c r="NR400" s="128"/>
      <c r="NS400" s="128"/>
      <c r="NT400" s="128"/>
      <c r="NU400" s="128"/>
      <c r="NV400" s="128"/>
      <c r="NW400" s="128"/>
      <c r="NX400" s="128"/>
      <c r="NY400" s="128"/>
      <c r="NZ400" s="128"/>
      <c r="OA400" s="128"/>
      <c r="OB400" s="128"/>
      <c r="OC400" s="128"/>
      <c r="OD400" s="128"/>
      <c r="OE400" s="128"/>
      <c r="OF400" s="128"/>
      <c r="OG400" s="128"/>
      <c r="OH400" s="128"/>
      <c r="OI400" s="128"/>
      <c r="OJ400" s="128"/>
      <c r="OK400" s="128"/>
      <c r="OL400" s="128"/>
      <c r="OM400" s="128"/>
      <c r="ON400" s="128"/>
      <c r="OO400" s="128"/>
      <c r="OP400" s="128"/>
      <c r="OQ400" s="128"/>
      <c r="OR400" s="128"/>
      <c r="OS400" s="128"/>
      <c r="OT400" s="128"/>
      <c r="OU400" s="128"/>
      <c r="OV400" s="128"/>
      <c r="OW400" s="128"/>
      <c r="OX400" s="128"/>
      <c r="OY400" s="128"/>
      <c r="OZ400" s="128"/>
      <c r="PA400" s="128"/>
      <c r="PB400" s="128"/>
      <c r="PC400" s="128"/>
      <c r="PD400" s="128"/>
      <c r="PE400" s="128"/>
      <c r="PF400" s="128"/>
      <c r="PG400" s="128"/>
      <c r="PH400" s="128"/>
      <c r="PI400" s="128"/>
      <c r="PJ400" s="128"/>
      <c r="PK400" s="128"/>
      <c r="PL400" s="128"/>
      <c r="PM400" s="128"/>
      <c r="PN400" s="128"/>
      <c r="PO400" s="128"/>
      <c r="PP400" s="128"/>
      <c r="PQ400" s="128"/>
      <c r="PR400" s="128"/>
      <c r="PS400" s="128"/>
      <c r="PT400" s="128"/>
      <c r="PU400" s="128"/>
      <c r="PV400" s="128"/>
      <c r="PW400" s="128"/>
      <c r="PX400" s="128"/>
      <c r="PY400" s="128"/>
      <c r="PZ400" s="128"/>
      <c r="QA400" s="128"/>
      <c r="QB400" s="128"/>
      <c r="QC400" s="128"/>
      <c r="QD400" s="128"/>
      <c r="QE400" s="128"/>
      <c r="QF400" s="128"/>
      <c r="QG400" s="128"/>
      <c r="QH400" s="128"/>
      <c r="QI400" s="128"/>
      <c r="QJ400" s="128"/>
      <c r="QK400" s="128"/>
      <c r="QL400" s="128"/>
      <c r="QM400" s="128"/>
      <c r="QN400" s="128"/>
      <c r="QO400" s="128"/>
      <c r="QP400" s="128"/>
      <c r="QQ400" s="128"/>
      <c r="QR400" s="128"/>
      <c r="QS400" s="128"/>
      <c r="QT400" s="128"/>
      <c r="QU400" s="128"/>
      <c r="QV400" s="128"/>
      <c r="QW400" s="128"/>
      <c r="QX400" s="128"/>
      <c r="QY400" s="128"/>
      <c r="QZ400" s="128"/>
      <c r="RA400" s="128"/>
      <c r="RB400" s="128"/>
      <c r="RC400" s="128"/>
      <c r="RD400" s="128"/>
      <c r="RE400" s="128"/>
      <c r="RF400" s="128"/>
      <c r="RG400" s="128"/>
      <c r="RH400" s="128"/>
      <c r="RI400" s="128"/>
      <c r="RJ400" s="128"/>
      <c r="RK400" s="128"/>
      <c r="RL400" s="128"/>
      <c r="RM400" s="128"/>
      <c r="RN400" s="128"/>
      <c r="RO400" s="128"/>
      <c r="RP400" s="128"/>
      <c r="RQ400" s="128"/>
      <c r="RR400" s="128"/>
      <c r="RS400" s="128"/>
      <c r="RT400" s="128"/>
      <c r="RU400" s="128"/>
      <c r="RV400" s="128"/>
      <c r="RW400" s="128"/>
      <c r="RX400" s="128"/>
      <c r="RY400" s="128"/>
      <c r="RZ400" s="128"/>
      <c r="SA400" s="128"/>
      <c r="SB400" s="128"/>
      <c r="SC400" s="128"/>
      <c r="SD400" s="128"/>
      <c r="SE400" s="128"/>
      <c r="SF400" s="128"/>
      <c r="SG400" s="128"/>
      <c r="SH400" s="128"/>
      <c r="SI400" s="128"/>
      <c r="SJ400" s="128"/>
      <c r="SK400" s="128"/>
      <c r="SL400" s="128"/>
      <c r="SM400" s="128"/>
      <c r="SN400" s="128"/>
      <c r="SO400" s="128"/>
      <c r="SP400" s="128"/>
      <c r="SQ400" s="128"/>
      <c r="SR400" s="128"/>
      <c r="SS400" s="128"/>
      <c r="ST400" s="128"/>
      <c r="SU400" s="128"/>
      <c r="SV400" s="128"/>
      <c r="SW400" s="128"/>
      <c r="SX400" s="128"/>
      <c r="SY400" s="128"/>
      <c r="SZ400" s="128"/>
      <c r="TA400" s="128"/>
      <c r="TB400" s="128"/>
      <c r="TC400" s="128"/>
      <c r="TD400" s="128"/>
      <c r="TE400" s="128"/>
      <c r="TF400" s="128"/>
      <c r="TG400" s="128"/>
      <c r="TH400" s="128"/>
      <c r="TI400" s="128"/>
      <c r="TJ400" s="128"/>
      <c r="TK400" s="128"/>
      <c r="TL400" s="128"/>
      <c r="TM400" s="128"/>
      <c r="TN400" s="128"/>
      <c r="TO400" s="128"/>
      <c r="TP400" s="128"/>
      <c r="TQ400" s="128"/>
      <c r="TR400" s="128"/>
      <c r="TS400" s="128"/>
      <c r="TT400" s="128"/>
      <c r="TU400" s="128"/>
      <c r="TV400" s="128"/>
      <c r="TW400" s="128"/>
      <c r="TX400" s="128"/>
      <c r="TY400" s="128"/>
      <c r="TZ400" s="128"/>
      <c r="UA400" s="128"/>
      <c r="UB400" s="128"/>
      <c r="UC400" s="128"/>
      <c r="UD400" s="128"/>
      <c r="UE400" s="128"/>
      <c r="UF400" s="128"/>
      <c r="UG400" s="128"/>
      <c r="UH400" s="128"/>
      <c r="UI400" s="128"/>
      <c r="UJ400" s="128"/>
      <c r="UK400" s="128"/>
      <c r="UL400" s="128"/>
      <c r="UM400" s="128"/>
      <c r="UN400" s="128"/>
      <c r="UO400" s="128"/>
      <c r="UP400" s="128"/>
      <c r="UQ400" s="128"/>
      <c r="UR400" s="128"/>
      <c r="US400" s="128"/>
      <c r="UT400" s="128"/>
      <c r="UU400" s="128"/>
      <c r="UV400" s="128"/>
      <c r="UW400" s="128"/>
      <c r="UX400" s="128"/>
      <c r="UY400" s="128"/>
      <c r="UZ400" s="128"/>
      <c r="VA400" s="128"/>
      <c r="VB400" s="128"/>
      <c r="VC400" s="128"/>
      <c r="VD400" s="128"/>
      <c r="VE400" s="128"/>
      <c r="VF400" s="128"/>
      <c r="VG400" s="128"/>
      <c r="VH400" s="128"/>
      <c r="VI400" s="128"/>
      <c r="VJ400" s="128"/>
      <c r="VK400" s="128"/>
      <c r="VL400" s="128"/>
      <c r="VM400" s="128"/>
      <c r="VN400" s="128"/>
      <c r="VO400" s="128"/>
      <c r="VP400" s="128"/>
      <c r="VQ400" s="128"/>
      <c r="VR400" s="128"/>
      <c r="VS400" s="128"/>
      <c r="VT400" s="128"/>
      <c r="VU400" s="128"/>
      <c r="VV400" s="128"/>
      <c r="VW400" s="128"/>
      <c r="VX400" s="128"/>
      <c r="VY400" s="128"/>
      <c r="VZ400" s="128"/>
      <c r="WA400" s="128"/>
      <c r="WB400" s="128"/>
      <c r="WC400" s="128"/>
      <c r="WD400" s="128"/>
      <c r="WE400" s="128"/>
      <c r="WF400" s="128"/>
      <c r="WG400" s="128"/>
      <c r="WH400" s="128"/>
      <c r="WI400" s="128"/>
      <c r="WJ400" s="128"/>
      <c r="WK400" s="128"/>
      <c r="WL400" s="128"/>
      <c r="WM400" s="128"/>
      <c r="WN400" s="128"/>
      <c r="WO400" s="128"/>
      <c r="WP400" s="128"/>
      <c r="WQ400" s="128"/>
      <c r="WR400" s="128"/>
      <c r="WS400" s="128"/>
      <c r="WT400" s="128"/>
      <c r="WU400" s="128"/>
      <c r="WV400" s="128"/>
      <c r="WW400" s="128"/>
      <c r="WX400" s="128"/>
      <c r="WY400" s="128"/>
      <c r="WZ400" s="128"/>
      <c r="XA400" s="128"/>
      <c r="XB400" s="128"/>
      <c r="XC400" s="128"/>
      <c r="XD400" s="128"/>
      <c r="XE400" s="128"/>
      <c r="XF400" s="128"/>
      <c r="XG400" s="128"/>
      <c r="XH400" s="128"/>
      <c r="XI400" s="128"/>
      <c r="XJ400" s="128"/>
      <c r="XK400" s="128"/>
      <c r="XL400" s="128"/>
      <c r="XM400" s="128"/>
      <c r="XN400" s="128"/>
      <c r="XO400" s="128"/>
      <c r="XP400" s="128"/>
      <c r="XQ400" s="128"/>
      <c r="XR400" s="128"/>
      <c r="XS400" s="128"/>
      <c r="XT400" s="128"/>
      <c r="XU400" s="128"/>
      <c r="XV400" s="128"/>
      <c r="XW400" s="128"/>
      <c r="XX400" s="128"/>
      <c r="XY400" s="128"/>
      <c r="XZ400" s="128"/>
      <c r="YA400" s="128"/>
      <c r="YB400" s="128"/>
      <c r="YC400" s="128"/>
      <c r="YD400" s="128"/>
      <c r="YE400" s="128"/>
      <c r="YF400" s="128"/>
      <c r="YG400" s="128"/>
      <c r="YH400" s="128"/>
      <c r="YI400" s="128"/>
      <c r="YJ400" s="128"/>
      <c r="YK400" s="128"/>
      <c r="YL400" s="128"/>
      <c r="YM400" s="128"/>
      <c r="YN400" s="128"/>
      <c r="YO400" s="128"/>
      <c r="YP400" s="128"/>
      <c r="YQ400" s="128"/>
      <c r="YR400" s="128"/>
      <c r="YS400" s="128"/>
      <c r="YT400" s="128"/>
      <c r="YU400" s="128"/>
      <c r="YV400" s="128"/>
      <c r="YW400" s="128"/>
      <c r="YX400" s="128"/>
      <c r="YY400" s="128"/>
      <c r="YZ400" s="128"/>
      <c r="ZA400" s="128"/>
      <c r="ZB400" s="128"/>
      <c r="ZC400" s="128"/>
      <c r="ZD400" s="128"/>
      <c r="ZE400" s="128"/>
      <c r="ZF400" s="128"/>
      <c r="ZG400" s="128"/>
      <c r="ZH400" s="128"/>
      <c r="ZI400" s="128"/>
      <c r="ZJ400" s="128"/>
      <c r="ZK400" s="128"/>
      <c r="ZL400" s="128"/>
      <c r="ZM400" s="128"/>
      <c r="ZN400" s="128"/>
      <c r="ZO400" s="128"/>
      <c r="ZP400" s="128"/>
      <c r="ZQ400" s="128"/>
      <c r="ZR400" s="128"/>
      <c r="ZS400" s="128"/>
      <c r="ZT400" s="128"/>
      <c r="ZU400" s="128"/>
      <c r="ZV400" s="128"/>
      <c r="ZW400" s="128"/>
      <c r="ZX400" s="128"/>
      <c r="ZY400" s="128"/>
      <c r="ZZ400" s="128"/>
      <c r="AAA400" s="128"/>
      <c r="AAB400" s="128"/>
      <c r="AAC400" s="128"/>
      <c r="AAD400" s="128"/>
      <c r="AAE400" s="128"/>
      <c r="AAF400" s="128"/>
      <c r="AAG400" s="128"/>
      <c r="AAH400" s="128"/>
      <c r="AAI400" s="128"/>
      <c r="AAJ400" s="128"/>
      <c r="AAK400" s="128"/>
      <c r="AAL400" s="128"/>
      <c r="AAM400" s="128"/>
      <c r="AAN400" s="128"/>
      <c r="AAO400" s="128"/>
      <c r="AAP400" s="128"/>
      <c r="AAQ400" s="128"/>
      <c r="AAR400" s="128"/>
      <c r="AAS400" s="128"/>
      <c r="AAT400" s="128"/>
      <c r="AAU400" s="128"/>
      <c r="AAV400" s="128"/>
      <c r="AAW400" s="128"/>
      <c r="AAX400" s="128"/>
      <c r="AAY400" s="128"/>
      <c r="AAZ400" s="128"/>
      <c r="ABA400" s="128"/>
      <c r="ABB400" s="128"/>
      <c r="ABC400" s="128"/>
      <c r="ABD400" s="128"/>
      <c r="ABE400" s="128"/>
      <c r="ABF400" s="128"/>
      <c r="ABG400" s="128"/>
      <c r="ABH400" s="128"/>
      <c r="ABI400" s="128"/>
      <c r="ABJ400" s="128"/>
      <c r="ABK400" s="128"/>
      <c r="ABL400" s="128"/>
      <c r="ABM400" s="128"/>
      <c r="ABN400" s="128"/>
      <c r="ABO400" s="128"/>
      <c r="ABP400" s="128"/>
      <c r="ABQ400" s="128"/>
      <c r="ABR400" s="128"/>
      <c r="ABS400" s="128"/>
      <c r="ABT400" s="128"/>
      <c r="ABU400" s="128"/>
      <c r="ABV400" s="128"/>
      <c r="ABW400" s="128"/>
      <c r="ABX400" s="128"/>
      <c r="ABY400" s="128"/>
      <c r="ABZ400" s="128"/>
      <c r="ACA400" s="128"/>
      <c r="ACB400" s="128"/>
      <c r="ACC400" s="128"/>
      <c r="ACD400" s="128"/>
      <c r="ACE400" s="128"/>
      <c r="ACF400" s="128"/>
      <c r="ACG400" s="128"/>
      <c r="ACH400" s="128"/>
      <c r="ACI400" s="128"/>
      <c r="ACJ400" s="128"/>
      <c r="ACK400" s="128"/>
      <c r="ACL400" s="128"/>
      <c r="ACM400" s="128"/>
      <c r="ACN400" s="128"/>
      <c r="ACO400" s="128"/>
      <c r="ACP400" s="128"/>
      <c r="ACQ400" s="128"/>
      <c r="ACR400" s="128"/>
      <c r="ACS400" s="128"/>
      <c r="ACT400" s="128"/>
      <c r="ACU400" s="128"/>
      <c r="ACV400" s="128"/>
      <c r="ACW400" s="128"/>
      <c r="ACX400" s="128"/>
      <c r="ACY400" s="128"/>
      <c r="ACZ400" s="128"/>
      <c r="ADA400" s="128"/>
      <c r="ADB400" s="128"/>
      <c r="ADC400" s="128"/>
      <c r="ADD400" s="128"/>
      <c r="ADE400" s="128"/>
      <c r="ADF400" s="128"/>
      <c r="ADG400" s="128"/>
      <c r="ADH400" s="128"/>
      <c r="ADI400" s="128"/>
      <c r="ADJ400" s="128"/>
      <c r="ADK400" s="128"/>
      <c r="ADL400" s="128"/>
      <c r="ADM400" s="128"/>
      <c r="ADN400" s="128"/>
      <c r="ADO400" s="128"/>
      <c r="ADP400" s="128"/>
      <c r="ADQ400" s="128"/>
      <c r="ADR400" s="128"/>
      <c r="ADS400" s="128"/>
      <c r="ADT400" s="128"/>
      <c r="ADU400" s="128"/>
      <c r="ADV400" s="128"/>
      <c r="ADW400" s="128"/>
      <c r="ADX400" s="128"/>
      <c r="ADY400" s="128"/>
      <c r="ADZ400" s="128"/>
      <c r="AEA400" s="128"/>
      <c r="AEB400" s="128"/>
      <c r="AEC400" s="128"/>
      <c r="AED400" s="128"/>
      <c r="AEE400" s="128"/>
      <c r="AEF400" s="128"/>
      <c r="AEG400" s="128"/>
      <c r="AEH400" s="128"/>
      <c r="AEI400" s="128"/>
      <c r="AEJ400" s="128"/>
      <c r="AEK400" s="128"/>
      <c r="AEL400" s="128"/>
      <c r="AEM400" s="128"/>
      <c r="AEN400" s="128"/>
      <c r="AEO400" s="128"/>
      <c r="AEP400" s="128"/>
      <c r="AEQ400" s="128"/>
      <c r="AER400" s="128"/>
      <c r="AES400" s="128"/>
      <c r="AET400" s="128"/>
      <c r="AEU400" s="128"/>
      <c r="AEV400" s="128"/>
      <c r="AEW400" s="128"/>
      <c r="AEX400" s="128"/>
      <c r="AEY400" s="128"/>
      <c r="AEZ400" s="128"/>
      <c r="AFA400" s="128"/>
      <c r="AFB400" s="128"/>
      <c r="AFC400" s="128"/>
      <c r="AFD400" s="128"/>
      <c r="AFE400" s="128"/>
      <c r="AFF400" s="128"/>
      <c r="AFG400" s="128"/>
      <c r="AFH400" s="128"/>
      <c r="AFI400" s="128"/>
      <c r="AFJ400" s="128"/>
      <c r="AFK400" s="128"/>
      <c r="AFL400" s="128"/>
      <c r="AFM400" s="128"/>
      <c r="AFN400" s="128"/>
      <c r="AFO400" s="128"/>
      <c r="AFP400" s="128"/>
      <c r="AFQ400" s="128"/>
      <c r="AFR400" s="128"/>
      <c r="AFS400" s="128"/>
      <c r="AFT400" s="128"/>
      <c r="AFU400" s="128"/>
      <c r="AFV400" s="128"/>
      <c r="AFW400" s="128"/>
      <c r="AFX400" s="128"/>
      <c r="AFY400" s="128"/>
      <c r="AFZ400" s="128"/>
      <c r="AGA400" s="128"/>
      <c r="AGB400" s="128"/>
      <c r="AGC400" s="128"/>
      <c r="AGD400" s="128"/>
      <c r="AGE400" s="128"/>
      <c r="AGF400" s="128"/>
      <c r="AGG400" s="128"/>
      <c r="AGH400" s="128"/>
      <c r="AGI400" s="128"/>
      <c r="AGJ400" s="128"/>
      <c r="AGK400" s="128"/>
      <c r="AGL400" s="128"/>
      <c r="AGM400" s="128"/>
      <c r="AGN400" s="128"/>
      <c r="AGO400" s="128"/>
      <c r="AGP400" s="128"/>
      <c r="AGQ400" s="128"/>
      <c r="AGR400" s="128"/>
      <c r="AGS400" s="128"/>
      <c r="AGT400" s="128"/>
      <c r="AGU400" s="128"/>
      <c r="AGV400" s="128"/>
      <c r="AGW400" s="128"/>
      <c r="AGX400" s="128"/>
      <c r="AGY400" s="128"/>
      <c r="AGZ400" s="128"/>
      <c r="AHA400" s="128"/>
      <c r="AHB400" s="128"/>
      <c r="AHC400" s="128"/>
      <c r="AHD400" s="128"/>
      <c r="AHE400" s="128"/>
      <c r="AHF400" s="128"/>
      <c r="AHG400" s="128"/>
      <c r="AHH400" s="128"/>
      <c r="AHI400" s="128"/>
      <c r="AHJ400" s="128"/>
      <c r="AHK400" s="128"/>
      <c r="AHL400" s="128"/>
      <c r="AHM400" s="128"/>
      <c r="AHN400" s="128"/>
      <c r="AHO400" s="128"/>
      <c r="AHP400" s="128"/>
      <c r="AHQ400" s="128"/>
      <c r="AHR400" s="128"/>
      <c r="AHS400" s="128"/>
      <c r="AHT400" s="128"/>
      <c r="AHU400" s="128"/>
      <c r="AHV400" s="128"/>
      <c r="AHW400" s="128"/>
      <c r="AHX400" s="128"/>
      <c r="AHY400" s="128"/>
      <c r="AHZ400" s="128"/>
      <c r="AIA400" s="128"/>
      <c r="AIB400" s="128"/>
      <c r="AIC400" s="128"/>
      <c r="AID400" s="128"/>
      <c r="AIE400" s="128"/>
      <c r="AIF400" s="128"/>
      <c r="AIG400" s="128"/>
      <c r="AIH400" s="128"/>
      <c r="AII400" s="128"/>
      <c r="AIJ400" s="128"/>
      <c r="AIK400" s="128"/>
      <c r="AIL400" s="128"/>
      <c r="AIM400" s="128"/>
      <c r="AIN400" s="128"/>
      <c r="AIO400" s="128"/>
      <c r="AIP400" s="128"/>
      <c r="AIQ400" s="128"/>
      <c r="AIR400" s="128"/>
      <c r="AIS400" s="128"/>
      <c r="AIT400" s="128"/>
      <c r="AIU400" s="128"/>
      <c r="AIV400" s="128"/>
      <c r="AIW400" s="128"/>
      <c r="AIX400" s="128"/>
      <c r="AIY400" s="128"/>
      <c r="AIZ400" s="128"/>
      <c r="AJA400" s="128"/>
      <c r="AJB400" s="128"/>
      <c r="AJC400" s="128"/>
      <c r="AJD400" s="128"/>
      <c r="AJE400" s="128"/>
      <c r="AJF400" s="128"/>
      <c r="AJG400" s="128"/>
      <c r="AJH400" s="128"/>
      <c r="AJI400" s="128"/>
      <c r="AJJ400" s="128"/>
      <c r="AJK400" s="128"/>
      <c r="AJL400" s="128"/>
      <c r="AJM400" s="128"/>
      <c r="AJN400" s="128"/>
      <c r="AJO400" s="128"/>
      <c r="AJP400" s="128"/>
      <c r="AJQ400" s="128"/>
      <c r="AJR400" s="128"/>
      <c r="AJS400" s="128"/>
      <c r="AJT400" s="128"/>
      <c r="AJU400" s="128"/>
      <c r="AJV400" s="128"/>
      <c r="AJW400" s="128"/>
      <c r="AJX400" s="128"/>
      <c r="AJY400" s="128"/>
      <c r="AJZ400" s="128"/>
      <c r="AKA400" s="128"/>
      <c r="AKB400" s="128"/>
      <c r="AKC400" s="128"/>
      <c r="AKD400" s="128"/>
      <c r="AKE400" s="128"/>
      <c r="AKF400" s="128"/>
      <c r="AKG400" s="128"/>
      <c r="AKH400" s="128"/>
      <c r="AKI400" s="128"/>
      <c r="AKJ400" s="128"/>
      <c r="AKK400" s="128"/>
      <c r="AKL400" s="128"/>
      <c r="AKM400" s="128"/>
      <c r="AKN400" s="128"/>
      <c r="AKO400" s="128"/>
      <c r="AKP400" s="128"/>
      <c r="AKQ400" s="128"/>
      <c r="AKR400" s="128"/>
      <c r="AKS400" s="128"/>
      <c r="AKT400" s="128"/>
      <c r="AKU400" s="128"/>
      <c r="AKV400" s="128"/>
      <c r="AKW400" s="128"/>
      <c r="AKX400" s="128"/>
      <c r="AKY400" s="128"/>
      <c r="AKZ400" s="128"/>
      <c r="ALA400" s="128"/>
      <c r="ALB400" s="128"/>
      <c r="ALC400" s="128"/>
      <c r="ALD400" s="128"/>
      <c r="ALE400" s="128"/>
      <c r="ALF400" s="128"/>
      <c r="ALG400" s="128"/>
      <c r="ALH400" s="128"/>
      <c r="ALI400" s="128"/>
      <c r="ALJ400" s="128"/>
      <c r="ALK400" s="128"/>
      <c r="ALL400" s="128"/>
      <c r="ALM400" s="128"/>
      <c r="ALN400" s="128"/>
      <c r="ALO400" s="128"/>
      <c r="ALP400" s="128"/>
      <c r="ALQ400" s="128"/>
      <c r="ALR400" s="128"/>
      <c r="ALS400" s="128"/>
      <c r="ALT400" s="128"/>
      <c r="ALU400" s="128"/>
      <c r="ALV400" s="128"/>
      <c r="ALW400" s="128"/>
      <c r="ALX400" s="128"/>
      <c r="ALY400" s="128"/>
      <c r="ALZ400" s="128"/>
      <c r="AMA400" s="128"/>
      <c r="AMB400" s="128"/>
      <c r="AMC400" s="128"/>
      <c r="AMD400" s="128"/>
      <c r="AME400" s="128"/>
      <c r="AMF400" s="128"/>
      <c r="AMG400" s="128"/>
      <c r="AMH400" s="128"/>
      <c r="AMI400" s="128"/>
      <c r="AMJ400" s="128"/>
      <c r="AMK400" s="128"/>
      <c r="AML400" s="128"/>
      <c r="AMM400" s="128"/>
      <c r="AMN400" s="128"/>
      <c r="AMO400" s="128"/>
      <c r="AMP400" s="128"/>
    </row>
    <row r="401" spans="1:1030" s="12" customFormat="1" x14ac:dyDescent="0.2">
      <c r="A401" s="9" t="str">
        <f t="shared" ref="A401" si="3521">CONCATENATE(B401,"_",C401)</f>
        <v>calrl_human_6UVA</v>
      </c>
      <c r="B401" s="40" t="s">
        <v>402</v>
      </c>
      <c r="C401" s="9" t="s">
        <v>1674</v>
      </c>
      <c r="D401" s="9" t="str">
        <f>IFERROR(MID(VLOOKUP($B401,Seqs!$A:$B,2,0),E401,1),"")</f>
        <v>T</v>
      </c>
      <c r="E401" s="9">
        <v>131</v>
      </c>
      <c r="F401" s="9" t="str">
        <f>IFERROR(MID(VLOOKUP($B401,Seqs!$A:$B,2,0),G401,1),"")</f>
        <v>F</v>
      </c>
      <c r="G401" s="9">
        <v>166</v>
      </c>
      <c r="H401" s="9" t="str">
        <f>IFERROR(MID(VLOOKUP($B401,Seqs!$A:$B,2,0),I401,1),"")</f>
        <v>K</v>
      </c>
      <c r="I401" s="109">
        <v>167</v>
      </c>
      <c r="J401" s="9" t="str">
        <f>IFERROR(MID(VLOOKUP($B401,Seqs!$A:$B,2,0),K401,1),"")</f>
        <v>S</v>
      </c>
      <c r="K401" s="109">
        <v>170</v>
      </c>
      <c r="L401" s="9" t="str">
        <f>IFERROR(MID(VLOOKUP($B401,Seqs!$A:$B,2,0),M401,1),"")</f>
        <v>C</v>
      </c>
      <c r="M401" s="9">
        <v>171</v>
      </c>
      <c r="N401" s="9" t="str">
        <f>IFERROR(MID(VLOOKUP($B401,Seqs!$A:$B,2,0),O401,1),"")</f>
        <v>V</v>
      </c>
      <c r="O401" s="9">
        <v>198</v>
      </c>
      <c r="P401" s="9" t="str">
        <f>IFERROR(MID(VLOOKUP($B401,Seqs!$A:$B,2,0),Q401,1),"")</f>
        <v/>
      </c>
      <c r="Q401" s="9" t="s">
        <v>23</v>
      </c>
      <c r="R401" s="9" t="str">
        <f>IFERROR(MID(VLOOKUP($B401,Seqs!$A:$B,2,0),S401,1),"")</f>
        <v/>
      </c>
      <c r="S401" s="9" t="s">
        <v>23</v>
      </c>
      <c r="T401" s="9" t="str">
        <f>IFERROR(MID(VLOOKUP($B401,Seqs!$A:$B,2,0),U401,1),"")</f>
        <v>V</v>
      </c>
      <c r="U401" s="9">
        <v>210</v>
      </c>
      <c r="V401" s="9" t="str">
        <f>IFERROR(MID(VLOOKUP($B401,Seqs!$A:$B,2,0),W401,1),"")</f>
        <v>V</v>
      </c>
      <c r="W401" s="9">
        <v>243</v>
      </c>
      <c r="X401" s="9" t="str">
        <f>IFERROR(MID(VLOOKUP($B401,Seqs!$A:$B,2,0),Y401,1),"")</f>
        <v/>
      </c>
      <c r="Y401" s="9" t="s">
        <v>23</v>
      </c>
      <c r="Z401" s="9" t="str">
        <f>IFERROR(MID(VLOOKUP($B401,Seqs!$A:$B,2,0),AA401,1),"")</f>
        <v/>
      </c>
      <c r="AA401" s="9" t="s">
        <v>23</v>
      </c>
      <c r="AB401" s="9" t="str">
        <f>IFERROR(MID(VLOOKUP($B401,Seqs!$A:$B,2,0),AC401,1),"")</f>
        <v>L</v>
      </c>
      <c r="AC401" s="9">
        <v>252</v>
      </c>
      <c r="AD401" s="9" t="str">
        <f>IFERROR(MID(VLOOKUP($B401,Seqs!$A:$B,2,0),AE401,1),"")</f>
        <v>Y</v>
      </c>
      <c r="AE401" s="9">
        <v>278</v>
      </c>
      <c r="AF401" s="9" t="str">
        <f>IFERROR(MID(VLOOKUP($B401,Seqs!$A:$B,2,0),AG401,1),"")</f>
        <v>C</v>
      </c>
      <c r="AG401" s="9">
        <v>282</v>
      </c>
      <c r="AH401" s="9" t="str">
        <f>IFERROR(MID(VLOOKUP($B401,Seqs!$A:$B,2,0),AI401,1),"")</f>
        <v>I</v>
      </c>
      <c r="AI401" s="9">
        <v>284</v>
      </c>
      <c r="AJ401" s="9" t="str">
        <f>IFERROR(MID(VLOOKUP($B401,Seqs!$A:$B,2,0),AK401,1),"")</f>
        <v>L</v>
      </c>
      <c r="AK401" s="9">
        <v>290</v>
      </c>
      <c r="AL401" s="9" t="str">
        <f>IFERROR(MID(VLOOKUP($B401,Seqs!$A:$B,2,0),AM401,1),"")</f>
        <v>K</v>
      </c>
      <c r="AM401" s="9">
        <v>321</v>
      </c>
      <c r="AN401" s="9" t="str">
        <f>IFERROR(MID(VLOOKUP($B401,Seqs!$A:$B,2,0),AO401,1),"")</f>
        <v>L</v>
      </c>
      <c r="AO401" s="9">
        <v>330</v>
      </c>
      <c r="AP401" s="9" t="str">
        <f>IFERROR(MID(VLOOKUP($B401,Seqs!$A:$B,2,0),AQ401,1),"")</f>
        <v>L</v>
      </c>
      <c r="AQ401" s="9">
        <v>351</v>
      </c>
      <c r="AR401" s="9" t="str">
        <f>IFERROR(MID(VLOOKUP($B401,Seqs!$A:$B,2,0),AS401,1),"")</f>
        <v>E</v>
      </c>
      <c r="AS401" s="9">
        <v>363</v>
      </c>
      <c r="AT401" s="9" t="str">
        <f>IFERROR(MID(VLOOKUP($B401,Seqs!$A:$B,2,0),AU401,1),"")</f>
        <v>F</v>
      </c>
      <c r="AU401" s="9">
        <v>387</v>
      </c>
      <c r="AV401" s="9" t="str">
        <f>IFERROR(MID(VLOOKUP($B401,Seqs!$A:$B,2,0),AW401,1),"")</f>
        <v>N</v>
      </c>
      <c r="AW401" s="9">
        <v>388</v>
      </c>
      <c r="AX401" s="9" t="str">
        <f>IFERROR(MID(VLOOKUP($B401,Seqs!$A:$B,2,0),AY401,1),"")</f>
        <v>W</v>
      </c>
      <c r="AY401" s="9">
        <v>399</v>
      </c>
      <c r="AZ401" s="110" t="str">
        <f>VLOOKUP(B401,Classification!A:D,2,0)</f>
        <v>B1</v>
      </c>
      <c r="BA401" s="98" t="str">
        <f>VLOOKUP(B401,Classification!A:D,4,0)</f>
        <v>Calcitonin</v>
      </c>
      <c r="BB401" s="36" t="b">
        <f t="shared" ref="BB401" si="3522">AND(E401&lt;G401,OR(G401&lt;I401,I401="-"),OR(I401&lt;K401,I401="-"),OR(K401&lt;M401,K401="-"),M401&lt;O401,OR(O401&lt;Q401,Q401="-"),OR(Q401&lt;S401,Q401="-"),OR(S401&lt;U401,S401="-"),U401&lt;W401,OR(W401&lt;Y401,Y401="-"),OR(Y401&lt;AA401,Y401="-"),OR(AA401&lt;AC401,AA401="-"),AC401&lt;AE401,OR(AE401&lt;AG401,AG401="-"),OR(AG401&lt;AI401,AG401="-"),OR(AI401&lt;AK401,AI401="-"),AK401&lt;AM401,AM401&lt;AO401,AO401&lt;AQ401,AQ401&lt;AS401,AS401&lt;AU401,OR(AU401&lt;AW401,AW401="-"),OR(AW401&lt;AY401,AW401="-"))</f>
        <v>1</v>
      </c>
      <c r="BC401" s="109">
        <f t="shared" ref="BC401" si="3523">_xlfn.AGGREGATE(9,6,CH401:CS401)-_xlfn.AGGREGATE(9,6,BV401:CG401)+12</f>
        <v>225</v>
      </c>
      <c r="BD401" s="11" t="s">
        <v>23</v>
      </c>
      <c r="BE401" s="9" t="s">
        <v>1291</v>
      </c>
      <c r="BF401" s="119">
        <v>2.2999999999999998</v>
      </c>
      <c r="BG401" s="51" t="s">
        <v>1422</v>
      </c>
      <c r="BH401" s="51" t="s">
        <v>1422</v>
      </c>
      <c r="BJ401" s="111" t="s">
        <v>1287</v>
      </c>
      <c r="BK401" s="112" t="s">
        <v>1287</v>
      </c>
      <c r="BL401" s="112" t="s">
        <v>1287</v>
      </c>
      <c r="BM401" s="112" t="s">
        <v>1287</v>
      </c>
      <c r="BN401" s="112" t="s">
        <v>1287</v>
      </c>
      <c r="BO401" s="112" t="s">
        <v>1287</v>
      </c>
      <c r="BP401" s="112" t="s">
        <v>1287</v>
      </c>
      <c r="BQ401" s="112" t="s">
        <v>1287</v>
      </c>
      <c r="BR401" s="112" t="s">
        <v>1287</v>
      </c>
      <c r="BS401" s="112" t="s">
        <v>1287</v>
      </c>
      <c r="BT401" s="112" t="s">
        <v>1287</v>
      </c>
      <c r="BU401" s="112" t="s">
        <v>1287</v>
      </c>
      <c r="BV401" s="111">
        <f t="shared" ref="BV401" si="3524">E401</f>
        <v>131</v>
      </c>
      <c r="BW401" s="113">
        <f t="shared" ref="BW401" si="3525">I401</f>
        <v>167</v>
      </c>
      <c r="BX401" s="114">
        <f t="shared" ref="BX401" si="3526">M401</f>
        <v>171</v>
      </c>
      <c r="BY401" s="113" t="str">
        <f t="shared" ref="BY401" si="3527">Q401</f>
        <v>-</v>
      </c>
      <c r="BZ401" s="114">
        <f t="shared" ref="BZ401" si="3528">U401</f>
        <v>210</v>
      </c>
      <c r="CA401" s="113" t="str">
        <f t="shared" ref="CA401" si="3529">Y401</f>
        <v>-</v>
      </c>
      <c r="CB401" s="114">
        <f t="shared" ref="CB401" si="3530">AC401</f>
        <v>252</v>
      </c>
      <c r="CC401" s="113">
        <f t="shared" ref="CC401" si="3531">AG401</f>
        <v>282</v>
      </c>
      <c r="CD401" s="114">
        <f t="shared" ref="CD401" si="3532">AK401</f>
        <v>290</v>
      </c>
      <c r="CE401" s="113">
        <f t="shared" ref="CE401" si="3533">AO401</f>
        <v>330</v>
      </c>
      <c r="CF401" s="114">
        <f t="shared" ref="CF401" si="3534">AS401</f>
        <v>363</v>
      </c>
      <c r="CG401" s="113">
        <f t="shared" ref="CG401" si="3535">AW401</f>
        <v>388</v>
      </c>
      <c r="CH401" s="111">
        <f t="shared" ref="CH401" si="3536">G401</f>
        <v>166</v>
      </c>
      <c r="CI401" s="113">
        <f t="shared" ref="CI401" si="3537">K401</f>
        <v>170</v>
      </c>
      <c r="CJ401" s="114">
        <f t="shared" ref="CJ401" si="3538">O401</f>
        <v>198</v>
      </c>
      <c r="CK401" s="114" t="str">
        <f t="shared" ref="CK401" si="3539">S401</f>
        <v>-</v>
      </c>
      <c r="CL401" s="114">
        <f t="shared" ref="CL401" si="3540">W401</f>
        <v>243</v>
      </c>
      <c r="CM401" s="114" t="str">
        <f t="shared" ref="CM401" si="3541">AA401</f>
        <v>-</v>
      </c>
      <c r="CN401" s="114">
        <f t="shared" ref="CN401" si="3542">AE401</f>
        <v>278</v>
      </c>
      <c r="CO401" s="114">
        <f t="shared" ref="CO401" si="3543">AI401</f>
        <v>284</v>
      </c>
      <c r="CP401" s="114">
        <f t="shared" ref="CP401" si="3544">AM401</f>
        <v>321</v>
      </c>
      <c r="CQ401" s="114">
        <f t="shared" ref="CQ401" si="3545">AQ401</f>
        <v>351</v>
      </c>
      <c r="CR401" s="114">
        <f t="shared" ref="CR401" si="3546">AU401</f>
        <v>387</v>
      </c>
      <c r="CS401" s="114">
        <f t="shared" ref="CS401" si="3547">AY401</f>
        <v>399</v>
      </c>
      <c r="CT401" s="109">
        <f t="shared" ref="CT401" si="3548">M401-K401</f>
        <v>1</v>
      </c>
      <c r="CU401" s="128"/>
      <c r="CV401" s="128"/>
      <c r="CW401" s="128"/>
      <c r="CX401" s="128"/>
      <c r="CY401" s="128"/>
      <c r="CZ401" s="128"/>
      <c r="DA401" s="128"/>
      <c r="DB401" s="128"/>
      <c r="DC401" s="128"/>
      <c r="DD401" s="128"/>
      <c r="DE401" s="128"/>
      <c r="DF401" s="128"/>
      <c r="DG401" s="128"/>
      <c r="DH401" s="128"/>
      <c r="DI401" s="128"/>
      <c r="DJ401" s="128"/>
      <c r="DK401" s="128"/>
      <c r="DL401" s="128"/>
      <c r="DM401" s="128"/>
      <c r="DN401" s="128"/>
      <c r="DO401" s="128"/>
      <c r="DP401" s="128"/>
      <c r="DQ401" s="128"/>
      <c r="DR401" s="128"/>
      <c r="DS401" s="128"/>
      <c r="DT401" s="128"/>
      <c r="DU401" s="128"/>
      <c r="DV401" s="128"/>
      <c r="DW401" s="128"/>
      <c r="DX401" s="128"/>
      <c r="DY401" s="128"/>
      <c r="DZ401" s="128"/>
      <c r="EA401" s="128"/>
      <c r="EB401" s="128"/>
      <c r="EC401" s="128"/>
      <c r="ED401" s="128"/>
      <c r="EE401" s="128"/>
      <c r="EF401" s="128"/>
      <c r="EG401" s="128"/>
      <c r="EH401" s="128"/>
      <c r="EI401" s="128"/>
      <c r="EJ401" s="128"/>
      <c r="EK401" s="128"/>
      <c r="EL401" s="128"/>
      <c r="EM401" s="128"/>
      <c r="EN401" s="128"/>
      <c r="EO401" s="128"/>
      <c r="EP401" s="128"/>
      <c r="EQ401" s="128"/>
      <c r="ER401" s="128"/>
      <c r="ES401" s="128"/>
      <c r="ET401" s="128"/>
      <c r="EU401" s="128"/>
      <c r="EV401" s="128"/>
      <c r="EW401" s="128"/>
      <c r="EX401" s="128"/>
      <c r="EY401" s="128"/>
      <c r="EZ401" s="128"/>
      <c r="FA401" s="128"/>
      <c r="FB401" s="128"/>
      <c r="FC401" s="128"/>
      <c r="FD401" s="128"/>
      <c r="FE401" s="128"/>
      <c r="FF401" s="128"/>
      <c r="FG401" s="128"/>
      <c r="FH401" s="128"/>
      <c r="FI401" s="128"/>
      <c r="FJ401" s="128"/>
      <c r="FK401" s="128"/>
      <c r="FL401" s="128"/>
      <c r="FM401" s="128"/>
      <c r="FN401" s="128"/>
      <c r="FO401" s="128"/>
      <c r="FP401" s="128"/>
      <c r="FQ401" s="128"/>
      <c r="FR401" s="128"/>
      <c r="FS401" s="128"/>
      <c r="FT401" s="128"/>
      <c r="FU401" s="128"/>
      <c r="FV401" s="128"/>
      <c r="FW401" s="128"/>
      <c r="FX401" s="128"/>
      <c r="FY401" s="128"/>
      <c r="FZ401" s="128"/>
      <c r="GA401" s="128"/>
      <c r="GB401" s="128"/>
      <c r="GC401" s="128"/>
      <c r="GD401" s="128"/>
      <c r="GE401" s="128"/>
      <c r="GF401" s="128"/>
      <c r="GG401" s="128"/>
      <c r="GH401" s="128"/>
      <c r="GI401" s="128"/>
      <c r="GJ401" s="128"/>
      <c r="GK401" s="128"/>
      <c r="GL401" s="128"/>
      <c r="GM401" s="128"/>
      <c r="GN401" s="128"/>
      <c r="GO401" s="128"/>
      <c r="GP401" s="128"/>
      <c r="GQ401" s="128"/>
      <c r="GR401" s="128"/>
      <c r="GS401" s="128"/>
      <c r="GT401" s="128"/>
      <c r="GU401" s="128"/>
      <c r="GV401" s="128"/>
      <c r="GW401" s="128"/>
      <c r="GX401" s="128"/>
      <c r="GY401" s="128"/>
      <c r="GZ401" s="128"/>
      <c r="HA401" s="128"/>
      <c r="HB401" s="128"/>
      <c r="HC401" s="128"/>
      <c r="HD401" s="128"/>
      <c r="HE401" s="128"/>
      <c r="HF401" s="128"/>
      <c r="HG401" s="128"/>
      <c r="HH401" s="128"/>
      <c r="HI401" s="128"/>
      <c r="HJ401" s="128"/>
      <c r="HK401" s="128"/>
      <c r="HL401" s="128"/>
      <c r="HM401" s="128"/>
      <c r="HN401" s="128"/>
      <c r="HO401" s="128"/>
      <c r="HP401" s="128"/>
      <c r="HQ401" s="128"/>
      <c r="HR401" s="128"/>
      <c r="HS401" s="128"/>
      <c r="HT401" s="128"/>
      <c r="HU401" s="128"/>
      <c r="HV401" s="128"/>
      <c r="HW401" s="128"/>
      <c r="HX401" s="128"/>
      <c r="HY401" s="128"/>
      <c r="HZ401" s="128"/>
      <c r="IA401" s="128"/>
      <c r="IB401" s="128"/>
      <c r="IC401" s="128"/>
      <c r="ID401" s="128"/>
      <c r="IE401" s="128"/>
      <c r="IF401" s="128"/>
      <c r="IG401" s="128"/>
      <c r="IH401" s="128"/>
      <c r="II401" s="128"/>
      <c r="IJ401" s="128"/>
      <c r="IK401" s="128"/>
      <c r="IL401" s="128"/>
      <c r="IM401" s="128"/>
      <c r="IN401" s="128"/>
      <c r="IO401" s="128"/>
      <c r="IP401" s="128"/>
      <c r="IQ401" s="128"/>
      <c r="IR401" s="128"/>
      <c r="IS401" s="128"/>
      <c r="IT401" s="128"/>
      <c r="IU401" s="128"/>
      <c r="IV401" s="128"/>
      <c r="IW401" s="128"/>
      <c r="IX401" s="128"/>
      <c r="IY401" s="128"/>
      <c r="IZ401" s="128"/>
      <c r="JA401" s="128"/>
      <c r="JB401" s="128"/>
      <c r="JC401" s="128"/>
      <c r="JD401" s="128"/>
      <c r="JE401" s="128"/>
      <c r="JF401" s="128"/>
      <c r="JG401" s="128"/>
      <c r="JH401" s="128"/>
      <c r="JI401" s="128"/>
      <c r="JJ401" s="128"/>
      <c r="JK401" s="128"/>
      <c r="JL401" s="128"/>
      <c r="JM401" s="128"/>
      <c r="JN401" s="128"/>
      <c r="JO401" s="128"/>
      <c r="JP401" s="128"/>
      <c r="JQ401" s="128"/>
      <c r="JR401" s="128"/>
      <c r="JS401" s="128"/>
      <c r="JT401" s="128"/>
      <c r="JU401" s="128"/>
      <c r="JV401" s="128"/>
      <c r="JW401" s="128"/>
      <c r="JX401" s="128"/>
      <c r="JY401" s="128"/>
      <c r="JZ401" s="128"/>
      <c r="KA401" s="128"/>
      <c r="KB401" s="128"/>
      <c r="KC401" s="128"/>
      <c r="KD401" s="128"/>
      <c r="KE401" s="128"/>
      <c r="KF401" s="128"/>
      <c r="KG401" s="128"/>
      <c r="KH401" s="128"/>
      <c r="KI401" s="128"/>
      <c r="KJ401" s="128"/>
      <c r="KK401" s="128"/>
      <c r="KL401" s="128"/>
      <c r="KM401" s="128"/>
      <c r="KN401" s="128"/>
      <c r="KO401" s="128"/>
      <c r="KP401" s="128"/>
      <c r="KQ401" s="128"/>
      <c r="KR401" s="128"/>
      <c r="KS401" s="128"/>
      <c r="KT401" s="128"/>
      <c r="KU401" s="128"/>
      <c r="KV401" s="128"/>
      <c r="KW401" s="128"/>
      <c r="KX401" s="128"/>
      <c r="KY401" s="128"/>
      <c r="KZ401" s="128"/>
      <c r="LA401" s="128"/>
      <c r="LB401" s="128"/>
      <c r="LC401" s="128"/>
      <c r="LD401" s="128"/>
      <c r="LE401" s="128"/>
      <c r="LF401" s="128"/>
      <c r="LG401" s="128"/>
      <c r="LH401" s="128"/>
      <c r="LI401" s="128"/>
      <c r="LJ401" s="128"/>
      <c r="LK401" s="128"/>
      <c r="LL401" s="128"/>
      <c r="LM401" s="128"/>
      <c r="LN401" s="128"/>
      <c r="LO401" s="128"/>
      <c r="LP401" s="128"/>
      <c r="LQ401" s="128"/>
      <c r="LR401" s="128"/>
      <c r="LS401" s="128"/>
      <c r="LT401" s="128"/>
      <c r="LU401" s="128"/>
      <c r="LV401" s="128"/>
      <c r="LW401" s="128"/>
      <c r="LX401" s="128"/>
      <c r="LY401" s="128"/>
      <c r="LZ401" s="128"/>
      <c r="MA401" s="128"/>
      <c r="MB401" s="128"/>
      <c r="MC401" s="128"/>
      <c r="MD401" s="128"/>
      <c r="ME401" s="128"/>
      <c r="MF401" s="128"/>
      <c r="MG401" s="128"/>
      <c r="MH401" s="128"/>
      <c r="MI401" s="128"/>
      <c r="MJ401" s="128"/>
      <c r="MK401" s="128"/>
      <c r="ML401" s="128"/>
      <c r="MM401" s="128"/>
      <c r="MN401" s="128"/>
      <c r="MO401" s="128"/>
      <c r="MP401" s="128"/>
      <c r="MQ401" s="128"/>
      <c r="MR401" s="128"/>
      <c r="MS401" s="128"/>
      <c r="MT401" s="128"/>
      <c r="MU401" s="128"/>
      <c r="MV401" s="128"/>
      <c r="MW401" s="128"/>
      <c r="MX401" s="128"/>
      <c r="MY401" s="128"/>
      <c r="MZ401" s="128"/>
      <c r="NA401" s="128"/>
      <c r="NB401" s="128"/>
      <c r="NC401" s="128"/>
      <c r="ND401" s="128"/>
      <c r="NE401" s="128"/>
      <c r="NF401" s="128"/>
      <c r="NG401" s="128"/>
      <c r="NH401" s="128"/>
      <c r="NI401" s="128"/>
      <c r="NJ401" s="128"/>
      <c r="NK401" s="128"/>
      <c r="NL401" s="128"/>
      <c r="NM401" s="128"/>
      <c r="NN401" s="128"/>
      <c r="NO401" s="128"/>
      <c r="NP401" s="128"/>
      <c r="NQ401" s="128"/>
      <c r="NR401" s="128"/>
      <c r="NS401" s="128"/>
      <c r="NT401" s="128"/>
      <c r="NU401" s="128"/>
      <c r="NV401" s="128"/>
      <c r="NW401" s="128"/>
      <c r="NX401" s="128"/>
      <c r="NY401" s="128"/>
      <c r="NZ401" s="128"/>
      <c r="OA401" s="128"/>
      <c r="OB401" s="128"/>
      <c r="OC401" s="128"/>
      <c r="OD401" s="128"/>
      <c r="OE401" s="128"/>
      <c r="OF401" s="128"/>
      <c r="OG401" s="128"/>
      <c r="OH401" s="128"/>
      <c r="OI401" s="128"/>
      <c r="OJ401" s="128"/>
      <c r="OK401" s="128"/>
      <c r="OL401" s="128"/>
      <c r="OM401" s="128"/>
      <c r="ON401" s="128"/>
      <c r="OO401" s="128"/>
      <c r="OP401" s="128"/>
      <c r="OQ401" s="128"/>
      <c r="OR401" s="128"/>
      <c r="OS401" s="128"/>
      <c r="OT401" s="128"/>
      <c r="OU401" s="128"/>
      <c r="OV401" s="128"/>
      <c r="OW401" s="128"/>
      <c r="OX401" s="128"/>
      <c r="OY401" s="128"/>
      <c r="OZ401" s="128"/>
      <c r="PA401" s="128"/>
      <c r="PB401" s="128"/>
      <c r="PC401" s="128"/>
      <c r="PD401" s="128"/>
      <c r="PE401" s="128"/>
      <c r="PF401" s="128"/>
      <c r="PG401" s="128"/>
      <c r="PH401" s="128"/>
      <c r="PI401" s="128"/>
      <c r="PJ401" s="128"/>
      <c r="PK401" s="128"/>
      <c r="PL401" s="128"/>
      <c r="PM401" s="128"/>
      <c r="PN401" s="128"/>
      <c r="PO401" s="128"/>
      <c r="PP401" s="128"/>
      <c r="PQ401" s="128"/>
      <c r="PR401" s="128"/>
      <c r="PS401" s="128"/>
      <c r="PT401" s="128"/>
      <c r="PU401" s="128"/>
      <c r="PV401" s="128"/>
      <c r="PW401" s="128"/>
      <c r="PX401" s="128"/>
      <c r="PY401" s="128"/>
      <c r="PZ401" s="128"/>
      <c r="QA401" s="128"/>
      <c r="QB401" s="128"/>
      <c r="QC401" s="128"/>
      <c r="QD401" s="128"/>
      <c r="QE401" s="128"/>
      <c r="QF401" s="128"/>
      <c r="QG401" s="128"/>
      <c r="QH401" s="128"/>
      <c r="QI401" s="128"/>
      <c r="QJ401" s="128"/>
      <c r="QK401" s="128"/>
      <c r="QL401" s="128"/>
      <c r="QM401" s="128"/>
      <c r="QN401" s="128"/>
      <c r="QO401" s="128"/>
      <c r="QP401" s="128"/>
      <c r="QQ401" s="128"/>
      <c r="QR401" s="128"/>
      <c r="QS401" s="128"/>
      <c r="QT401" s="128"/>
      <c r="QU401" s="128"/>
      <c r="QV401" s="128"/>
      <c r="QW401" s="128"/>
      <c r="QX401" s="128"/>
      <c r="QY401" s="128"/>
      <c r="QZ401" s="128"/>
      <c r="RA401" s="128"/>
      <c r="RB401" s="128"/>
      <c r="RC401" s="128"/>
      <c r="RD401" s="128"/>
      <c r="RE401" s="128"/>
      <c r="RF401" s="128"/>
      <c r="RG401" s="128"/>
      <c r="RH401" s="128"/>
      <c r="RI401" s="128"/>
      <c r="RJ401" s="128"/>
      <c r="RK401" s="128"/>
      <c r="RL401" s="128"/>
      <c r="RM401" s="128"/>
      <c r="RN401" s="128"/>
      <c r="RO401" s="128"/>
      <c r="RP401" s="128"/>
      <c r="RQ401" s="128"/>
      <c r="RR401" s="128"/>
      <c r="RS401" s="128"/>
      <c r="RT401" s="128"/>
      <c r="RU401" s="128"/>
      <c r="RV401" s="128"/>
      <c r="RW401" s="128"/>
      <c r="RX401" s="128"/>
      <c r="RY401" s="128"/>
      <c r="RZ401" s="128"/>
      <c r="SA401" s="128"/>
      <c r="SB401" s="128"/>
      <c r="SC401" s="128"/>
      <c r="SD401" s="128"/>
      <c r="SE401" s="128"/>
      <c r="SF401" s="128"/>
      <c r="SG401" s="128"/>
      <c r="SH401" s="128"/>
      <c r="SI401" s="128"/>
      <c r="SJ401" s="128"/>
      <c r="SK401" s="128"/>
      <c r="SL401" s="128"/>
      <c r="SM401" s="128"/>
      <c r="SN401" s="128"/>
      <c r="SO401" s="128"/>
      <c r="SP401" s="128"/>
      <c r="SQ401" s="128"/>
      <c r="SR401" s="128"/>
      <c r="SS401" s="128"/>
      <c r="ST401" s="128"/>
      <c r="SU401" s="128"/>
      <c r="SV401" s="128"/>
      <c r="SW401" s="128"/>
      <c r="SX401" s="128"/>
      <c r="SY401" s="128"/>
      <c r="SZ401" s="128"/>
      <c r="TA401" s="128"/>
      <c r="TB401" s="128"/>
      <c r="TC401" s="128"/>
      <c r="TD401" s="128"/>
      <c r="TE401" s="128"/>
      <c r="TF401" s="128"/>
      <c r="TG401" s="128"/>
      <c r="TH401" s="128"/>
      <c r="TI401" s="128"/>
      <c r="TJ401" s="128"/>
      <c r="TK401" s="128"/>
      <c r="TL401" s="128"/>
      <c r="TM401" s="128"/>
      <c r="TN401" s="128"/>
      <c r="TO401" s="128"/>
      <c r="TP401" s="128"/>
      <c r="TQ401" s="128"/>
      <c r="TR401" s="128"/>
      <c r="TS401" s="128"/>
      <c r="TT401" s="128"/>
      <c r="TU401" s="128"/>
      <c r="TV401" s="128"/>
      <c r="TW401" s="128"/>
      <c r="TX401" s="128"/>
      <c r="TY401" s="128"/>
      <c r="TZ401" s="128"/>
      <c r="UA401" s="128"/>
      <c r="UB401" s="128"/>
      <c r="UC401" s="128"/>
      <c r="UD401" s="128"/>
      <c r="UE401" s="128"/>
      <c r="UF401" s="128"/>
      <c r="UG401" s="128"/>
      <c r="UH401" s="128"/>
      <c r="UI401" s="128"/>
      <c r="UJ401" s="128"/>
      <c r="UK401" s="128"/>
      <c r="UL401" s="128"/>
      <c r="UM401" s="128"/>
      <c r="UN401" s="128"/>
      <c r="UO401" s="128"/>
      <c r="UP401" s="128"/>
      <c r="UQ401" s="128"/>
      <c r="UR401" s="128"/>
      <c r="US401" s="128"/>
      <c r="UT401" s="128"/>
      <c r="UU401" s="128"/>
      <c r="UV401" s="128"/>
      <c r="UW401" s="128"/>
      <c r="UX401" s="128"/>
      <c r="UY401" s="128"/>
      <c r="UZ401" s="128"/>
      <c r="VA401" s="128"/>
      <c r="VB401" s="128"/>
      <c r="VC401" s="128"/>
      <c r="VD401" s="128"/>
      <c r="VE401" s="128"/>
      <c r="VF401" s="128"/>
      <c r="VG401" s="128"/>
      <c r="VH401" s="128"/>
      <c r="VI401" s="128"/>
      <c r="VJ401" s="128"/>
      <c r="VK401" s="128"/>
      <c r="VL401" s="128"/>
      <c r="VM401" s="128"/>
      <c r="VN401" s="128"/>
      <c r="VO401" s="128"/>
      <c r="VP401" s="128"/>
      <c r="VQ401" s="128"/>
      <c r="VR401" s="128"/>
      <c r="VS401" s="128"/>
      <c r="VT401" s="128"/>
      <c r="VU401" s="128"/>
      <c r="VV401" s="128"/>
      <c r="VW401" s="128"/>
      <c r="VX401" s="128"/>
      <c r="VY401" s="128"/>
      <c r="VZ401" s="128"/>
      <c r="WA401" s="128"/>
      <c r="WB401" s="128"/>
      <c r="WC401" s="128"/>
      <c r="WD401" s="128"/>
      <c r="WE401" s="128"/>
      <c r="WF401" s="128"/>
      <c r="WG401" s="128"/>
      <c r="WH401" s="128"/>
      <c r="WI401" s="128"/>
      <c r="WJ401" s="128"/>
      <c r="WK401" s="128"/>
      <c r="WL401" s="128"/>
      <c r="WM401" s="128"/>
      <c r="WN401" s="128"/>
      <c r="WO401" s="128"/>
      <c r="WP401" s="128"/>
      <c r="WQ401" s="128"/>
      <c r="WR401" s="128"/>
      <c r="WS401" s="128"/>
      <c r="WT401" s="128"/>
      <c r="WU401" s="128"/>
      <c r="WV401" s="128"/>
      <c r="WW401" s="128"/>
      <c r="WX401" s="128"/>
      <c r="WY401" s="128"/>
      <c r="WZ401" s="128"/>
      <c r="XA401" s="128"/>
      <c r="XB401" s="128"/>
      <c r="XC401" s="128"/>
      <c r="XD401" s="128"/>
      <c r="XE401" s="128"/>
      <c r="XF401" s="128"/>
      <c r="XG401" s="128"/>
      <c r="XH401" s="128"/>
      <c r="XI401" s="128"/>
      <c r="XJ401" s="128"/>
      <c r="XK401" s="128"/>
      <c r="XL401" s="128"/>
      <c r="XM401" s="128"/>
      <c r="XN401" s="128"/>
      <c r="XO401" s="128"/>
      <c r="XP401" s="128"/>
      <c r="XQ401" s="128"/>
      <c r="XR401" s="128"/>
      <c r="XS401" s="128"/>
      <c r="XT401" s="128"/>
      <c r="XU401" s="128"/>
      <c r="XV401" s="128"/>
      <c r="XW401" s="128"/>
      <c r="XX401" s="128"/>
      <c r="XY401" s="128"/>
      <c r="XZ401" s="128"/>
      <c r="YA401" s="128"/>
      <c r="YB401" s="128"/>
      <c r="YC401" s="128"/>
      <c r="YD401" s="128"/>
      <c r="YE401" s="128"/>
      <c r="YF401" s="128"/>
      <c r="YG401" s="128"/>
      <c r="YH401" s="128"/>
      <c r="YI401" s="128"/>
      <c r="YJ401" s="128"/>
      <c r="YK401" s="128"/>
      <c r="YL401" s="128"/>
      <c r="YM401" s="128"/>
      <c r="YN401" s="128"/>
      <c r="YO401" s="128"/>
      <c r="YP401" s="128"/>
      <c r="YQ401" s="128"/>
      <c r="YR401" s="128"/>
      <c r="YS401" s="128"/>
      <c r="YT401" s="128"/>
      <c r="YU401" s="128"/>
      <c r="YV401" s="128"/>
      <c r="YW401" s="128"/>
      <c r="YX401" s="128"/>
      <c r="YY401" s="128"/>
      <c r="YZ401" s="128"/>
      <c r="ZA401" s="128"/>
      <c r="ZB401" s="128"/>
      <c r="ZC401" s="128"/>
      <c r="ZD401" s="128"/>
      <c r="ZE401" s="128"/>
      <c r="ZF401" s="128"/>
      <c r="ZG401" s="128"/>
      <c r="ZH401" s="128"/>
      <c r="ZI401" s="128"/>
      <c r="ZJ401" s="128"/>
      <c r="ZK401" s="128"/>
      <c r="ZL401" s="128"/>
      <c r="ZM401" s="128"/>
      <c r="ZN401" s="128"/>
      <c r="ZO401" s="128"/>
      <c r="ZP401" s="128"/>
      <c r="ZQ401" s="128"/>
      <c r="ZR401" s="128"/>
      <c r="ZS401" s="128"/>
      <c r="ZT401" s="128"/>
      <c r="ZU401" s="128"/>
      <c r="ZV401" s="128"/>
      <c r="ZW401" s="128"/>
      <c r="ZX401" s="128"/>
      <c r="ZY401" s="128"/>
      <c r="ZZ401" s="128"/>
      <c r="AAA401" s="128"/>
      <c r="AAB401" s="128"/>
      <c r="AAC401" s="128"/>
      <c r="AAD401" s="128"/>
      <c r="AAE401" s="128"/>
      <c r="AAF401" s="128"/>
      <c r="AAG401" s="128"/>
      <c r="AAH401" s="128"/>
      <c r="AAI401" s="128"/>
      <c r="AAJ401" s="128"/>
      <c r="AAK401" s="128"/>
      <c r="AAL401" s="128"/>
      <c r="AAM401" s="128"/>
      <c r="AAN401" s="128"/>
      <c r="AAO401" s="128"/>
      <c r="AAP401" s="128"/>
      <c r="AAQ401" s="128"/>
      <c r="AAR401" s="128"/>
      <c r="AAS401" s="128"/>
      <c r="AAT401" s="128"/>
      <c r="AAU401" s="128"/>
      <c r="AAV401" s="128"/>
      <c r="AAW401" s="128"/>
      <c r="AAX401" s="128"/>
      <c r="AAY401" s="128"/>
      <c r="AAZ401" s="128"/>
      <c r="ABA401" s="128"/>
      <c r="ABB401" s="128"/>
      <c r="ABC401" s="128"/>
      <c r="ABD401" s="128"/>
      <c r="ABE401" s="128"/>
      <c r="ABF401" s="128"/>
      <c r="ABG401" s="128"/>
      <c r="ABH401" s="128"/>
      <c r="ABI401" s="128"/>
      <c r="ABJ401" s="128"/>
      <c r="ABK401" s="128"/>
      <c r="ABL401" s="128"/>
      <c r="ABM401" s="128"/>
      <c r="ABN401" s="128"/>
      <c r="ABO401" s="128"/>
      <c r="ABP401" s="128"/>
      <c r="ABQ401" s="128"/>
      <c r="ABR401" s="128"/>
      <c r="ABS401" s="128"/>
      <c r="ABT401" s="128"/>
      <c r="ABU401" s="128"/>
      <c r="ABV401" s="128"/>
      <c r="ABW401" s="128"/>
      <c r="ABX401" s="128"/>
      <c r="ABY401" s="128"/>
      <c r="ABZ401" s="128"/>
      <c r="ACA401" s="128"/>
      <c r="ACB401" s="128"/>
      <c r="ACC401" s="128"/>
      <c r="ACD401" s="128"/>
      <c r="ACE401" s="128"/>
      <c r="ACF401" s="128"/>
      <c r="ACG401" s="128"/>
      <c r="ACH401" s="128"/>
      <c r="ACI401" s="128"/>
      <c r="ACJ401" s="128"/>
      <c r="ACK401" s="128"/>
      <c r="ACL401" s="128"/>
      <c r="ACM401" s="128"/>
      <c r="ACN401" s="128"/>
      <c r="ACO401" s="128"/>
      <c r="ACP401" s="128"/>
      <c r="ACQ401" s="128"/>
      <c r="ACR401" s="128"/>
      <c r="ACS401" s="128"/>
      <c r="ACT401" s="128"/>
      <c r="ACU401" s="128"/>
      <c r="ACV401" s="128"/>
      <c r="ACW401" s="128"/>
      <c r="ACX401" s="128"/>
      <c r="ACY401" s="128"/>
      <c r="ACZ401" s="128"/>
      <c r="ADA401" s="128"/>
      <c r="ADB401" s="128"/>
      <c r="ADC401" s="128"/>
      <c r="ADD401" s="128"/>
      <c r="ADE401" s="128"/>
      <c r="ADF401" s="128"/>
      <c r="ADG401" s="128"/>
      <c r="ADH401" s="128"/>
      <c r="ADI401" s="128"/>
      <c r="ADJ401" s="128"/>
      <c r="ADK401" s="128"/>
      <c r="ADL401" s="128"/>
      <c r="ADM401" s="128"/>
      <c r="ADN401" s="128"/>
      <c r="ADO401" s="128"/>
      <c r="ADP401" s="128"/>
      <c r="ADQ401" s="128"/>
      <c r="ADR401" s="128"/>
      <c r="ADS401" s="128"/>
      <c r="ADT401" s="128"/>
      <c r="ADU401" s="128"/>
      <c r="ADV401" s="128"/>
      <c r="ADW401" s="128"/>
      <c r="ADX401" s="128"/>
      <c r="ADY401" s="128"/>
      <c r="ADZ401" s="128"/>
      <c r="AEA401" s="128"/>
      <c r="AEB401" s="128"/>
      <c r="AEC401" s="128"/>
      <c r="AED401" s="128"/>
      <c r="AEE401" s="128"/>
      <c r="AEF401" s="128"/>
      <c r="AEG401" s="128"/>
      <c r="AEH401" s="128"/>
      <c r="AEI401" s="128"/>
      <c r="AEJ401" s="128"/>
      <c r="AEK401" s="128"/>
      <c r="AEL401" s="128"/>
      <c r="AEM401" s="128"/>
      <c r="AEN401" s="128"/>
      <c r="AEO401" s="128"/>
      <c r="AEP401" s="128"/>
      <c r="AEQ401" s="128"/>
      <c r="AER401" s="128"/>
      <c r="AES401" s="128"/>
      <c r="AET401" s="128"/>
      <c r="AEU401" s="128"/>
      <c r="AEV401" s="128"/>
      <c r="AEW401" s="128"/>
      <c r="AEX401" s="128"/>
      <c r="AEY401" s="128"/>
      <c r="AEZ401" s="128"/>
      <c r="AFA401" s="128"/>
      <c r="AFB401" s="128"/>
      <c r="AFC401" s="128"/>
      <c r="AFD401" s="128"/>
      <c r="AFE401" s="128"/>
      <c r="AFF401" s="128"/>
      <c r="AFG401" s="128"/>
      <c r="AFH401" s="128"/>
      <c r="AFI401" s="128"/>
      <c r="AFJ401" s="128"/>
      <c r="AFK401" s="128"/>
      <c r="AFL401" s="128"/>
      <c r="AFM401" s="128"/>
      <c r="AFN401" s="128"/>
      <c r="AFO401" s="128"/>
      <c r="AFP401" s="128"/>
      <c r="AFQ401" s="128"/>
      <c r="AFR401" s="128"/>
      <c r="AFS401" s="128"/>
      <c r="AFT401" s="128"/>
      <c r="AFU401" s="128"/>
      <c r="AFV401" s="128"/>
      <c r="AFW401" s="128"/>
      <c r="AFX401" s="128"/>
      <c r="AFY401" s="128"/>
      <c r="AFZ401" s="128"/>
      <c r="AGA401" s="128"/>
      <c r="AGB401" s="128"/>
      <c r="AGC401" s="128"/>
      <c r="AGD401" s="128"/>
      <c r="AGE401" s="128"/>
      <c r="AGF401" s="128"/>
      <c r="AGG401" s="128"/>
      <c r="AGH401" s="128"/>
      <c r="AGI401" s="128"/>
      <c r="AGJ401" s="128"/>
      <c r="AGK401" s="128"/>
      <c r="AGL401" s="128"/>
      <c r="AGM401" s="128"/>
      <c r="AGN401" s="128"/>
      <c r="AGO401" s="128"/>
      <c r="AGP401" s="128"/>
      <c r="AGQ401" s="128"/>
      <c r="AGR401" s="128"/>
      <c r="AGS401" s="128"/>
      <c r="AGT401" s="128"/>
      <c r="AGU401" s="128"/>
      <c r="AGV401" s="128"/>
      <c r="AGW401" s="128"/>
      <c r="AGX401" s="128"/>
      <c r="AGY401" s="128"/>
      <c r="AGZ401" s="128"/>
      <c r="AHA401" s="128"/>
      <c r="AHB401" s="128"/>
      <c r="AHC401" s="128"/>
      <c r="AHD401" s="128"/>
      <c r="AHE401" s="128"/>
      <c r="AHF401" s="128"/>
      <c r="AHG401" s="128"/>
      <c r="AHH401" s="128"/>
      <c r="AHI401" s="128"/>
      <c r="AHJ401" s="128"/>
      <c r="AHK401" s="128"/>
      <c r="AHL401" s="128"/>
      <c r="AHM401" s="128"/>
      <c r="AHN401" s="128"/>
      <c r="AHO401" s="128"/>
      <c r="AHP401" s="128"/>
      <c r="AHQ401" s="128"/>
      <c r="AHR401" s="128"/>
      <c r="AHS401" s="128"/>
      <c r="AHT401" s="128"/>
      <c r="AHU401" s="128"/>
      <c r="AHV401" s="128"/>
      <c r="AHW401" s="128"/>
      <c r="AHX401" s="128"/>
      <c r="AHY401" s="128"/>
      <c r="AHZ401" s="128"/>
      <c r="AIA401" s="128"/>
      <c r="AIB401" s="128"/>
      <c r="AIC401" s="128"/>
      <c r="AID401" s="128"/>
      <c r="AIE401" s="128"/>
      <c r="AIF401" s="128"/>
      <c r="AIG401" s="128"/>
      <c r="AIH401" s="128"/>
      <c r="AII401" s="128"/>
      <c r="AIJ401" s="128"/>
      <c r="AIK401" s="128"/>
      <c r="AIL401" s="128"/>
      <c r="AIM401" s="128"/>
      <c r="AIN401" s="128"/>
      <c r="AIO401" s="128"/>
      <c r="AIP401" s="128"/>
      <c r="AIQ401" s="128"/>
      <c r="AIR401" s="128"/>
      <c r="AIS401" s="128"/>
      <c r="AIT401" s="128"/>
      <c r="AIU401" s="128"/>
      <c r="AIV401" s="128"/>
      <c r="AIW401" s="128"/>
      <c r="AIX401" s="128"/>
      <c r="AIY401" s="128"/>
      <c r="AIZ401" s="128"/>
      <c r="AJA401" s="128"/>
      <c r="AJB401" s="128"/>
      <c r="AJC401" s="128"/>
      <c r="AJD401" s="128"/>
      <c r="AJE401" s="128"/>
      <c r="AJF401" s="128"/>
      <c r="AJG401" s="128"/>
      <c r="AJH401" s="128"/>
      <c r="AJI401" s="128"/>
      <c r="AJJ401" s="128"/>
      <c r="AJK401" s="128"/>
      <c r="AJL401" s="128"/>
      <c r="AJM401" s="128"/>
      <c r="AJN401" s="128"/>
      <c r="AJO401" s="128"/>
      <c r="AJP401" s="128"/>
      <c r="AJQ401" s="128"/>
      <c r="AJR401" s="128"/>
      <c r="AJS401" s="128"/>
      <c r="AJT401" s="128"/>
      <c r="AJU401" s="128"/>
      <c r="AJV401" s="128"/>
      <c r="AJW401" s="128"/>
      <c r="AJX401" s="128"/>
      <c r="AJY401" s="128"/>
      <c r="AJZ401" s="128"/>
      <c r="AKA401" s="128"/>
      <c r="AKB401" s="128"/>
      <c r="AKC401" s="128"/>
      <c r="AKD401" s="128"/>
      <c r="AKE401" s="128"/>
      <c r="AKF401" s="128"/>
      <c r="AKG401" s="128"/>
      <c r="AKH401" s="128"/>
      <c r="AKI401" s="128"/>
      <c r="AKJ401" s="128"/>
      <c r="AKK401" s="128"/>
      <c r="AKL401" s="128"/>
      <c r="AKM401" s="128"/>
      <c r="AKN401" s="128"/>
      <c r="AKO401" s="128"/>
      <c r="AKP401" s="128"/>
      <c r="AKQ401" s="128"/>
      <c r="AKR401" s="128"/>
      <c r="AKS401" s="128"/>
      <c r="AKT401" s="128"/>
      <c r="AKU401" s="128"/>
      <c r="AKV401" s="128"/>
      <c r="AKW401" s="128"/>
      <c r="AKX401" s="128"/>
      <c r="AKY401" s="128"/>
      <c r="AKZ401" s="128"/>
      <c r="ALA401" s="128"/>
      <c r="ALB401" s="128"/>
      <c r="ALC401" s="128"/>
      <c r="ALD401" s="128"/>
      <c r="ALE401" s="128"/>
      <c r="ALF401" s="128"/>
      <c r="ALG401" s="128"/>
      <c r="ALH401" s="128"/>
      <c r="ALI401" s="128"/>
      <c r="ALJ401" s="128"/>
      <c r="ALK401" s="128"/>
      <c r="ALL401" s="128"/>
      <c r="ALM401" s="128"/>
      <c r="ALN401" s="128"/>
      <c r="ALO401" s="128"/>
      <c r="ALP401" s="128"/>
      <c r="ALQ401" s="128"/>
      <c r="ALR401" s="128"/>
      <c r="ALS401" s="128"/>
      <c r="ALT401" s="128"/>
      <c r="ALU401" s="128"/>
      <c r="ALV401" s="128"/>
      <c r="ALW401" s="128"/>
      <c r="ALX401" s="128"/>
      <c r="ALY401" s="128"/>
      <c r="ALZ401" s="128"/>
      <c r="AMA401" s="128"/>
      <c r="AMB401" s="128"/>
      <c r="AMC401" s="128"/>
      <c r="AMD401" s="128"/>
      <c r="AME401" s="128"/>
      <c r="AMF401" s="128"/>
      <c r="AMG401" s="128"/>
      <c r="AMH401" s="128"/>
      <c r="AMI401" s="128"/>
      <c r="AMJ401" s="128"/>
      <c r="AMK401" s="128"/>
      <c r="AML401" s="128"/>
      <c r="AMM401" s="128"/>
      <c r="AMN401" s="128"/>
      <c r="AMO401" s="128"/>
      <c r="AMP401" s="128"/>
    </row>
    <row r="402" spans="1:1030" x14ac:dyDescent="0.2">
      <c r="A402" s="3" t="str">
        <f t="shared" si="2541"/>
        <v>crfr1_human__wt</v>
      </c>
      <c r="B402" s="3" t="s">
        <v>38</v>
      </c>
      <c r="C402" s="3" t="s">
        <v>100</v>
      </c>
      <c r="D402" s="3" t="str">
        <f>IFERROR(MID(VLOOKUP($B402,Seqs!$A:$B,2,0),E402,1),"")</f>
        <v>Q</v>
      </c>
      <c r="E402" s="3">
        <v>103</v>
      </c>
      <c r="F402" s="3" t="str">
        <f>IFERROR(MID(VLOOKUP($B402,Seqs!$A:$B,2,0),G402,1),"")</f>
        <v>L</v>
      </c>
      <c r="G402" s="3">
        <v>144</v>
      </c>
      <c r="H402" s="3" t="str">
        <f>IFERROR(MID(VLOOKUP($B402,Seqs!$A:$B,2,0),I402,1),"")</f>
        <v>R</v>
      </c>
      <c r="I402" s="23">
        <v>145</v>
      </c>
      <c r="J402" s="3" t="str">
        <f>IFERROR(MID(VLOOKUP($B402,Seqs!$A:$B,2,0),K402,1),"")</f>
        <v>R</v>
      </c>
      <c r="K402" s="23">
        <v>148</v>
      </c>
      <c r="L402" s="3" t="str">
        <f>IFERROR(MID(VLOOKUP($B402,Seqs!$A:$B,2,0),M402,1),"")</f>
        <v>C</v>
      </c>
      <c r="M402" s="23">
        <v>149</v>
      </c>
      <c r="N402" s="3" t="str">
        <f>IFERROR(MID(VLOOKUP($B402,Seqs!$A:$B,2,0),O402,1),"")</f>
        <v>T</v>
      </c>
      <c r="O402" s="3">
        <v>175</v>
      </c>
      <c r="P402" s="3" t="str">
        <f>IFERROR(MID(VLOOKUP($B402,Seqs!$A:$B,2,0),Q402,1),"")</f>
        <v/>
      </c>
      <c r="Q402" s="3" t="s">
        <v>23</v>
      </c>
      <c r="R402" s="3" t="str">
        <f>IFERROR(MID(VLOOKUP($B402,Seqs!$A:$B,2,0),S402,1),"")</f>
        <v/>
      </c>
      <c r="S402" s="3" t="s">
        <v>23</v>
      </c>
      <c r="T402" s="3" t="str">
        <f>IFERROR(MID(VLOOKUP($B402,Seqs!$A:$B,2,0),U402,1),"")</f>
        <v>V</v>
      </c>
      <c r="U402" s="3">
        <v>185</v>
      </c>
      <c r="V402" s="3" t="str">
        <f>IFERROR(MID(VLOOKUP($B402,Seqs!$A:$B,2,0),W402,1),"")</f>
        <v>L</v>
      </c>
      <c r="W402" s="3">
        <v>219</v>
      </c>
      <c r="X402" s="3" t="str">
        <f>IFERROR(MID(VLOOKUP($B402,Seqs!$A:$B,2,0),Y402,1),"")</f>
        <v/>
      </c>
      <c r="Y402" s="3" t="s">
        <v>23</v>
      </c>
      <c r="Z402" s="3" t="str">
        <f>IFERROR(MID(VLOOKUP($B402,Seqs!$A:$B,2,0),AA402,1),"")</f>
        <v/>
      </c>
      <c r="AA402" s="3" t="s">
        <v>23</v>
      </c>
      <c r="AB402" s="3" t="str">
        <f>IFERROR(MID(VLOOKUP($B402,Seqs!$A:$B,2,0),AC402,1),"")</f>
        <v>L</v>
      </c>
      <c r="AC402" s="9">
        <v>226</v>
      </c>
      <c r="AD402" s="3" t="str">
        <f>IFERROR(MID(VLOOKUP($B402,Seqs!$A:$B,2,0),AE402,1),"")</f>
        <v>D</v>
      </c>
      <c r="AE402" s="3">
        <v>254</v>
      </c>
      <c r="AF402" s="3" t="str">
        <f>IFERROR(MID(VLOOKUP($B402,Seqs!$A:$B,2,0),AG402,1),"")</f>
        <v>C</v>
      </c>
      <c r="AG402" s="3">
        <v>258</v>
      </c>
      <c r="AH402" s="3" t="str">
        <f>IFERROR(MID(VLOOKUP($B402,Seqs!$A:$B,2,0),AI402,1),"")</f>
        <v>F</v>
      </c>
      <c r="AI402" s="3">
        <v>260</v>
      </c>
      <c r="AJ402" s="3" t="str">
        <f>IFERROR(MID(VLOOKUP($B402,Seqs!$A:$B,2,0),AK402,1),"")</f>
        <v>T</v>
      </c>
      <c r="AK402" s="3">
        <v>268</v>
      </c>
      <c r="AL402" s="3" t="str">
        <f>IFERROR(MID(VLOOKUP($B402,Seqs!$A:$B,2,0),AM402,1),"")</f>
        <v>L</v>
      </c>
      <c r="AM402" s="3">
        <v>298</v>
      </c>
      <c r="AN402" s="3" t="str">
        <f>IFERROR(MID(VLOOKUP($B402,Seqs!$A:$B,2,0),AO402,1),"")</f>
        <v>S</v>
      </c>
      <c r="AO402" s="3">
        <v>304</v>
      </c>
      <c r="AP402" s="3" t="str">
        <f>IFERROR(MID(VLOOKUP($B402,Seqs!$A:$B,2,0),AQ402,1),"")</f>
        <v>V</v>
      </c>
      <c r="AQ402" s="3">
        <v>332</v>
      </c>
      <c r="AR402" s="3" t="str">
        <f>IFERROR(MID(VLOOKUP($B402,Seqs!$A:$B,2,0),AS402,1),"")</f>
        <v>E</v>
      </c>
      <c r="AS402" s="3">
        <v>338</v>
      </c>
      <c r="AT402" s="3" t="str">
        <f>IFERROR(MID(VLOOKUP($B402,Seqs!$A:$B,2,0),AU402,1),"")</f>
        <v>L</v>
      </c>
      <c r="AU402" s="3">
        <v>366</v>
      </c>
      <c r="AV402" s="3" t="str">
        <f>IFERROR(MID(VLOOKUP($B402,Seqs!$A:$B,2,0),AW402,1),"")</f>
        <v>N</v>
      </c>
      <c r="AW402" s="3">
        <v>367</v>
      </c>
      <c r="AX402" s="3" t="str">
        <f>IFERROR(MID(VLOOKUP($B402,Seqs!$A:$B,2,0),AY402,1),"")</f>
        <v>A</v>
      </c>
      <c r="AY402" s="3">
        <v>392</v>
      </c>
      <c r="AZ402" s="77" t="str">
        <f>VLOOKUP(B402,Classification!A:D,2,0)</f>
        <v>B1</v>
      </c>
      <c r="BA402" s="94" t="str">
        <f>VLOOKUP(B402,Classification!A:D,4,0)</f>
        <v>Corticotropin-releasingfact</v>
      </c>
      <c r="BB402" s="27" t="b">
        <f t="shared" si="2542"/>
        <v>1</v>
      </c>
      <c r="BC402" s="23">
        <f t="shared" ref="BC402:BC456" si="3549">_xlfn.AGGREGATE(9,6,CH402:CS402)-_xlfn.AGGREGATE(9,6,BV402:CG402)+12</f>
        <v>257</v>
      </c>
      <c r="BD402" s="56" t="s">
        <v>23</v>
      </c>
      <c r="BE402" s="3" t="s">
        <v>23</v>
      </c>
      <c r="BF402" s="118" t="s">
        <v>23</v>
      </c>
      <c r="BG402" s="49" t="s">
        <v>1372</v>
      </c>
      <c r="BH402" s="49" t="s">
        <v>1377</v>
      </c>
      <c r="BI402" s="1"/>
      <c r="BJ402" s="70" t="s">
        <v>1287</v>
      </c>
      <c r="BK402" s="57" t="s">
        <v>1287</v>
      </c>
      <c r="BL402" s="57" t="s">
        <v>1287</v>
      </c>
      <c r="BM402" s="57" t="s">
        <v>1287</v>
      </c>
      <c r="BN402" s="57" t="s">
        <v>1287</v>
      </c>
      <c r="BO402" s="57" t="s">
        <v>1287</v>
      </c>
      <c r="BP402" s="57" t="s">
        <v>1287</v>
      </c>
      <c r="BQ402" s="57" t="s">
        <v>1287</v>
      </c>
      <c r="BR402" s="57" t="s">
        <v>1287</v>
      </c>
      <c r="BS402" s="57" t="s">
        <v>1287</v>
      </c>
      <c r="BT402" s="57" t="s">
        <v>1287</v>
      </c>
      <c r="BU402" s="57" t="s">
        <v>1287</v>
      </c>
      <c r="BV402" s="70">
        <f t="shared" ref="BV402:BV456" si="3550">E402</f>
        <v>103</v>
      </c>
      <c r="BW402" s="71">
        <f t="shared" ref="BW402:BW456" si="3551">I402</f>
        <v>145</v>
      </c>
      <c r="BX402" s="72">
        <f t="shared" ref="BX402:BX456" si="3552">M402</f>
        <v>149</v>
      </c>
      <c r="BY402" s="71" t="str">
        <f t="shared" ref="BY402:BY456" si="3553">Q402</f>
        <v>-</v>
      </c>
      <c r="BZ402" s="72">
        <f t="shared" ref="BZ402:BZ456" si="3554">U402</f>
        <v>185</v>
      </c>
      <c r="CA402" s="71" t="str">
        <f t="shared" ref="CA402:CA456" si="3555">Y402</f>
        <v>-</v>
      </c>
      <c r="CB402" s="72">
        <f t="shared" ref="CB402:CB456" si="3556">AC402</f>
        <v>226</v>
      </c>
      <c r="CC402" s="71">
        <f t="shared" ref="CC402:CC456" si="3557">AG402</f>
        <v>258</v>
      </c>
      <c r="CD402" s="72">
        <f t="shared" ref="CD402:CD456" si="3558">AK402</f>
        <v>268</v>
      </c>
      <c r="CE402" s="71">
        <f t="shared" ref="CE402:CE456" si="3559">AO402</f>
        <v>304</v>
      </c>
      <c r="CF402" s="72">
        <f t="shared" ref="CF402:CF456" si="3560">AS402</f>
        <v>338</v>
      </c>
      <c r="CG402" s="71">
        <f t="shared" ref="CG402:CG456" si="3561">AW402</f>
        <v>367</v>
      </c>
      <c r="CH402" s="70">
        <f t="shared" ref="CH402:CH456" si="3562">G402</f>
        <v>144</v>
      </c>
      <c r="CI402" s="71">
        <f t="shared" ref="CI402:CI456" si="3563">K402</f>
        <v>148</v>
      </c>
      <c r="CJ402" s="72">
        <f t="shared" ref="CJ402:CJ456" si="3564">O402</f>
        <v>175</v>
      </c>
      <c r="CK402" s="72" t="str">
        <f t="shared" ref="CK402:CK456" si="3565">S402</f>
        <v>-</v>
      </c>
      <c r="CL402" s="72">
        <f t="shared" ref="CL402:CL456" si="3566">W402</f>
        <v>219</v>
      </c>
      <c r="CM402" s="72" t="str">
        <f t="shared" ref="CM402:CM456" si="3567">AA402</f>
        <v>-</v>
      </c>
      <c r="CN402" s="72">
        <f t="shared" ref="CN402:CN456" si="3568">AE402</f>
        <v>254</v>
      </c>
      <c r="CO402" s="72">
        <f t="shared" ref="CO402:CO456" si="3569">AI402</f>
        <v>260</v>
      </c>
      <c r="CP402" s="72">
        <f t="shared" ref="CP402:CP456" si="3570">AM402</f>
        <v>298</v>
      </c>
      <c r="CQ402" s="72">
        <f t="shared" ref="CQ402:CQ456" si="3571">AQ402</f>
        <v>332</v>
      </c>
      <c r="CR402" s="72">
        <f t="shared" ref="CR402:CR456" si="3572">AU402</f>
        <v>366</v>
      </c>
      <c r="CS402" s="72">
        <f t="shared" ref="CS402:CS456" si="3573">AY402</f>
        <v>392</v>
      </c>
      <c r="CT402" s="23">
        <f t="shared" ref="CT402:CT456" si="3574">M402-K402</f>
        <v>1</v>
      </c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</row>
    <row r="403" spans="1:1030" x14ac:dyDescent="0.2">
      <c r="A403" s="3" t="str">
        <f t="shared" si="2541"/>
        <v>crfr1_human_4K5Y</v>
      </c>
      <c r="B403" s="3" t="s">
        <v>38</v>
      </c>
      <c r="C403" s="3" t="s">
        <v>95</v>
      </c>
      <c r="D403" s="3" t="str">
        <f>IFERROR(MID(VLOOKUP($B403,Seqs!$A:$B,2,0),E403,1),"")</f>
        <v>H</v>
      </c>
      <c r="E403" s="3">
        <v>117</v>
      </c>
      <c r="F403" s="3" t="str">
        <f>IFERROR(MID(VLOOKUP($B403,Seqs!$A:$B,2,0),G403,1),"")</f>
        <v>L</v>
      </c>
      <c r="G403" s="3">
        <v>144</v>
      </c>
      <c r="H403" s="3" t="str">
        <f>IFERROR(MID(VLOOKUP($B403,Seqs!$A:$B,2,0),I403,1),"")</f>
        <v>R</v>
      </c>
      <c r="I403" s="23">
        <v>145</v>
      </c>
      <c r="J403" s="3" t="str">
        <f>IFERROR(MID(VLOOKUP($B403,Seqs!$A:$B,2,0),K403,1),"")</f>
        <v>R</v>
      </c>
      <c r="K403" s="23">
        <v>148</v>
      </c>
      <c r="L403" s="3" t="str">
        <f>IFERROR(MID(VLOOKUP($B403,Seqs!$A:$B,2,0),M403,1),"")</f>
        <v>C</v>
      </c>
      <c r="M403" s="23">
        <v>149</v>
      </c>
      <c r="N403" s="3" t="str">
        <f>IFERROR(MID(VLOOKUP($B403,Seqs!$A:$B,2,0),O403,1),"")</f>
        <v>T</v>
      </c>
      <c r="O403" s="3">
        <v>175</v>
      </c>
      <c r="P403" s="3" t="str">
        <f>IFERROR(MID(VLOOKUP($B403,Seqs!$A:$B,2,0),Q403,1),"")</f>
        <v/>
      </c>
      <c r="Q403" s="3" t="s">
        <v>23</v>
      </c>
      <c r="R403" s="3" t="str">
        <f>IFERROR(MID(VLOOKUP($B403,Seqs!$A:$B,2,0),S403,1),"")</f>
        <v/>
      </c>
      <c r="S403" s="3" t="s">
        <v>23</v>
      </c>
      <c r="T403" s="3" t="str">
        <f>IFERROR(MID(VLOOKUP($B403,Seqs!$A:$B,2,0),U403,1),"")</f>
        <v>V</v>
      </c>
      <c r="U403" s="3">
        <v>185</v>
      </c>
      <c r="V403" s="3" t="str">
        <f>IFERROR(MID(VLOOKUP($B403,Seqs!$A:$B,2,0),W403,1),"")</f>
        <v>L</v>
      </c>
      <c r="W403" s="3">
        <v>219</v>
      </c>
      <c r="X403" s="3" t="str">
        <f>IFERROR(MID(VLOOKUP($B403,Seqs!$A:$B,2,0),Y403,1),"")</f>
        <v/>
      </c>
      <c r="Y403" s="3" t="s">
        <v>23</v>
      </c>
      <c r="Z403" s="3" t="str">
        <f>IFERROR(MID(VLOOKUP($B403,Seqs!$A:$B,2,0),AA403,1),"")</f>
        <v/>
      </c>
      <c r="AA403" s="3" t="s">
        <v>23</v>
      </c>
      <c r="AB403" s="3" t="str">
        <f>IFERROR(MID(VLOOKUP($B403,Seqs!$A:$B,2,0),AC403,1),"")</f>
        <v>L</v>
      </c>
      <c r="AC403" s="9">
        <v>226</v>
      </c>
      <c r="AD403" s="3" t="str">
        <f>IFERROR(MID(VLOOKUP($B403,Seqs!$A:$B,2,0),AE403,1),"")</f>
        <v>D</v>
      </c>
      <c r="AE403" s="3">
        <v>254</v>
      </c>
      <c r="AF403" s="3" t="str">
        <f>IFERROR(MID(VLOOKUP($B403,Seqs!$A:$B,2,0),AG403,1),"")</f>
        <v>C</v>
      </c>
      <c r="AG403" s="3">
        <v>258</v>
      </c>
      <c r="AH403" s="3" t="str">
        <f>IFERROR(MID(VLOOKUP($B403,Seqs!$A:$B,2,0),AI403,1),"")</f>
        <v>F</v>
      </c>
      <c r="AI403" s="3">
        <v>260</v>
      </c>
      <c r="AJ403" s="3" t="str">
        <f>IFERROR(MID(VLOOKUP($B403,Seqs!$A:$B,2,0),AK403,1),"")</f>
        <v>T</v>
      </c>
      <c r="AK403" s="3">
        <v>268</v>
      </c>
      <c r="AL403" s="3" t="str">
        <f>IFERROR(MID(VLOOKUP($B403,Seqs!$A:$B,2,0),AM403,1),"")</f>
        <v>L</v>
      </c>
      <c r="AM403" s="3">
        <v>298</v>
      </c>
      <c r="AN403" s="3" t="str">
        <f>IFERROR(MID(VLOOKUP($B403,Seqs!$A:$B,2,0),AO403,1),"")</f>
        <v>S</v>
      </c>
      <c r="AO403" s="3">
        <v>304</v>
      </c>
      <c r="AP403" s="3" t="str">
        <f>IFERROR(MID(VLOOKUP($B403,Seqs!$A:$B,2,0),AQ403,1),"")</f>
        <v>V</v>
      </c>
      <c r="AQ403" s="3">
        <v>332</v>
      </c>
      <c r="AR403" s="3" t="str">
        <f>IFERROR(MID(VLOOKUP($B403,Seqs!$A:$B,2,0),AS403,1),"")</f>
        <v>E</v>
      </c>
      <c r="AS403" s="3">
        <v>338</v>
      </c>
      <c r="AT403" s="3" t="str">
        <f>IFERROR(MID(VLOOKUP($B403,Seqs!$A:$B,2,0),AU403,1),"")</f>
        <v>F</v>
      </c>
      <c r="AU403" s="3">
        <v>362</v>
      </c>
      <c r="AV403" s="3" t="str">
        <f>IFERROR(MID(VLOOKUP($B403,Seqs!$A:$B,2,0),AW403,1),"")</f>
        <v/>
      </c>
      <c r="AW403" s="3" t="s">
        <v>23</v>
      </c>
      <c r="AX403" s="3" t="str">
        <f>IFERROR(MID(VLOOKUP($B403,Seqs!$A:$B,2,0),AY403,1),"")</f>
        <v/>
      </c>
      <c r="AY403" s="3" t="s">
        <v>23</v>
      </c>
      <c r="AZ403" s="77" t="str">
        <f>VLOOKUP(B403,Classification!A:D,2,0)</f>
        <v>B1</v>
      </c>
      <c r="BA403" s="94" t="str">
        <f>VLOOKUP(B403,Classification!A:D,4,0)</f>
        <v>Corticotropin-releasingfact</v>
      </c>
      <c r="BB403" s="27" t="b">
        <f t="shared" si="2542"/>
        <v>1</v>
      </c>
      <c r="BC403" s="23">
        <f t="shared" si="3549"/>
        <v>214</v>
      </c>
      <c r="BD403" s="4" t="s">
        <v>23</v>
      </c>
      <c r="BE403" s="3" t="s">
        <v>1374</v>
      </c>
      <c r="BF403" s="118">
        <v>2.98</v>
      </c>
      <c r="BG403" s="49" t="s">
        <v>1377</v>
      </c>
      <c r="BH403" s="49" t="s">
        <v>1377</v>
      </c>
      <c r="BI403" s="1"/>
      <c r="BJ403" s="70" t="s">
        <v>1287</v>
      </c>
      <c r="BK403" s="57" t="s">
        <v>1287</v>
      </c>
      <c r="BL403" s="57" t="s">
        <v>1287</v>
      </c>
      <c r="BM403" s="57" t="s">
        <v>1287</v>
      </c>
      <c r="BN403" s="57" t="s">
        <v>1287</v>
      </c>
      <c r="BO403" s="57" t="s">
        <v>1287</v>
      </c>
      <c r="BP403" s="57" t="s">
        <v>1287</v>
      </c>
      <c r="BQ403" s="57" t="s">
        <v>1287</v>
      </c>
      <c r="BR403" s="57" t="s">
        <v>1287</v>
      </c>
      <c r="BS403" s="57" t="s">
        <v>1287</v>
      </c>
      <c r="BT403" s="57" t="s">
        <v>1287</v>
      </c>
      <c r="BU403" s="57" t="s">
        <v>1287</v>
      </c>
      <c r="BV403" s="70">
        <f t="shared" si="3550"/>
        <v>117</v>
      </c>
      <c r="BW403" s="71">
        <f t="shared" si="3551"/>
        <v>145</v>
      </c>
      <c r="BX403" s="72">
        <f t="shared" si="3552"/>
        <v>149</v>
      </c>
      <c r="BY403" s="71" t="str">
        <f t="shared" si="3553"/>
        <v>-</v>
      </c>
      <c r="BZ403" s="72">
        <f t="shared" si="3554"/>
        <v>185</v>
      </c>
      <c r="CA403" s="71" t="str">
        <f t="shared" si="3555"/>
        <v>-</v>
      </c>
      <c r="CB403" s="72">
        <f t="shared" si="3556"/>
        <v>226</v>
      </c>
      <c r="CC403" s="71">
        <f t="shared" si="3557"/>
        <v>258</v>
      </c>
      <c r="CD403" s="72">
        <f t="shared" si="3558"/>
        <v>268</v>
      </c>
      <c r="CE403" s="71">
        <f t="shared" si="3559"/>
        <v>304</v>
      </c>
      <c r="CF403" s="72">
        <f t="shared" si="3560"/>
        <v>338</v>
      </c>
      <c r="CG403" s="71" t="str">
        <f t="shared" si="3561"/>
        <v>-</v>
      </c>
      <c r="CH403" s="70">
        <f t="shared" si="3562"/>
        <v>144</v>
      </c>
      <c r="CI403" s="71">
        <f t="shared" si="3563"/>
        <v>148</v>
      </c>
      <c r="CJ403" s="72">
        <f t="shared" si="3564"/>
        <v>175</v>
      </c>
      <c r="CK403" s="72" t="str">
        <f t="shared" si="3565"/>
        <v>-</v>
      </c>
      <c r="CL403" s="72">
        <f t="shared" si="3566"/>
        <v>219</v>
      </c>
      <c r="CM403" s="72" t="str">
        <f t="shared" si="3567"/>
        <v>-</v>
      </c>
      <c r="CN403" s="72">
        <f t="shared" si="3568"/>
        <v>254</v>
      </c>
      <c r="CO403" s="72">
        <f t="shared" si="3569"/>
        <v>260</v>
      </c>
      <c r="CP403" s="72">
        <f t="shared" si="3570"/>
        <v>298</v>
      </c>
      <c r="CQ403" s="72">
        <f t="shared" si="3571"/>
        <v>332</v>
      </c>
      <c r="CR403" s="72">
        <f t="shared" si="3572"/>
        <v>362</v>
      </c>
      <c r="CS403" s="72" t="str">
        <f t="shared" si="3573"/>
        <v>-</v>
      </c>
      <c r="CT403" s="23">
        <f t="shared" si="3574"/>
        <v>1</v>
      </c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</row>
    <row r="404" spans="1:1030" x14ac:dyDescent="0.2">
      <c r="A404" s="3" t="str">
        <f t="shared" si="2541"/>
        <v>crfr1_human_4K5Y_dist</v>
      </c>
      <c r="B404" s="3" t="s">
        <v>38</v>
      </c>
      <c r="C404" s="3" t="s">
        <v>1160</v>
      </c>
      <c r="D404" s="3" t="str">
        <f>IFERROR(MID(VLOOKUP($B404,Seqs!$A:$B,2,0),E404,1),"")</f>
        <v>H</v>
      </c>
      <c r="E404" s="3">
        <v>117</v>
      </c>
      <c r="F404" s="3" t="str">
        <f>IFERROR(MID(VLOOKUP($B404,Seqs!$A:$B,2,0),G404,1),"")</f>
        <v>L</v>
      </c>
      <c r="G404" s="3">
        <v>144</v>
      </c>
      <c r="H404" s="3" t="str">
        <f>IFERROR(MID(VLOOKUP($B404,Seqs!$A:$B,2,0),I404,1),"")</f>
        <v>R</v>
      </c>
      <c r="I404" s="23">
        <v>145</v>
      </c>
      <c r="J404" s="3" t="str">
        <f>IFERROR(MID(VLOOKUP($B404,Seqs!$A:$B,2,0),K404,1),"")</f>
        <v>R</v>
      </c>
      <c r="K404" s="23">
        <v>148</v>
      </c>
      <c r="L404" s="3" t="str">
        <f>IFERROR(MID(VLOOKUP($B404,Seqs!$A:$B,2,0),M404,1),"")</f>
        <v>C</v>
      </c>
      <c r="M404" s="23">
        <v>149</v>
      </c>
      <c r="N404" s="3" t="str">
        <f>IFERROR(MID(VLOOKUP($B404,Seqs!$A:$B,2,0),O404,1),"")</f>
        <v>T</v>
      </c>
      <c r="O404" s="3">
        <v>175</v>
      </c>
      <c r="P404" s="3" t="str">
        <f>IFERROR(MID(VLOOKUP($B404,Seqs!$A:$B,2,0),Q404,1),"")</f>
        <v/>
      </c>
      <c r="Q404" s="3" t="s">
        <v>23</v>
      </c>
      <c r="R404" s="3" t="str">
        <f>IFERROR(MID(VLOOKUP($B404,Seqs!$A:$B,2,0),S404,1),"")</f>
        <v/>
      </c>
      <c r="S404" s="3" t="s">
        <v>23</v>
      </c>
      <c r="T404" s="3" t="str">
        <f>IFERROR(MID(VLOOKUP($B404,Seqs!$A:$B,2,0),U404,1),"")</f>
        <v>V</v>
      </c>
      <c r="U404" s="3">
        <v>185</v>
      </c>
      <c r="V404" s="3" t="str">
        <f>IFERROR(MID(VLOOKUP($B404,Seqs!$A:$B,2,0),W404,1),"")</f>
        <v>L</v>
      </c>
      <c r="W404" s="3">
        <v>219</v>
      </c>
      <c r="X404" s="3" t="str">
        <f>IFERROR(MID(VLOOKUP($B404,Seqs!$A:$B,2,0),Y404,1),"")</f>
        <v/>
      </c>
      <c r="Y404" s="3" t="s">
        <v>23</v>
      </c>
      <c r="Z404" s="3" t="str">
        <f>IFERROR(MID(VLOOKUP($B404,Seqs!$A:$B,2,0),AA404,1),"")</f>
        <v/>
      </c>
      <c r="AA404" s="3" t="s">
        <v>23</v>
      </c>
      <c r="AB404" s="3" t="str">
        <f>IFERROR(MID(VLOOKUP($B404,Seqs!$A:$B,2,0),AC404,1),"")</f>
        <v>L</v>
      </c>
      <c r="AC404" s="9">
        <v>226</v>
      </c>
      <c r="AD404" s="3" t="str">
        <f>IFERROR(MID(VLOOKUP($B404,Seqs!$A:$B,2,0),AE404,1),"")</f>
        <v>D</v>
      </c>
      <c r="AE404" s="3">
        <v>254</v>
      </c>
      <c r="AF404" s="3" t="str">
        <f>IFERROR(MID(VLOOKUP($B404,Seqs!$A:$B,2,0),AG404,1),"")</f>
        <v>C</v>
      </c>
      <c r="AG404" s="3">
        <v>258</v>
      </c>
      <c r="AH404" s="3" t="str">
        <f>IFERROR(MID(VLOOKUP($B404,Seqs!$A:$B,2,0),AI404,1),"")</f>
        <v>F</v>
      </c>
      <c r="AI404" s="3">
        <v>260</v>
      </c>
      <c r="AJ404" s="3" t="str">
        <f>IFERROR(MID(VLOOKUP($B404,Seqs!$A:$B,2,0),AK404,1),"")</f>
        <v>T</v>
      </c>
      <c r="AK404" s="3">
        <v>268</v>
      </c>
      <c r="AL404" s="3" t="str">
        <f>IFERROR(MID(VLOOKUP($B404,Seqs!$A:$B,2,0),AM404,1),"")</f>
        <v>L</v>
      </c>
      <c r="AM404" s="3">
        <v>298</v>
      </c>
      <c r="AN404" s="3" t="str">
        <f>IFERROR(MID(VLOOKUP($B404,Seqs!$A:$B,2,0),AO404,1),"")</f>
        <v>S</v>
      </c>
      <c r="AO404" s="3">
        <v>304</v>
      </c>
      <c r="AP404" s="3" t="str">
        <f>IFERROR(MID(VLOOKUP($B404,Seqs!$A:$B,2,0),AQ404,1),"")</f>
        <v>V</v>
      </c>
      <c r="AQ404" s="3">
        <v>332</v>
      </c>
      <c r="AR404" s="3" t="str">
        <f>IFERROR(MID(VLOOKUP($B404,Seqs!$A:$B,2,0),AS404,1),"")</f>
        <v>E</v>
      </c>
      <c r="AS404" s="3">
        <v>338</v>
      </c>
      <c r="AT404" s="3" t="str">
        <f>IFERROR(MID(VLOOKUP($B404,Seqs!$A:$B,2,0),AU404,1),"")</f>
        <v>L</v>
      </c>
      <c r="AU404" s="3">
        <v>366</v>
      </c>
      <c r="AV404" s="3" t="str">
        <f>IFERROR(MID(VLOOKUP($B404,Seqs!$A:$B,2,0),AW404,1),"")</f>
        <v/>
      </c>
      <c r="AW404" s="3" t="s">
        <v>23</v>
      </c>
      <c r="AX404" s="3" t="str">
        <f>IFERROR(MID(VLOOKUP($B404,Seqs!$A:$B,2,0),AY404,1),"")</f>
        <v/>
      </c>
      <c r="AY404" s="3" t="s">
        <v>23</v>
      </c>
      <c r="AZ404" s="77" t="str">
        <f>VLOOKUP(B404,Classification!A:D,2,0)</f>
        <v>B1</v>
      </c>
      <c r="BA404" s="94" t="str">
        <f>VLOOKUP(B404,Classification!A:D,4,0)</f>
        <v>Corticotropin-releasingfact</v>
      </c>
      <c r="BB404" s="27" t="b">
        <f t="shared" si="2542"/>
        <v>1</v>
      </c>
      <c r="BC404" s="23">
        <f t="shared" si="3549"/>
        <v>218</v>
      </c>
      <c r="BD404" s="56" t="s">
        <v>23</v>
      </c>
      <c r="BE404" s="3" t="s">
        <v>1374</v>
      </c>
      <c r="BF404" s="118">
        <v>2.98</v>
      </c>
      <c r="BG404" s="49" t="s">
        <v>1377</v>
      </c>
      <c r="BH404" s="49" t="s">
        <v>1377</v>
      </c>
      <c r="BI404" s="3" t="s">
        <v>1162</v>
      </c>
      <c r="BJ404" s="70" t="s">
        <v>1287</v>
      </c>
      <c r="BK404" s="57" t="s">
        <v>1287</v>
      </c>
      <c r="BL404" s="57" t="s">
        <v>1287</v>
      </c>
      <c r="BM404" s="57" t="s">
        <v>1287</v>
      </c>
      <c r="BN404" s="57" t="s">
        <v>1287</v>
      </c>
      <c r="BO404" s="57" t="s">
        <v>1287</v>
      </c>
      <c r="BP404" s="57" t="s">
        <v>1287</v>
      </c>
      <c r="BQ404" s="57" t="s">
        <v>1287</v>
      </c>
      <c r="BR404" s="57" t="s">
        <v>1287</v>
      </c>
      <c r="BS404" s="57" t="s">
        <v>1287</v>
      </c>
      <c r="BT404" s="57" t="s">
        <v>1287</v>
      </c>
      <c r="BU404" s="57" t="s">
        <v>1287</v>
      </c>
      <c r="BV404" s="70">
        <f t="shared" si="3550"/>
        <v>117</v>
      </c>
      <c r="BW404" s="71">
        <f t="shared" si="3551"/>
        <v>145</v>
      </c>
      <c r="BX404" s="72">
        <f t="shared" si="3552"/>
        <v>149</v>
      </c>
      <c r="BY404" s="71" t="str">
        <f t="shared" si="3553"/>
        <v>-</v>
      </c>
      <c r="BZ404" s="72">
        <f t="shared" si="3554"/>
        <v>185</v>
      </c>
      <c r="CA404" s="71" t="str">
        <f t="shared" si="3555"/>
        <v>-</v>
      </c>
      <c r="CB404" s="72">
        <f t="shared" si="3556"/>
        <v>226</v>
      </c>
      <c r="CC404" s="71">
        <f t="shared" si="3557"/>
        <v>258</v>
      </c>
      <c r="CD404" s="72">
        <f t="shared" si="3558"/>
        <v>268</v>
      </c>
      <c r="CE404" s="71">
        <f t="shared" si="3559"/>
        <v>304</v>
      </c>
      <c r="CF404" s="72">
        <f t="shared" si="3560"/>
        <v>338</v>
      </c>
      <c r="CG404" s="71" t="str">
        <f t="shared" si="3561"/>
        <v>-</v>
      </c>
      <c r="CH404" s="70">
        <f t="shared" si="3562"/>
        <v>144</v>
      </c>
      <c r="CI404" s="71">
        <f t="shared" si="3563"/>
        <v>148</v>
      </c>
      <c r="CJ404" s="72">
        <f t="shared" si="3564"/>
        <v>175</v>
      </c>
      <c r="CK404" s="72" t="str">
        <f t="shared" si="3565"/>
        <v>-</v>
      </c>
      <c r="CL404" s="72">
        <f t="shared" si="3566"/>
        <v>219</v>
      </c>
      <c r="CM404" s="72" t="str">
        <f t="shared" si="3567"/>
        <v>-</v>
      </c>
      <c r="CN404" s="72">
        <f t="shared" si="3568"/>
        <v>254</v>
      </c>
      <c r="CO404" s="72">
        <f t="shared" si="3569"/>
        <v>260</v>
      </c>
      <c r="CP404" s="72">
        <f t="shared" si="3570"/>
        <v>298</v>
      </c>
      <c r="CQ404" s="72">
        <f t="shared" si="3571"/>
        <v>332</v>
      </c>
      <c r="CR404" s="72">
        <f t="shared" si="3572"/>
        <v>366</v>
      </c>
      <c r="CS404" s="72" t="str">
        <f t="shared" si="3573"/>
        <v>-</v>
      </c>
      <c r="CT404" s="23">
        <f t="shared" si="3574"/>
        <v>1</v>
      </c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  <c r="AMO404" s="1"/>
    </row>
    <row r="405" spans="1:1030" x14ac:dyDescent="0.2">
      <c r="A405" s="3" t="str">
        <f t="shared" si="2541"/>
        <v>crfr1_human_4Z9G</v>
      </c>
      <c r="B405" s="3" t="s">
        <v>38</v>
      </c>
      <c r="C405" s="3" t="s">
        <v>1059</v>
      </c>
      <c r="D405" s="3" t="str">
        <f>IFERROR(MID(VLOOKUP($B405,Seqs!$A:$B,2,0),E405,1),"")</f>
        <v>S</v>
      </c>
      <c r="E405" s="3">
        <v>112</v>
      </c>
      <c r="F405" s="3" t="str">
        <f>IFERROR(MID(VLOOKUP($B405,Seqs!$A:$B,2,0),G405,1),"")</f>
        <v>L</v>
      </c>
      <c r="G405" s="3">
        <v>144</v>
      </c>
      <c r="H405" s="3" t="str">
        <f>IFERROR(MID(VLOOKUP($B405,Seqs!$A:$B,2,0),I405,1),"")</f>
        <v>R</v>
      </c>
      <c r="I405" s="23">
        <v>145</v>
      </c>
      <c r="J405" s="3" t="str">
        <f>IFERROR(MID(VLOOKUP($B405,Seqs!$A:$B,2,0),K405,1),"")</f>
        <v>R</v>
      </c>
      <c r="K405" s="23">
        <v>148</v>
      </c>
      <c r="L405" s="3" t="str">
        <f>IFERROR(MID(VLOOKUP($B405,Seqs!$A:$B,2,0),M405,1),"")</f>
        <v>C</v>
      </c>
      <c r="M405" s="23">
        <v>149</v>
      </c>
      <c r="N405" s="3" t="str">
        <f>IFERROR(MID(VLOOKUP($B405,Seqs!$A:$B,2,0),O405,1),"")</f>
        <v>T</v>
      </c>
      <c r="O405" s="3">
        <v>175</v>
      </c>
      <c r="P405" s="3" t="str">
        <f>IFERROR(MID(VLOOKUP($B405,Seqs!$A:$B,2,0),Q405,1),"")</f>
        <v/>
      </c>
      <c r="Q405" s="3" t="s">
        <v>23</v>
      </c>
      <c r="R405" s="3" t="str">
        <f>IFERROR(MID(VLOOKUP($B405,Seqs!$A:$B,2,0),S405,1),"")</f>
        <v/>
      </c>
      <c r="S405" s="3" t="s">
        <v>23</v>
      </c>
      <c r="T405" s="3" t="str">
        <f>IFERROR(MID(VLOOKUP($B405,Seqs!$A:$B,2,0),U405,1),"")</f>
        <v>V</v>
      </c>
      <c r="U405" s="3">
        <v>185</v>
      </c>
      <c r="V405" s="3" t="str">
        <f>IFERROR(MID(VLOOKUP($B405,Seqs!$A:$B,2,0),W405,1),"")</f>
        <v>L</v>
      </c>
      <c r="W405" s="3">
        <v>219</v>
      </c>
      <c r="X405" s="3" t="str">
        <f>IFERROR(MID(VLOOKUP($B405,Seqs!$A:$B,2,0),Y405,1),"")</f>
        <v/>
      </c>
      <c r="Y405" s="3" t="s">
        <v>23</v>
      </c>
      <c r="Z405" s="3" t="str">
        <f>IFERROR(MID(VLOOKUP($B405,Seqs!$A:$B,2,0),AA405,1),"")</f>
        <v/>
      </c>
      <c r="AA405" s="3" t="s">
        <v>23</v>
      </c>
      <c r="AB405" s="3" t="str">
        <f>IFERROR(MID(VLOOKUP($B405,Seqs!$A:$B,2,0),AC405,1),"")</f>
        <v>L</v>
      </c>
      <c r="AC405" s="9">
        <v>226</v>
      </c>
      <c r="AD405" s="3" t="str">
        <f>IFERROR(MID(VLOOKUP($B405,Seqs!$A:$B,2,0),AE405,1),"")</f>
        <v>D</v>
      </c>
      <c r="AE405" s="3">
        <v>254</v>
      </c>
      <c r="AF405" s="3" t="str">
        <f>IFERROR(MID(VLOOKUP($B405,Seqs!$A:$B,2,0),AG405,1),"")</f>
        <v>C</v>
      </c>
      <c r="AG405" s="3">
        <v>258</v>
      </c>
      <c r="AH405" s="3" t="str">
        <f>IFERROR(MID(VLOOKUP($B405,Seqs!$A:$B,2,0),AI405,1),"")</f>
        <v>F</v>
      </c>
      <c r="AI405" s="3">
        <v>260</v>
      </c>
      <c r="AJ405" s="3" t="str">
        <f>IFERROR(MID(VLOOKUP($B405,Seqs!$A:$B,2,0),AK405,1),"")</f>
        <v>T</v>
      </c>
      <c r="AK405" s="3">
        <v>268</v>
      </c>
      <c r="AL405" s="3" t="str">
        <f>IFERROR(MID(VLOOKUP($B405,Seqs!$A:$B,2,0),AM405,1),"")</f>
        <v>L</v>
      </c>
      <c r="AM405" s="3">
        <v>298</v>
      </c>
      <c r="AN405" s="3" t="str">
        <f>IFERROR(MID(VLOOKUP($B405,Seqs!$A:$B,2,0),AO405,1),"")</f>
        <v>S</v>
      </c>
      <c r="AO405" s="3">
        <v>304</v>
      </c>
      <c r="AP405" s="3" t="str">
        <f>IFERROR(MID(VLOOKUP($B405,Seqs!$A:$B,2,0),AQ405,1),"")</f>
        <v>V</v>
      </c>
      <c r="AQ405" s="3">
        <v>332</v>
      </c>
      <c r="AR405" s="3" t="str">
        <f>IFERROR(MID(VLOOKUP($B405,Seqs!$A:$B,2,0),AS405,1),"")</f>
        <v>V</v>
      </c>
      <c r="AS405" s="3">
        <v>339</v>
      </c>
      <c r="AT405" s="3" t="str">
        <f>IFERROR(MID(VLOOKUP($B405,Seqs!$A:$B,2,0),AU405,1),"")</f>
        <v>F</v>
      </c>
      <c r="AU405" s="3">
        <v>362</v>
      </c>
      <c r="AV405" s="3" t="str">
        <f>IFERROR(MID(VLOOKUP($B405,Seqs!$A:$B,2,0),AW405,1),"")</f>
        <v/>
      </c>
      <c r="AW405" s="3" t="s">
        <v>23</v>
      </c>
      <c r="AX405" s="3" t="str">
        <f>IFERROR(MID(VLOOKUP($B405,Seqs!$A:$B,2,0),AY405,1),"")</f>
        <v/>
      </c>
      <c r="AY405" s="3" t="s">
        <v>23</v>
      </c>
      <c r="AZ405" s="77" t="str">
        <f>VLOOKUP(B405,Classification!A:D,2,0)</f>
        <v>B1</v>
      </c>
      <c r="BA405" s="94" t="str">
        <f>VLOOKUP(B405,Classification!A:D,4,0)</f>
        <v>Corticotropin-releasingfact</v>
      </c>
      <c r="BB405" s="27" t="b">
        <f t="shared" si="2542"/>
        <v>1</v>
      </c>
      <c r="BC405" s="23">
        <f t="shared" si="3549"/>
        <v>218</v>
      </c>
      <c r="BD405" s="2" t="s">
        <v>1376</v>
      </c>
      <c r="BE405" s="3" t="s">
        <v>1374</v>
      </c>
      <c r="BF405" s="118">
        <v>3.18</v>
      </c>
      <c r="BG405" s="49" t="s">
        <v>1377</v>
      </c>
      <c r="BH405" s="49" t="s">
        <v>1377</v>
      </c>
      <c r="BI405" s="1"/>
      <c r="BJ405" s="70" t="s">
        <v>1287</v>
      </c>
      <c r="BK405" s="57" t="s">
        <v>1287</v>
      </c>
      <c r="BL405" s="57" t="s">
        <v>1287</v>
      </c>
      <c r="BM405" s="57" t="s">
        <v>1287</v>
      </c>
      <c r="BN405" s="57" t="s">
        <v>1287</v>
      </c>
      <c r="BO405" s="57" t="s">
        <v>1287</v>
      </c>
      <c r="BP405" s="57" t="s">
        <v>1287</v>
      </c>
      <c r="BQ405" s="57" t="s">
        <v>1287</v>
      </c>
      <c r="BR405" s="57" t="s">
        <v>1287</v>
      </c>
      <c r="BS405" s="57" t="s">
        <v>1287</v>
      </c>
      <c r="BT405" s="57" t="s">
        <v>1287</v>
      </c>
      <c r="BU405" s="57" t="s">
        <v>1287</v>
      </c>
      <c r="BV405" s="70">
        <f t="shared" si="3550"/>
        <v>112</v>
      </c>
      <c r="BW405" s="71">
        <f t="shared" si="3551"/>
        <v>145</v>
      </c>
      <c r="BX405" s="72">
        <f t="shared" si="3552"/>
        <v>149</v>
      </c>
      <c r="BY405" s="71" t="str">
        <f t="shared" si="3553"/>
        <v>-</v>
      </c>
      <c r="BZ405" s="72">
        <f t="shared" si="3554"/>
        <v>185</v>
      </c>
      <c r="CA405" s="71" t="str">
        <f t="shared" si="3555"/>
        <v>-</v>
      </c>
      <c r="CB405" s="72">
        <f t="shared" si="3556"/>
        <v>226</v>
      </c>
      <c r="CC405" s="71">
        <f t="shared" si="3557"/>
        <v>258</v>
      </c>
      <c r="CD405" s="72">
        <f t="shared" si="3558"/>
        <v>268</v>
      </c>
      <c r="CE405" s="71">
        <f t="shared" si="3559"/>
        <v>304</v>
      </c>
      <c r="CF405" s="72">
        <f t="shared" si="3560"/>
        <v>339</v>
      </c>
      <c r="CG405" s="71" t="str">
        <f t="shared" si="3561"/>
        <v>-</v>
      </c>
      <c r="CH405" s="70">
        <f t="shared" si="3562"/>
        <v>144</v>
      </c>
      <c r="CI405" s="71">
        <f t="shared" si="3563"/>
        <v>148</v>
      </c>
      <c r="CJ405" s="72">
        <f t="shared" si="3564"/>
        <v>175</v>
      </c>
      <c r="CK405" s="72" t="str">
        <f t="shared" si="3565"/>
        <v>-</v>
      </c>
      <c r="CL405" s="72">
        <f t="shared" si="3566"/>
        <v>219</v>
      </c>
      <c r="CM405" s="72" t="str">
        <f t="shared" si="3567"/>
        <v>-</v>
      </c>
      <c r="CN405" s="72">
        <f t="shared" si="3568"/>
        <v>254</v>
      </c>
      <c r="CO405" s="72">
        <f t="shared" si="3569"/>
        <v>260</v>
      </c>
      <c r="CP405" s="72">
        <f t="shared" si="3570"/>
        <v>298</v>
      </c>
      <c r="CQ405" s="72">
        <f t="shared" si="3571"/>
        <v>332</v>
      </c>
      <c r="CR405" s="72">
        <f t="shared" si="3572"/>
        <v>362</v>
      </c>
      <c r="CS405" s="72" t="str">
        <f t="shared" si="3573"/>
        <v>-</v>
      </c>
      <c r="CT405" s="23">
        <f t="shared" si="3574"/>
        <v>1</v>
      </c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</row>
    <row r="406" spans="1:1030" x14ac:dyDescent="0.2">
      <c r="A406" s="3" t="str">
        <f t="shared" si="2541"/>
        <v>crfr1_human_4Z9G_dist</v>
      </c>
      <c r="B406" s="3" t="s">
        <v>38</v>
      </c>
      <c r="C406" s="3" t="s">
        <v>1161</v>
      </c>
      <c r="D406" s="3" t="str">
        <f>IFERROR(MID(VLOOKUP($B406,Seqs!$A:$B,2,0),E406,1),"")</f>
        <v>S</v>
      </c>
      <c r="E406" s="3">
        <v>112</v>
      </c>
      <c r="F406" s="3" t="str">
        <f>IFERROR(MID(VLOOKUP($B406,Seqs!$A:$B,2,0),G406,1),"")</f>
        <v>L</v>
      </c>
      <c r="G406" s="3">
        <v>144</v>
      </c>
      <c r="H406" s="3" t="str">
        <f>IFERROR(MID(VLOOKUP($B406,Seqs!$A:$B,2,0),I406,1),"")</f>
        <v>R</v>
      </c>
      <c r="I406" s="23">
        <v>145</v>
      </c>
      <c r="J406" s="3" t="str">
        <f>IFERROR(MID(VLOOKUP($B406,Seqs!$A:$B,2,0),K406,1),"")</f>
        <v>R</v>
      </c>
      <c r="K406" s="23">
        <v>148</v>
      </c>
      <c r="L406" s="3" t="str">
        <f>IFERROR(MID(VLOOKUP($B406,Seqs!$A:$B,2,0),M406,1),"")</f>
        <v>C</v>
      </c>
      <c r="M406" s="23">
        <v>149</v>
      </c>
      <c r="N406" s="3" t="str">
        <f>IFERROR(MID(VLOOKUP($B406,Seqs!$A:$B,2,0),O406,1),"")</f>
        <v>T</v>
      </c>
      <c r="O406" s="3">
        <v>175</v>
      </c>
      <c r="P406" s="3" t="str">
        <f>IFERROR(MID(VLOOKUP($B406,Seqs!$A:$B,2,0),Q406,1),"")</f>
        <v/>
      </c>
      <c r="Q406" s="3" t="s">
        <v>23</v>
      </c>
      <c r="R406" s="3" t="str">
        <f>IFERROR(MID(VLOOKUP($B406,Seqs!$A:$B,2,0),S406,1),"")</f>
        <v/>
      </c>
      <c r="S406" s="3" t="s">
        <v>23</v>
      </c>
      <c r="T406" s="3" t="str">
        <f>IFERROR(MID(VLOOKUP($B406,Seqs!$A:$B,2,0),U406,1),"")</f>
        <v>V</v>
      </c>
      <c r="U406" s="3">
        <v>185</v>
      </c>
      <c r="V406" s="3" t="str">
        <f>IFERROR(MID(VLOOKUP($B406,Seqs!$A:$B,2,0),W406,1),"")</f>
        <v>L</v>
      </c>
      <c r="W406" s="3">
        <v>219</v>
      </c>
      <c r="X406" s="3" t="str">
        <f>IFERROR(MID(VLOOKUP($B406,Seqs!$A:$B,2,0),Y406,1),"")</f>
        <v/>
      </c>
      <c r="Y406" s="3" t="s">
        <v>23</v>
      </c>
      <c r="Z406" s="3" t="str">
        <f>IFERROR(MID(VLOOKUP($B406,Seqs!$A:$B,2,0),AA406,1),"")</f>
        <v/>
      </c>
      <c r="AA406" s="3" t="s">
        <v>23</v>
      </c>
      <c r="AB406" s="3" t="str">
        <f>IFERROR(MID(VLOOKUP($B406,Seqs!$A:$B,2,0),AC406,1),"")</f>
        <v>L</v>
      </c>
      <c r="AC406" s="9">
        <v>226</v>
      </c>
      <c r="AD406" s="3" t="str">
        <f>IFERROR(MID(VLOOKUP($B406,Seqs!$A:$B,2,0),AE406,1),"")</f>
        <v>D</v>
      </c>
      <c r="AE406" s="3">
        <v>254</v>
      </c>
      <c r="AF406" s="3" t="str">
        <f>IFERROR(MID(VLOOKUP($B406,Seqs!$A:$B,2,0),AG406,1),"")</f>
        <v>C</v>
      </c>
      <c r="AG406" s="3">
        <v>258</v>
      </c>
      <c r="AH406" s="3" t="str">
        <f>IFERROR(MID(VLOOKUP($B406,Seqs!$A:$B,2,0),AI406,1),"")</f>
        <v>F</v>
      </c>
      <c r="AI406" s="3">
        <v>260</v>
      </c>
      <c r="AJ406" s="3" t="str">
        <f>IFERROR(MID(VLOOKUP($B406,Seqs!$A:$B,2,0),AK406,1),"")</f>
        <v>T</v>
      </c>
      <c r="AK406" s="3">
        <v>268</v>
      </c>
      <c r="AL406" s="3" t="str">
        <f>IFERROR(MID(VLOOKUP($B406,Seqs!$A:$B,2,0),AM406,1),"")</f>
        <v>L</v>
      </c>
      <c r="AM406" s="3">
        <v>298</v>
      </c>
      <c r="AN406" s="3" t="str">
        <f>IFERROR(MID(VLOOKUP($B406,Seqs!$A:$B,2,0),AO406,1),"")</f>
        <v>S</v>
      </c>
      <c r="AO406" s="3">
        <v>304</v>
      </c>
      <c r="AP406" s="3" t="str">
        <f>IFERROR(MID(VLOOKUP($B406,Seqs!$A:$B,2,0),AQ406,1),"")</f>
        <v>V</v>
      </c>
      <c r="AQ406" s="3">
        <v>332</v>
      </c>
      <c r="AR406" s="3" t="str">
        <f>IFERROR(MID(VLOOKUP($B406,Seqs!$A:$B,2,0),AS406,1),"")</f>
        <v>V</v>
      </c>
      <c r="AS406" s="3">
        <v>339</v>
      </c>
      <c r="AT406" s="3" t="str">
        <f>IFERROR(MID(VLOOKUP($B406,Seqs!$A:$B,2,0),AU406,1),"")</f>
        <v>E</v>
      </c>
      <c r="AU406" s="3">
        <v>369</v>
      </c>
      <c r="AV406" s="3" t="str">
        <f>IFERROR(MID(VLOOKUP($B406,Seqs!$A:$B,2,0),AW406,1),"")</f>
        <v/>
      </c>
      <c r="AW406" s="3" t="s">
        <v>23</v>
      </c>
      <c r="AX406" s="3" t="str">
        <f>IFERROR(MID(VLOOKUP($B406,Seqs!$A:$B,2,0),AY406,1),"")</f>
        <v/>
      </c>
      <c r="AY406" s="3" t="s">
        <v>23</v>
      </c>
      <c r="AZ406" s="77" t="str">
        <f>VLOOKUP(B406,Classification!A:D,2,0)</f>
        <v>B1</v>
      </c>
      <c r="BA406" s="94" t="str">
        <f>VLOOKUP(B406,Classification!A:D,4,0)</f>
        <v>Corticotropin-releasingfact</v>
      </c>
      <c r="BB406" s="27" t="b">
        <f t="shared" si="2542"/>
        <v>1</v>
      </c>
      <c r="BC406" s="23">
        <f t="shared" si="3549"/>
        <v>225</v>
      </c>
      <c r="BD406" s="56" t="s">
        <v>23</v>
      </c>
      <c r="BE406" s="3" t="s">
        <v>1374</v>
      </c>
      <c r="BF406" s="118">
        <v>3.18</v>
      </c>
      <c r="BG406" s="49" t="s">
        <v>1377</v>
      </c>
      <c r="BH406" s="49" t="s">
        <v>1377</v>
      </c>
      <c r="BI406" s="3" t="s">
        <v>1162</v>
      </c>
      <c r="BJ406" s="70" t="s">
        <v>1287</v>
      </c>
      <c r="BK406" s="57" t="s">
        <v>1287</v>
      </c>
      <c r="BL406" s="57" t="s">
        <v>1287</v>
      </c>
      <c r="BM406" s="57" t="s">
        <v>1287</v>
      </c>
      <c r="BN406" s="57" t="s">
        <v>1287</v>
      </c>
      <c r="BO406" s="57" t="s">
        <v>1287</v>
      </c>
      <c r="BP406" s="57" t="s">
        <v>1287</v>
      </c>
      <c r="BQ406" s="57" t="s">
        <v>1287</v>
      </c>
      <c r="BR406" s="57" t="s">
        <v>1287</v>
      </c>
      <c r="BS406" s="57" t="s">
        <v>1287</v>
      </c>
      <c r="BT406" s="57" t="s">
        <v>1287</v>
      </c>
      <c r="BU406" s="57" t="s">
        <v>1287</v>
      </c>
      <c r="BV406" s="70">
        <f t="shared" si="3550"/>
        <v>112</v>
      </c>
      <c r="BW406" s="71">
        <f t="shared" si="3551"/>
        <v>145</v>
      </c>
      <c r="BX406" s="72">
        <f t="shared" si="3552"/>
        <v>149</v>
      </c>
      <c r="BY406" s="71" t="str">
        <f t="shared" si="3553"/>
        <v>-</v>
      </c>
      <c r="BZ406" s="72">
        <f t="shared" si="3554"/>
        <v>185</v>
      </c>
      <c r="CA406" s="71" t="str">
        <f t="shared" si="3555"/>
        <v>-</v>
      </c>
      <c r="CB406" s="72">
        <f t="shared" si="3556"/>
        <v>226</v>
      </c>
      <c r="CC406" s="71">
        <f t="shared" si="3557"/>
        <v>258</v>
      </c>
      <c r="CD406" s="72">
        <f t="shared" si="3558"/>
        <v>268</v>
      </c>
      <c r="CE406" s="71">
        <f t="shared" si="3559"/>
        <v>304</v>
      </c>
      <c r="CF406" s="72">
        <f t="shared" si="3560"/>
        <v>339</v>
      </c>
      <c r="CG406" s="71" t="str">
        <f t="shared" si="3561"/>
        <v>-</v>
      </c>
      <c r="CH406" s="70">
        <f t="shared" si="3562"/>
        <v>144</v>
      </c>
      <c r="CI406" s="71">
        <f t="shared" si="3563"/>
        <v>148</v>
      </c>
      <c r="CJ406" s="72">
        <f t="shared" si="3564"/>
        <v>175</v>
      </c>
      <c r="CK406" s="72" t="str">
        <f t="shared" si="3565"/>
        <v>-</v>
      </c>
      <c r="CL406" s="72">
        <f t="shared" si="3566"/>
        <v>219</v>
      </c>
      <c r="CM406" s="72" t="str">
        <f t="shared" si="3567"/>
        <v>-</v>
      </c>
      <c r="CN406" s="72">
        <f t="shared" si="3568"/>
        <v>254</v>
      </c>
      <c r="CO406" s="72">
        <f t="shared" si="3569"/>
        <v>260</v>
      </c>
      <c r="CP406" s="72">
        <f t="shared" si="3570"/>
        <v>298</v>
      </c>
      <c r="CQ406" s="72">
        <f t="shared" si="3571"/>
        <v>332</v>
      </c>
      <c r="CR406" s="72">
        <f t="shared" si="3572"/>
        <v>369</v>
      </c>
      <c r="CS406" s="72" t="str">
        <f t="shared" si="3573"/>
        <v>-</v>
      </c>
      <c r="CT406" s="23">
        <f t="shared" si="3574"/>
        <v>1</v>
      </c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  <c r="AMO406" s="1"/>
    </row>
    <row r="407" spans="1:1030" s="12" customFormat="1" x14ac:dyDescent="0.2">
      <c r="A407" s="9" t="str">
        <f t="shared" ref="A407:A408" si="3575">CONCATENATE(B407,"_",C407)</f>
        <v>crfr2_human__wt</v>
      </c>
      <c r="B407" s="9" t="s">
        <v>403</v>
      </c>
      <c r="C407" s="9" t="s">
        <v>100</v>
      </c>
      <c r="D407" s="9" t="str">
        <f>IFERROR(MID(VLOOKUP($B407,Seqs!$A:$B,2,0),E407,1),"")</f>
        <v>P</v>
      </c>
      <c r="E407" s="9">
        <v>100</v>
      </c>
      <c r="F407" s="9" t="str">
        <f>IFERROR(MID(VLOOKUP($B407,Seqs!$A:$B,2,0),G407,1),"")</f>
        <v>L</v>
      </c>
      <c r="G407" s="9">
        <v>141</v>
      </c>
      <c r="H407" s="9" t="str">
        <f>IFERROR(MID(VLOOKUP($B407,Seqs!$A:$B,2,0),I407,1),"")</f>
        <v>R</v>
      </c>
      <c r="I407" s="109">
        <v>142</v>
      </c>
      <c r="J407" s="9" t="str">
        <f>IFERROR(MID(VLOOKUP($B407,Seqs!$A:$B,2,0),K407,1),"")</f>
        <v>R</v>
      </c>
      <c r="K407" s="109">
        <v>145</v>
      </c>
      <c r="L407" s="9" t="str">
        <f>IFERROR(MID(VLOOKUP($B407,Seqs!$A:$B,2,0),M407,1),"")</f>
        <v>C</v>
      </c>
      <c r="M407" s="109">
        <v>146</v>
      </c>
      <c r="N407" s="9" t="str">
        <f>IFERROR(MID(VLOOKUP($B407,Seqs!$A:$B,2,0),O407,1),"")</f>
        <v>V</v>
      </c>
      <c r="O407" s="9">
        <v>172</v>
      </c>
      <c r="P407" s="9" t="str">
        <f>IFERROR(MID(VLOOKUP($B407,Seqs!$A:$B,2,0),Q407,1),"")</f>
        <v/>
      </c>
      <c r="Q407" s="9" t="s">
        <v>23</v>
      </c>
      <c r="R407" s="9" t="str">
        <f>IFERROR(MID(VLOOKUP($B407,Seqs!$A:$B,2,0),S407,1),"")</f>
        <v/>
      </c>
      <c r="S407" s="9" t="s">
        <v>23</v>
      </c>
      <c r="T407" s="9" t="str">
        <f>IFERROR(MID(VLOOKUP($B407,Seqs!$A:$B,2,0),U407,1),"")</f>
        <v>E</v>
      </c>
      <c r="U407" s="9">
        <v>181</v>
      </c>
      <c r="V407" s="9" t="str">
        <f>IFERROR(MID(VLOOKUP($B407,Seqs!$A:$B,2,0),W407,1),"")</f>
        <v>M</v>
      </c>
      <c r="W407" s="9">
        <v>215</v>
      </c>
      <c r="X407" s="9" t="str">
        <f>IFERROR(MID(VLOOKUP($B407,Seqs!$A:$B,2,0),Y407,1),"")</f>
        <v/>
      </c>
      <c r="Y407" s="9" t="s">
        <v>23</v>
      </c>
      <c r="Z407" s="9" t="str">
        <f>IFERROR(MID(VLOOKUP($B407,Seqs!$A:$B,2,0),AA407,1),"")</f>
        <v/>
      </c>
      <c r="AA407" s="9" t="s">
        <v>23</v>
      </c>
      <c r="AB407" s="9" t="str">
        <f>IFERROR(MID(VLOOKUP($B407,Seqs!$A:$B,2,0),AC407,1),"")</f>
        <v>R</v>
      </c>
      <c r="AC407" s="9">
        <v>223</v>
      </c>
      <c r="AD407" s="9" t="str">
        <f>IFERROR(MID(VLOOKUP($B407,Seqs!$A:$B,2,0),AE407,1),"")</f>
        <v>E</v>
      </c>
      <c r="AE407" s="9">
        <v>250</v>
      </c>
      <c r="AF407" s="9" t="str">
        <f>IFERROR(MID(VLOOKUP($B407,Seqs!$A:$B,2,0),AG407,1),"")</f>
        <v>C</v>
      </c>
      <c r="AG407" s="9">
        <v>254</v>
      </c>
      <c r="AH407" s="9" t="str">
        <f>IFERROR(MID(VLOOKUP($B407,Seqs!$A:$B,2,0),AI407,1),"")</f>
        <v>F</v>
      </c>
      <c r="AI407" s="9">
        <v>256</v>
      </c>
      <c r="AJ407" s="9" t="str">
        <f>IFERROR(MID(VLOOKUP($B407,Seqs!$A:$B,2,0),AK407,1),"")</f>
        <v>V</v>
      </c>
      <c r="AK407" s="9">
        <v>264</v>
      </c>
      <c r="AL407" s="9" t="str">
        <f>IFERROR(MID(VLOOKUP($B407,Seqs!$A:$B,2,0),AM407,1),"")</f>
        <v>A</v>
      </c>
      <c r="AM407" s="9">
        <v>296</v>
      </c>
      <c r="AN407" s="9" t="str">
        <f>IFERROR(MID(VLOOKUP($B407,Seqs!$A:$B,2,0),AO407,1),"")</f>
        <v>S</v>
      </c>
      <c r="AO407" s="9">
        <v>300</v>
      </c>
      <c r="AP407" s="9" t="str">
        <f>IFERROR(MID(VLOOKUP($B407,Seqs!$A:$B,2,0),AQ407,1),"")</f>
        <v>V</v>
      </c>
      <c r="AQ407" s="9">
        <v>328</v>
      </c>
      <c r="AR407" s="9" t="str">
        <f>IFERROR(MID(VLOOKUP($B407,Seqs!$A:$B,2,0),AS407,1),"")</f>
        <v>D</v>
      </c>
      <c r="AS407" s="9">
        <v>334</v>
      </c>
      <c r="AT407" s="9" t="str">
        <f>IFERROR(MID(VLOOKUP($B407,Seqs!$A:$B,2,0),AU407,1),"")</f>
        <v>F</v>
      </c>
      <c r="AU407" s="9">
        <v>362</v>
      </c>
      <c r="AV407" s="9" t="str">
        <f>IFERROR(MID(VLOOKUP($B407,Seqs!$A:$B,2,0),AW407,1),"")</f>
        <v>N</v>
      </c>
      <c r="AW407" s="9">
        <v>363</v>
      </c>
      <c r="AX407" s="9" t="str">
        <f>IFERROR(MID(VLOOKUP($B407,Seqs!$A:$B,2,0),AY407,1),"")</f>
        <v>A</v>
      </c>
      <c r="AY407" s="9">
        <v>388</v>
      </c>
      <c r="AZ407" s="110" t="str">
        <f>VLOOKUP(B407,Classification!A:D,2,0)</f>
        <v>B1</v>
      </c>
      <c r="BA407" s="98" t="str">
        <f>VLOOKUP(B407,Classification!A:D,4,0)</f>
        <v>Corticotropin-releasingfact</v>
      </c>
      <c r="BB407" s="36" t="b">
        <f t="shared" ref="BB407:BB408" si="3576">AND(E407&lt;G407,OR(G407&lt;I407,I407="-"),OR(I407&lt;K407,I407="-"),OR(K407&lt;M407,K407="-"),M407&lt;O407,OR(O407&lt;Q407,Q407="-"),OR(Q407&lt;S407,Q407="-"),OR(S407&lt;U407,S407="-"),U407&lt;W407,OR(W407&lt;Y407,Y407="-"),OR(Y407&lt;AA407,Y407="-"),OR(AA407&lt;AC407,AA407="-"),AC407&lt;AE407,OR(AE407&lt;AG407,AG407="-"),OR(AG407&lt;AI407,AG407="-"),OR(AI407&lt;AK407,AI407="-"),AK407&lt;AM407,AM407&lt;AO407,AO407&lt;AQ407,AQ407&lt;AS407,AS407&lt;AU407,OR(AU407&lt;AW407,AW407="-"),OR(AW407&lt;AY407,AW407="-"))</f>
        <v>1</v>
      </c>
      <c r="BC407" s="109">
        <f t="shared" ref="BC407:BC408" si="3577">_xlfn.AGGREGATE(9,6,CH407:CS407)-_xlfn.AGGREGATE(9,6,BV407:CG407)+12</f>
        <v>258</v>
      </c>
      <c r="BD407" s="129" t="s">
        <v>23</v>
      </c>
      <c r="BE407" s="9" t="s">
        <v>23</v>
      </c>
      <c r="BF407" s="119" t="s">
        <v>23</v>
      </c>
      <c r="BG407" s="51" t="s">
        <v>1377</v>
      </c>
      <c r="BH407" s="51" t="s">
        <v>1377</v>
      </c>
      <c r="BI407" s="9"/>
      <c r="BJ407" s="111" t="s">
        <v>1287</v>
      </c>
      <c r="BK407" s="112" t="s">
        <v>1287</v>
      </c>
      <c r="BL407" s="112" t="s">
        <v>1287</v>
      </c>
      <c r="BM407" s="112" t="s">
        <v>1287</v>
      </c>
      <c r="BN407" s="112" t="s">
        <v>1287</v>
      </c>
      <c r="BO407" s="112" t="s">
        <v>1287</v>
      </c>
      <c r="BP407" s="112" t="s">
        <v>1287</v>
      </c>
      <c r="BQ407" s="112" t="s">
        <v>1287</v>
      </c>
      <c r="BR407" s="112" t="s">
        <v>1287</v>
      </c>
      <c r="BS407" s="112" t="s">
        <v>1287</v>
      </c>
      <c r="BT407" s="112" t="s">
        <v>1287</v>
      </c>
      <c r="BU407" s="112" t="s">
        <v>1287</v>
      </c>
      <c r="BV407" s="111">
        <f t="shared" ref="BV407:BV408" si="3578">E407</f>
        <v>100</v>
      </c>
      <c r="BW407" s="113">
        <f t="shared" ref="BW407:BW408" si="3579">I407</f>
        <v>142</v>
      </c>
      <c r="BX407" s="114">
        <f t="shared" ref="BX407:BX408" si="3580">M407</f>
        <v>146</v>
      </c>
      <c r="BY407" s="113" t="str">
        <f t="shared" ref="BY407:BY408" si="3581">Q407</f>
        <v>-</v>
      </c>
      <c r="BZ407" s="114">
        <f t="shared" ref="BZ407:BZ408" si="3582">U407</f>
        <v>181</v>
      </c>
      <c r="CA407" s="113" t="str">
        <f t="shared" ref="CA407:CA408" si="3583">Y407</f>
        <v>-</v>
      </c>
      <c r="CB407" s="114">
        <f t="shared" ref="CB407:CB408" si="3584">AC407</f>
        <v>223</v>
      </c>
      <c r="CC407" s="113">
        <f t="shared" ref="CC407:CC408" si="3585">AG407</f>
        <v>254</v>
      </c>
      <c r="CD407" s="114">
        <f t="shared" ref="CD407:CD408" si="3586">AK407</f>
        <v>264</v>
      </c>
      <c r="CE407" s="113">
        <f t="shared" ref="CE407:CE408" si="3587">AO407</f>
        <v>300</v>
      </c>
      <c r="CF407" s="114">
        <f t="shared" ref="CF407:CF408" si="3588">AS407</f>
        <v>334</v>
      </c>
      <c r="CG407" s="113">
        <f t="shared" ref="CG407:CG408" si="3589">AW407</f>
        <v>363</v>
      </c>
      <c r="CH407" s="111">
        <f t="shared" ref="CH407:CH408" si="3590">G407</f>
        <v>141</v>
      </c>
      <c r="CI407" s="113">
        <f t="shared" ref="CI407:CI408" si="3591">K407</f>
        <v>145</v>
      </c>
      <c r="CJ407" s="114">
        <f t="shared" ref="CJ407:CJ408" si="3592">O407</f>
        <v>172</v>
      </c>
      <c r="CK407" s="114" t="str">
        <f t="shared" ref="CK407:CK408" si="3593">S407</f>
        <v>-</v>
      </c>
      <c r="CL407" s="114">
        <f t="shared" ref="CL407:CL408" si="3594">W407</f>
        <v>215</v>
      </c>
      <c r="CM407" s="114" t="str">
        <f t="shared" ref="CM407:CM408" si="3595">AA407</f>
        <v>-</v>
      </c>
      <c r="CN407" s="114">
        <f t="shared" ref="CN407:CN408" si="3596">AE407</f>
        <v>250</v>
      </c>
      <c r="CO407" s="114">
        <f t="shared" ref="CO407:CO408" si="3597">AI407</f>
        <v>256</v>
      </c>
      <c r="CP407" s="114">
        <f t="shared" ref="CP407:CP408" si="3598">AM407</f>
        <v>296</v>
      </c>
      <c r="CQ407" s="114">
        <f t="shared" ref="CQ407:CQ408" si="3599">AQ407</f>
        <v>328</v>
      </c>
      <c r="CR407" s="114">
        <f t="shared" ref="CR407:CR408" si="3600">AU407</f>
        <v>362</v>
      </c>
      <c r="CS407" s="114">
        <f t="shared" ref="CS407:CS408" si="3601">AY407</f>
        <v>388</v>
      </c>
      <c r="CT407" s="109">
        <f t="shared" ref="CT407:CT408" si="3602">M407-K407</f>
        <v>1</v>
      </c>
    </row>
    <row r="408" spans="1:1030" s="12" customFormat="1" x14ac:dyDescent="0.2">
      <c r="A408" s="9" t="str">
        <f t="shared" si="3575"/>
        <v>crfr2_human_6PB1</v>
      </c>
      <c r="B408" s="9" t="s">
        <v>403</v>
      </c>
      <c r="C408" s="9" t="s">
        <v>1652</v>
      </c>
      <c r="D408" s="9" t="str">
        <f>IFERROR(MID(VLOOKUP($B408,Seqs!$A:$B,2,0),E408,1),"")</f>
        <v>L</v>
      </c>
      <c r="E408" s="9">
        <v>111</v>
      </c>
      <c r="F408" s="9" t="str">
        <f>IFERROR(MID(VLOOKUP($B408,Seqs!$A:$B,2,0),G408,1),"")</f>
        <v>L</v>
      </c>
      <c r="G408" s="9">
        <v>141</v>
      </c>
      <c r="H408" s="9" t="str">
        <f>IFERROR(MID(VLOOKUP($B408,Seqs!$A:$B,2,0),I408,1),"")</f>
        <v>R</v>
      </c>
      <c r="I408" s="109">
        <v>142</v>
      </c>
      <c r="J408" s="9" t="str">
        <f>IFERROR(MID(VLOOKUP($B408,Seqs!$A:$B,2,0),K408,1),"")</f>
        <v>R</v>
      </c>
      <c r="K408" s="109">
        <v>145</v>
      </c>
      <c r="L408" s="9" t="str">
        <f>IFERROR(MID(VLOOKUP($B408,Seqs!$A:$B,2,0),M408,1),"")</f>
        <v>C</v>
      </c>
      <c r="M408" s="109">
        <v>146</v>
      </c>
      <c r="N408" s="9" t="str">
        <f>IFERROR(MID(VLOOKUP($B408,Seqs!$A:$B,2,0),O408,1),"")</f>
        <v>Q</v>
      </c>
      <c r="O408" s="9">
        <v>170</v>
      </c>
      <c r="P408" s="9" t="str">
        <f>IFERROR(MID(VLOOKUP($B408,Seqs!$A:$B,2,0),Q408,1),"")</f>
        <v/>
      </c>
      <c r="Q408" s="9" t="s">
        <v>23</v>
      </c>
      <c r="R408" s="9" t="str">
        <f>IFERROR(MID(VLOOKUP($B408,Seqs!$A:$B,2,0),S408,1),"")</f>
        <v/>
      </c>
      <c r="S408" s="9" t="s">
        <v>23</v>
      </c>
      <c r="T408" s="9" t="str">
        <f>IFERROR(MID(VLOOKUP($B408,Seqs!$A:$B,2,0),U408,1),"")</f>
        <v>V</v>
      </c>
      <c r="U408" s="9">
        <v>182</v>
      </c>
      <c r="V408" s="9" t="str">
        <f>IFERROR(MID(VLOOKUP($B408,Seqs!$A:$B,2,0),W408,1),"")</f>
        <v>M</v>
      </c>
      <c r="W408" s="9">
        <v>215</v>
      </c>
      <c r="X408" s="9" t="str">
        <f>IFERROR(MID(VLOOKUP($B408,Seqs!$A:$B,2,0),Y408,1),"")</f>
        <v/>
      </c>
      <c r="Y408" s="9" t="s">
        <v>23</v>
      </c>
      <c r="Z408" s="9" t="str">
        <f>IFERROR(MID(VLOOKUP($B408,Seqs!$A:$B,2,0),AA408,1),"")</f>
        <v/>
      </c>
      <c r="AA408" s="9" t="s">
        <v>23</v>
      </c>
      <c r="AB408" s="9" t="str">
        <f>IFERROR(MID(VLOOKUP($B408,Seqs!$A:$B,2,0),AC408,1),"")</f>
        <v>R</v>
      </c>
      <c r="AC408" s="9">
        <v>223</v>
      </c>
      <c r="AD408" s="9" t="str">
        <f>IFERROR(MID(VLOOKUP($B408,Seqs!$A:$B,2,0),AE408,1),"")</f>
        <v>E</v>
      </c>
      <c r="AE408" s="9">
        <v>250</v>
      </c>
      <c r="AF408" s="9" t="str">
        <f>IFERROR(MID(VLOOKUP($B408,Seqs!$A:$B,2,0),AG408,1),"")</f>
        <v>C</v>
      </c>
      <c r="AG408" s="9">
        <v>254</v>
      </c>
      <c r="AH408" s="9" t="str">
        <f>IFERROR(MID(VLOOKUP($B408,Seqs!$A:$B,2,0),AI408,1),"")</f>
        <v>F</v>
      </c>
      <c r="AI408" s="9">
        <v>256</v>
      </c>
      <c r="AJ408" s="9" t="str">
        <f>IFERROR(MID(VLOOKUP($B408,Seqs!$A:$B,2,0),AK408,1),"")</f>
        <v>V</v>
      </c>
      <c r="AK408" s="9">
        <v>264</v>
      </c>
      <c r="AL408" s="9" t="str">
        <f>IFERROR(MID(VLOOKUP($B408,Seqs!$A:$B,2,0),AM408,1),"")</f>
        <v>A</v>
      </c>
      <c r="AM408" s="9">
        <v>296</v>
      </c>
      <c r="AN408" s="9" t="str">
        <f>IFERROR(MID(VLOOKUP($B408,Seqs!$A:$B,2,0),AO408,1),"")</f>
        <v>S</v>
      </c>
      <c r="AO408" s="9">
        <v>300</v>
      </c>
      <c r="AP408" s="9" t="str">
        <f>IFERROR(MID(VLOOKUP($B408,Seqs!$A:$B,2,0),AQ408,1),"")</f>
        <v>L</v>
      </c>
      <c r="AQ408" s="9">
        <v>325</v>
      </c>
      <c r="AR408" s="9" t="str">
        <f>IFERROR(MID(VLOOKUP($B408,Seqs!$A:$B,2,0),AS408,1),"")</f>
        <v>D</v>
      </c>
      <c r="AS408" s="9">
        <v>334</v>
      </c>
      <c r="AT408" s="9" t="str">
        <f>IFERROR(MID(VLOOKUP($B408,Seqs!$A:$B,2,0),AU408,1),"")</f>
        <v>F</v>
      </c>
      <c r="AU408" s="9">
        <v>362</v>
      </c>
      <c r="AV408" s="9" t="str">
        <f>IFERROR(MID(VLOOKUP($B408,Seqs!$A:$B,2,0),AW408,1),"")</f>
        <v>N</v>
      </c>
      <c r="AW408" s="9">
        <v>363</v>
      </c>
      <c r="AX408" s="9" t="str">
        <f>IFERROR(MID(VLOOKUP($B408,Seqs!$A:$B,2,0),AY408,1),"")</f>
        <v>S</v>
      </c>
      <c r="AY408" s="9">
        <v>382</v>
      </c>
      <c r="AZ408" s="110" t="str">
        <f>VLOOKUP(B408,Classification!A:D,2,0)</f>
        <v>B1</v>
      </c>
      <c r="BA408" s="98" t="str">
        <f>VLOOKUP(B408,Classification!A:D,4,0)</f>
        <v>Corticotropin-releasingfact</v>
      </c>
      <c r="BB408" s="36" t="b">
        <f t="shared" si="3576"/>
        <v>1</v>
      </c>
      <c r="BC408" s="109">
        <f t="shared" si="3577"/>
        <v>235</v>
      </c>
      <c r="BD408" s="129" t="s">
        <v>1375</v>
      </c>
      <c r="BE408" s="9" t="s">
        <v>1291</v>
      </c>
      <c r="BF408" s="119">
        <v>2.8</v>
      </c>
      <c r="BG408" s="51" t="s">
        <v>1653</v>
      </c>
      <c r="BH408" s="51" t="s">
        <v>1653</v>
      </c>
      <c r="BI408" s="9"/>
      <c r="BJ408" s="111" t="s">
        <v>1287</v>
      </c>
      <c r="BK408" s="112" t="s">
        <v>1287</v>
      </c>
      <c r="BL408" s="112" t="s">
        <v>1287</v>
      </c>
      <c r="BM408" s="112" t="s">
        <v>1287</v>
      </c>
      <c r="BN408" s="112" t="s">
        <v>1287</v>
      </c>
      <c r="BO408" s="112" t="s">
        <v>1287</v>
      </c>
      <c r="BP408" s="112" t="s">
        <v>1287</v>
      </c>
      <c r="BQ408" s="112" t="s">
        <v>1287</v>
      </c>
      <c r="BR408" s="112" t="s">
        <v>1287</v>
      </c>
      <c r="BS408" s="112" t="s">
        <v>1287</v>
      </c>
      <c r="BT408" s="112" t="s">
        <v>1287</v>
      </c>
      <c r="BU408" s="112" t="s">
        <v>1287</v>
      </c>
      <c r="BV408" s="111">
        <f t="shared" si="3578"/>
        <v>111</v>
      </c>
      <c r="BW408" s="113">
        <f t="shared" si="3579"/>
        <v>142</v>
      </c>
      <c r="BX408" s="114">
        <f t="shared" si="3580"/>
        <v>146</v>
      </c>
      <c r="BY408" s="113" t="str">
        <f t="shared" si="3581"/>
        <v>-</v>
      </c>
      <c r="BZ408" s="114">
        <f t="shared" si="3582"/>
        <v>182</v>
      </c>
      <c r="CA408" s="113" t="str">
        <f t="shared" si="3583"/>
        <v>-</v>
      </c>
      <c r="CB408" s="114">
        <f t="shared" si="3584"/>
        <v>223</v>
      </c>
      <c r="CC408" s="113">
        <f t="shared" si="3585"/>
        <v>254</v>
      </c>
      <c r="CD408" s="114">
        <f t="shared" si="3586"/>
        <v>264</v>
      </c>
      <c r="CE408" s="113">
        <f t="shared" si="3587"/>
        <v>300</v>
      </c>
      <c r="CF408" s="114">
        <f t="shared" si="3588"/>
        <v>334</v>
      </c>
      <c r="CG408" s="113">
        <f t="shared" si="3589"/>
        <v>363</v>
      </c>
      <c r="CH408" s="111">
        <f t="shared" si="3590"/>
        <v>141</v>
      </c>
      <c r="CI408" s="113">
        <f t="shared" si="3591"/>
        <v>145</v>
      </c>
      <c r="CJ408" s="114">
        <f t="shared" si="3592"/>
        <v>170</v>
      </c>
      <c r="CK408" s="114" t="str">
        <f t="shared" si="3593"/>
        <v>-</v>
      </c>
      <c r="CL408" s="114">
        <f t="shared" si="3594"/>
        <v>215</v>
      </c>
      <c r="CM408" s="114" t="str">
        <f t="shared" si="3595"/>
        <v>-</v>
      </c>
      <c r="CN408" s="114">
        <f t="shared" si="3596"/>
        <v>250</v>
      </c>
      <c r="CO408" s="114">
        <f t="shared" si="3597"/>
        <v>256</v>
      </c>
      <c r="CP408" s="114">
        <f t="shared" si="3598"/>
        <v>296</v>
      </c>
      <c r="CQ408" s="114">
        <f t="shared" si="3599"/>
        <v>325</v>
      </c>
      <c r="CR408" s="114">
        <f t="shared" si="3600"/>
        <v>362</v>
      </c>
      <c r="CS408" s="114">
        <f t="shared" si="3601"/>
        <v>382</v>
      </c>
      <c r="CT408" s="109">
        <f t="shared" si="3602"/>
        <v>1</v>
      </c>
    </row>
    <row r="409" spans="1:1030" x14ac:dyDescent="0.2">
      <c r="A409" s="3" t="str">
        <f t="shared" si="2541"/>
        <v>glr_human__wt</v>
      </c>
      <c r="B409" s="3" t="s">
        <v>32</v>
      </c>
      <c r="C409" s="3" t="s">
        <v>100</v>
      </c>
      <c r="D409" s="3" t="str">
        <f>IFERROR(MID(VLOOKUP($B409,Seqs!$A:$B,2,0),E409,1),"")</f>
        <v>Q</v>
      </c>
      <c r="E409" s="105">
        <v>131</v>
      </c>
      <c r="F409" s="3" t="str">
        <f>IFERROR(MID(VLOOKUP($B409,Seqs!$A:$B,2,0),G409,1),"")</f>
        <v>L</v>
      </c>
      <c r="G409" s="3">
        <v>166</v>
      </c>
      <c r="H409" s="3" t="str">
        <f>IFERROR(MID(VLOOKUP($B409,Seqs!$A:$B,2,0),I409,1),"")</f>
        <v>S</v>
      </c>
      <c r="I409" s="23">
        <v>167</v>
      </c>
      <c r="J409" s="3" t="str">
        <f>IFERROR(MID(VLOOKUP($B409,Seqs!$A:$B,2,0),K409,1),"")</f>
        <v>H</v>
      </c>
      <c r="K409" s="23">
        <v>170</v>
      </c>
      <c r="L409" s="3" t="str">
        <f>IFERROR(MID(VLOOKUP($B409,Seqs!$A:$B,2,0),M409,1),"")</f>
        <v>C</v>
      </c>
      <c r="M409" s="23">
        <v>171</v>
      </c>
      <c r="N409" s="3" t="str">
        <f>IFERROR(MID(VLOOKUP($B409,Seqs!$A:$B,2,0),O409,1),"")</f>
        <v>S</v>
      </c>
      <c r="O409" s="105">
        <v>203</v>
      </c>
      <c r="P409" s="3" t="str">
        <f>IFERROR(MID(VLOOKUP($B409,Seqs!$A:$B,2,0),Q409,1),"")</f>
        <v/>
      </c>
      <c r="Q409" s="3" t="s">
        <v>23</v>
      </c>
      <c r="R409" s="3" t="str">
        <f>IFERROR(MID(VLOOKUP($B409,Seqs!$A:$B,2,0),S409,1),"")</f>
        <v/>
      </c>
      <c r="S409" s="3" t="s">
        <v>23</v>
      </c>
      <c r="T409" s="3" t="str">
        <f>IFERROR(MID(VLOOKUP($B409,Seqs!$A:$B,2,0),U409,1),"")</f>
        <v>A</v>
      </c>
      <c r="U409" s="3">
        <v>220</v>
      </c>
      <c r="V409" s="3" t="str">
        <f>IFERROR(MID(VLOOKUP($B409,Seqs!$A:$B,2,0),W409,1),"")</f>
        <v>L</v>
      </c>
      <c r="W409" s="3">
        <v>255</v>
      </c>
      <c r="X409" s="3" t="str">
        <f>IFERROR(MID(VLOOKUP($B409,Seqs!$A:$B,2,0),Y409,1),"")</f>
        <v/>
      </c>
      <c r="Y409" s="3" t="s">
        <v>23</v>
      </c>
      <c r="Z409" s="3" t="str">
        <f>IFERROR(MID(VLOOKUP($B409,Seqs!$A:$B,2,0),AA409,1),"")</f>
        <v/>
      </c>
      <c r="AA409" s="3" t="s">
        <v>23</v>
      </c>
      <c r="AB409" s="3" t="str">
        <f>IFERROR(MID(VLOOKUP($B409,Seqs!$A:$B,2,0),AC409,1),"")</f>
        <v>S</v>
      </c>
      <c r="AC409" s="9">
        <v>262</v>
      </c>
      <c r="AD409" s="3" t="str">
        <f>IFERROR(MID(VLOOKUP($B409,Seqs!$A:$B,2,0),AE409,1),"")</f>
        <v>E</v>
      </c>
      <c r="AE409" s="3">
        <v>290</v>
      </c>
      <c r="AF409" s="3" t="str">
        <f>IFERROR(MID(VLOOKUP($B409,Seqs!$A:$B,2,0),AG409,1),"")</f>
        <v>C</v>
      </c>
      <c r="AG409" s="3">
        <v>294</v>
      </c>
      <c r="AH409" s="3" t="str">
        <f>IFERROR(MID(VLOOKUP($B409,Seqs!$A:$B,2,0),AI409,1),"")</f>
        <v>T</v>
      </c>
      <c r="AI409" s="3">
        <v>296</v>
      </c>
      <c r="AJ409" s="3" t="str">
        <f>IFERROR(MID(VLOOKUP($B409,Seqs!$A:$B,2,0),AK409,1),"")</f>
        <v>D</v>
      </c>
      <c r="AK409" s="105">
        <v>299</v>
      </c>
      <c r="AL409" s="3" t="str">
        <f>IFERROR(MID(VLOOKUP($B409,Seqs!$A:$B,2,0),AM409,1),"")</f>
        <v>A</v>
      </c>
      <c r="AM409" s="3">
        <v>335</v>
      </c>
      <c r="AN409" s="3" t="str">
        <f>IFERROR(MID(VLOOKUP($B409,Seqs!$A:$B,2,0),AO409,1),"")</f>
        <v>D</v>
      </c>
      <c r="AO409" s="3">
        <v>342</v>
      </c>
      <c r="AP409" s="3" t="str">
        <f>IFERROR(MID(VLOOKUP($B409,Seqs!$A:$B,2,0),AQ409,1),"")</f>
        <v>F</v>
      </c>
      <c r="AQ409" s="3">
        <v>367</v>
      </c>
      <c r="AR409" s="3" t="str">
        <f>IFERROR(MID(VLOOKUP($B409,Seqs!$A:$B,2,0),AS409,1),"")</f>
        <v>Q</v>
      </c>
      <c r="AS409" s="3">
        <v>374</v>
      </c>
      <c r="AT409" s="3" t="str">
        <f>IFERROR(MID(VLOOKUP($B409,Seqs!$A:$B,2,0),AU409,1),"")</f>
        <v>L</v>
      </c>
      <c r="AU409" s="3">
        <v>403</v>
      </c>
      <c r="AV409" s="3" t="str">
        <f>IFERROR(MID(VLOOKUP($B409,Seqs!$A:$B,2,0),AW409,1),"")</f>
        <v>N</v>
      </c>
      <c r="AW409" s="3">
        <v>404</v>
      </c>
      <c r="AX409" s="3" t="str">
        <f>IFERROR(MID(VLOOKUP($B409,Seqs!$A:$B,2,0),AY409,1),"")</f>
        <v>N</v>
      </c>
      <c r="AY409" s="3">
        <v>429</v>
      </c>
      <c r="AZ409" s="77" t="str">
        <f>VLOOKUP(B409,Classification!A:D,2,0)</f>
        <v>B1</v>
      </c>
      <c r="BA409" s="94" t="str">
        <f>VLOOKUP(B409,Classification!A:D,4,0)</f>
        <v>Glucagonreceptorfamily</v>
      </c>
      <c r="BB409" s="27" t="b">
        <f t="shared" si="2542"/>
        <v>1</v>
      </c>
      <c r="BC409" s="23">
        <f t="shared" si="3549"/>
        <v>262</v>
      </c>
      <c r="BD409" s="56" t="s">
        <v>23</v>
      </c>
      <c r="BE409" s="3" t="s">
        <v>23</v>
      </c>
      <c r="BF409" s="118" t="s">
        <v>23</v>
      </c>
      <c r="BG409" s="49" t="s">
        <v>1372</v>
      </c>
      <c r="BH409" s="49" t="s">
        <v>1377</v>
      </c>
      <c r="BI409" s="1"/>
      <c r="BJ409" s="70" t="s">
        <v>1287</v>
      </c>
      <c r="BK409" s="57" t="s">
        <v>1287</v>
      </c>
      <c r="BL409" s="57" t="s">
        <v>1287</v>
      </c>
      <c r="BM409" s="57" t="s">
        <v>1287</v>
      </c>
      <c r="BN409" s="57" t="s">
        <v>1287</v>
      </c>
      <c r="BO409" s="57" t="s">
        <v>1287</v>
      </c>
      <c r="BP409" s="57" t="s">
        <v>1287</v>
      </c>
      <c r="BQ409" s="57" t="s">
        <v>1287</v>
      </c>
      <c r="BR409" s="57" t="s">
        <v>1287</v>
      </c>
      <c r="BS409" s="57" t="s">
        <v>1287</v>
      </c>
      <c r="BT409" s="57" t="s">
        <v>1287</v>
      </c>
      <c r="BU409" s="57" t="s">
        <v>1287</v>
      </c>
      <c r="BV409" s="70">
        <f t="shared" si="3550"/>
        <v>131</v>
      </c>
      <c r="BW409" s="71">
        <f t="shared" si="3551"/>
        <v>167</v>
      </c>
      <c r="BX409" s="72">
        <f t="shared" si="3552"/>
        <v>171</v>
      </c>
      <c r="BY409" s="71" t="str">
        <f t="shared" si="3553"/>
        <v>-</v>
      </c>
      <c r="BZ409" s="72">
        <f t="shared" si="3554"/>
        <v>220</v>
      </c>
      <c r="CA409" s="71" t="str">
        <f t="shared" si="3555"/>
        <v>-</v>
      </c>
      <c r="CB409" s="72">
        <f t="shared" si="3556"/>
        <v>262</v>
      </c>
      <c r="CC409" s="71">
        <f t="shared" si="3557"/>
        <v>294</v>
      </c>
      <c r="CD409" s="72">
        <f t="shared" si="3558"/>
        <v>299</v>
      </c>
      <c r="CE409" s="71">
        <f t="shared" si="3559"/>
        <v>342</v>
      </c>
      <c r="CF409" s="72">
        <f t="shared" si="3560"/>
        <v>374</v>
      </c>
      <c r="CG409" s="71">
        <f t="shared" si="3561"/>
        <v>404</v>
      </c>
      <c r="CH409" s="70">
        <f t="shared" si="3562"/>
        <v>166</v>
      </c>
      <c r="CI409" s="71">
        <f t="shared" si="3563"/>
        <v>170</v>
      </c>
      <c r="CJ409" s="72">
        <f t="shared" si="3564"/>
        <v>203</v>
      </c>
      <c r="CK409" s="72" t="str">
        <f t="shared" si="3565"/>
        <v>-</v>
      </c>
      <c r="CL409" s="72">
        <f t="shared" si="3566"/>
        <v>255</v>
      </c>
      <c r="CM409" s="72" t="str">
        <f t="shared" si="3567"/>
        <v>-</v>
      </c>
      <c r="CN409" s="72">
        <f t="shared" si="3568"/>
        <v>290</v>
      </c>
      <c r="CO409" s="72">
        <f t="shared" si="3569"/>
        <v>296</v>
      </c>
      <c r="CP409" s="72">
        <f t="shared" si="3570"/>
        <v>335</v>
      </c>
      <c r="CQ409" s="72">
        <f t="shared" si="3571"/>
        <v>367</v>
      </c>
      <c r="CR409" s="72">
        <f t="shared" si="3572"/>
        <v>403</v>
      </c>
      <c r="CS409" s="72">
        <f t="shared" si="3573"/>
        <v>429</v>
      </c>
      <c r="CT409" s="23">
        <f t="shared" si="3574"/>
        <v>1</v>
      </c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  <c r="AMK409" s="1"/>
      <c r="AML409" s="1"/>
      <c r="AMM409" s="1"/>
      <c r="AMN409" s="1"/>
      <c r="AMO409" s="1"/>
    </row>
    <row r="410" spans="1:1030" x14ac:dyDescent="0.2">
      <c r="A410" s="3" t="str">
        <f t="shared" si="2541"/>
        <v>glr_human_4L6R</v>
      </c>
      <c r="B410" s="3" t="s">
        <v>32</v>
      </c>
      <c r="C410" s="3" t="s">
        <v>51</v>
      </c>
      <c r="D410" s="3" t="str">
        <f>IFERROR(MID(VLOOKUP($B410,Seqs!$A:$B,2,0),E410,1),"")</f>
        <v>G</v>
      </c>
      <c r="E410" s="3">
        <v>125</v>
      </c>
      <c r="F410" s="3" t="str">
        <f>IFERROR(MID(VLOOKUP($B410,Seqs!$A:$B,2,0),G410,1),"")</f>
        <v>G</v>
      </c>
      <c r="G410" s="3">
        <v>164</v>
      </c>
      <c r="H410" s="3" t="str">
        <f>IFERROR(MID(VLOOKUP($B410,Seqs!$A:$B,2,0),I410,1),"")</f>
        <v>S</v>
      </c>
      <c r="I410" s="23">
        <v>167</v>
      </c>
      <c r="J410" s="3" t="str">
        <f>IFERROR(MID(VLOOKUP($B410,Seqs!$A:$B,2,0),K410,1),"")</f>
        <v>H</v>
      </c>
      <c r="K410" s="23">
        <v>170</v>
      </c>
      <c r="L410" s="3" t="str">
        <f>IFERROR(MID(VLOOKUP($B410,Seqs!$A:$B,2,0),M410,1),"")</f>
        <v>C</v>
      </c>
      <c r="M410" s="23">
        <v>171</v>
      </c>
      <c r="N410" s="3" t="str">
        <f>IFERROR(MID(VLOOKUP($B410,Seqs!$A:$B,2,0),O410,1),"")</f>
        <v>R</v>
      </c>
      <c r="O410" s="3">
        <v>199</v>
      </c>
      <c r="P410" s="3" t="str">
        <f>IFERROR(MID(VLOOKUP($B410,Seqs!$A:$B,2,0),Q410,1),"")</f>
        <v/>
      </c>
      <c r="Q410" s="3" t="s">
        <v>23</v>
      </c>
      <c r="R410" s="3" t="str">
        <f>IFERROR(MID(VLOOKUP($B410,Seqs!$A:$B,2,0),S410,1),"")</f>
        <v/>
      </c>
      <c r="S410" s="3" t="s">
        <v>23</v>
      </c>
      <c r="T410" s="3" t="str">
        <f>IFERROR(MID(VLOOKUP($B410,Seqs!$A:$B,2,0),U410,1),"")</f>
        <v>S</v>
      </c>
      <c r="U410" s="3">
        <v>217</v>
      </c>
      <c r="V410" s="3" t="str">
        <f>IFERROR(MID(VLOOKUP($B410,Seqs!$A:$B,2,0),W410,1),"")</f>
        <v>L</v>
      </c>
      <c r="W410" s="3">
        <v>255</v>
      </c>
      <c r="X410" s="3" t="str">
        <f>IFERROR(MID(VLOOKUP($B410,Seqs!$A:$B,2,0),Y410,1),"")</f>
        <v/>
      </c>
      <c r="Y410" s="3" t="s">
        <v>23</v>
      </c>
      <c r="Z410" s="3" t="str">
        <f>IFERROR(MID(VLOOKUP($B410,Seqs!$A:$B,2,0),AA410,1),"")</f>
        <v/>
      </c>
      <c r="AA410" s="3" t="s">
        <v>23</v>
      </c>
      <c r="AB410" s="3" t="str">
        <f>IFERROR(MID(VLOOKUP($B410,Seqs!$A:$B,2,0),AC410,1),"")</f>
        <v>A</v>
      </c>
      <c r="AC410" s="9">
        <v>274</v>
      </c>
      <c r="AD410" s="3" t="str">
        <f>IFERROR(MID(VLOOKUP($B410,Seqs!$A:$B,2,0),AE410,1),"")</f>
        <v>E</v>
      </c>
      <c r="AE410" s="3">
        <v>290</v>
      </c>
      <c r="AF410" s="3" t="str">
        <f>IFERROR(MID(VLOOKUP($B410,Seqs!$A:$B,2,0),AG410,1),"")</f>
        <v>C</v>
      </c>
      <c r="AG410" s="3">
        <v>294</v>
      </c>
      <c r="AH410" s="3" t="str">
        <f>IFERROR(MID(VLOOKUP($B410,Seqs!$A:$B,2,0),AI410,1),"")</f>
        <v>T</v>
      </c>
      <c r="AI410" s="3">
        <v>296</v>
      </c>
      <c r="AJ410" s="3" t="str">
        <f>IFERROR(MID(VLOOKUP($B410,Seqs!$A:$B,2,0),AK410,1),"")</f>
        <v>N</v>
      </c>
      <c r="AK410" s="3">
        <v>300</v>
      </c>
      <c r="AL410" s="3" t="str">
        <f>IFERROR(MID(VLOOKUP($B410,Seqs!$A:$B,2,0),AM410,1),"")</f>
        <v>A</v>
      </c>
      <c r="AM410" s="3">
        <v>335</v>
      </c>
      <c r="AN410" s="3" t="str">
        <f>IFERROR(MID(VLOOKUP($B410,Seqs!$A:$B,2,0),AO410,1),"")</f>
        <v>D</v>
      </c>
      <c r="AO410" s="3">
        <v>342</v>
      </c>
      <c r="AP410" s="3" t="str">
        <f>IFERROR(MID(VLOOKUP($B410,Seqs!$A:$B,2,0),AQ410,1),"")</f>
        <v>F</v>
      </c>
      <c r="AQ410" s="3">
        <v>367</v>
      </c>
      <c r="AR410" s="3" t="str">
        <f>IFERROR(MID(VLOOKUP($B410,Seqs!$A:$B,2,0),AS410,1),"")</f>
        <v>Q</v>
      </c>
      <c r="AS410" s="3">
        <v>374</v>
      </c>
      <c r="AT410" s="3" t="str">
        <f>IFERROR(MID(VLOOKUP($B410,Seqs!$A:$B,2,0),AU410,1),"")</f>
        <v>L</v>
      </c>
      <c r="AU410" s="3">
        <v>403</v>
      </c>
      <c r="AV410" s="3" t="str">
        <f>IFERROR(MID(VLOOKUP($B410,Seqs!$A:$B,2,0),AW410,1),"")</f>
        <v>N</v>
      </c>
      <c r="AW410" s="3">
        <v>404</v>
      </c>
      <c r="AX410" s="3" t="str">
        <f>IFERROR(MID(VLOOKUP($B410,Seqs!$A:$B,2,0),AY410,1),"")</f>
        <v>N</v>
      </c>
      <c r="AY410" s="3">
        <v>429</v>
      </c>
      <c r="AZ410" s="77" t="str">
        <f>VLOOKUP(B410,Classification!A:D,2,0)</f>
        <v>B1</v>
      </c>
      <c r="BA410" s="94" t="str">
        <f>VLOOKUP(B410,Classification!A:D,4,0)</f>
        <v>Glucagonreceptorfamily</v>
      </c>
      <c r="BB410" s="27" t="b">
        <f t="shared" si="2542"/>
        <v>1</v>
      </c>
      <c r="BC410" s="23">
        <f t="shared" si="3549"/>
        <v>252</v>
      </c>
      <c r="BD410" s="2" t="s">
        <v>23</v>
      </c>
      <c r="BE410" s="3" t="s">
        <v>1374</v>
      </c>
      <c r="BF410" s="118">
        <v>3.3</v>
      </c>
      <c r="BG410" s="49" t="s">
        <v>1377</v>
      </c>
      <c r="BH410" s="49" t="s">
        <v>1377</v>
      </c>
      <c r="BI410" s="1"/>
      <c r="BJ410" s="70" t="s">
        <v>1287</v>
      </c>
      <c r="BK410" s="57" t="s">
        <v>1287</v>
      </c>
      <c r="BL410" s="57" t="s">
        <v>1287</v>
      </c>
      <c r="BM410" s="57" t="s">
        <v>1287</v>
      </c>
      <c r="BN410" s="57" t="s">
        <v>1287</v>
      </c>
      <c r="BO410" s="57" t="s">
        <v>1287</v>
      </c>
      <c r="BP410" s="57" t="s">
        <v>1287</v>
      </c>
      <c r="BQ410" s="57" t="s">
        <v>1287</v>
      </c>
      <c r="BR410" s="57" t="s">
        <v>1287</v>
      </c>
      <c r="BS410" s="57" t="s">
        <v>1287</v>
      </c>
      <c r="BT410" s="57" t="s">
        <v>1287</v>
      </c>
      <c r="BU410" s="57" t="s">
        <v>1287</v>
      </c>
      <c r="BV410" s="70">
        <f t="shared" si="3550"/>
        <v>125</v>
      </c>
      <c r="BW410" s="71">
        <f t="shared" si="3551"/>
        <v>167</v>
      </c>
      <c r="BX410" s="72">
        <f t="shared" si="3552"/>
        <v>171</v>
      </c>
      <c r="BY410" s="71" t="str">
        <f t="shared" si="3553"/>
        <v>-</v>
      </c>
      <c r="BZ410" s="72">
        <f t="shared" si="3554"/>
        <v>217</v>
      </c>
      <c r="CA410" s="71" t="str">
        <f t="shared" si="3555"/>
        <v>-</v>
      </c>
      <c r="CB410" s="72">
        <f t="shared" si="3556"/>
        <v>274</v>
      </c>
      <c r="CC410" s="71">
        <f t="shared" si="3557"/>
        <v>294</v>
      </c>
      <c r="CD410" s="72">
        <f t="shared" si="3558"/>
        <v>300</v>
      </c>
      <c r="CE410" s="71">
        <f t="shared" si="3559"/>
        <v>342</v>
      </c>
      <c r="CF410" s="72">
        <f t="shared" si="3560"/>
        <v>374</v>
      </c>
      <c r="CG410" s="71">
        <f t="shared" si="3561"/>
        <v>404</v>
      </c>
      <c r="CH410" s="70">
        <f t="shared" si="3562"/>
        <v>164</v>
      </c>
      <c r="CI410" s="71">
        <f t="shared" si="3563"/>
        <v>170</v>
      </c>
      <c r="CJ410" s="72">
        <f t="shared" si="3564"/>
        <v>199</v>
      </c>
      <c r="CK410" s="72" t="str">
        <f t="shared" si="3565"/>
        <v>-</v>
      </c>
      <c r="CL410" s="72">
        <f t="shared" si="3566"/>
        <v>255</v>
      </c>
      <c r="CM410" s="72" t="str">
        <f t="shared" si="3567"/>
        <v>-</v>
      </c>
      <c r="CN410" s="72">
        <f t="shared" si="3568"/>
        <v>290</v>
      </c>
      <c r="CO410" s="72">
        <f t="shared" si="3569"/>
        <v>296</v>
      </c>
      <c r="CP410" s="72">
        <f t="shared" si="3570"/>
        <v>335</v>
      </c>
      <c r="CQ410" s="72">
        <f t="shared" si="3571"/>
        <v>367</v>
      </c>
      <c r="CR410" s="72">
        <f t="shared" si="3572"/>
        <v>403</v>
      </c>
      <c r="CS410" s="72">
        <f t="shared" si="3573"/>
        <v>429</v>
      </c>
      <c r="CT410" s="23">
        <f t="shared" si="3574"/>
        <v>1</v>
      </c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  <c r="AMK410" s="1"/>
      <c r="AML410" s="1"/>
      <c r="AMM410" s="1"/>
      <c r="AMN410" s="1"/>
      <c r="AMO410" s="1"/>
    </row>
    <row r="411" spans="1:1030" x14ac:dyDescent="0.2">
      <c r="A411" s="3" t="str">
        <f t="shared" si="2541"/>
        <v>glr_human_4L6R_dist</v>
      </c>
      <c r="B411" s="3" t="s">
        <v>32</v>
      </c>
      <c r="C411" s="3" t="s">
        <v>1276</v>
      </c>
      <c r="D411" s="3" t="str">
        <f>IFERROR(MID(VLOOKUP($B411,Seqs!$A:$B,2,0),E411,1),"")</f>
        <v>G</v>
      </c>
      <c r="E411" s="3">
        <v>125</v>
      </c>
      <c r="F411" s="3" t="str">
        <f>IFERROR(MID(VLOOKUP($B411,Seqs!$A:$B,2,0),G411,1),"")</f>
        <v>G</v>
      </c>
      <c r="G411" s="3">
        <v>164</v>
      </c>
      <c r="H411" s="3" t="str">
        <f>IFERROR(MID(VLOOKUP($B411,Seqs!$A:$B,2,0),I411,1),"")</f>
        <v>S</v>
      </c>
      <c r="I411" s="23">
        <v>167</v>
      </c>
      <c r="J411" s="3" t="str">
        <f>IFERROR(MID(VLOOKUP($B411,Seqs!$A:$B,2,0),K411,1),"")</f>
        <v>H</v>
      </c>
      <c r="K411" s="23">
        <v>170</v>
      </c>
      <c r="L411" s="3" t="str">
        <f>IFERROR(MID(VLOOKUP($B411,Seqs!$A:$B,2,0),M411,1),"")</f>
        <v>C</v>
      </c>
      <c r="M411" s="23">
        <v>171</v>
      </c>
      <c r="N411" s="3" t="str">
        <f>IFERROR(MID(VLOOKUP($B411,Seqs!$A:$B,2,0),O411,1),"")</f>
        <v>R</v>
      </c>
      <c r="O411" s="3">
        <v>199</v>
      </c>
      <c r="P411" s="3" t="str">
        <f>IFERROR(MID(VLOOKUP($B411,Seqs!$A:$B,2,0),Q411,1),"")</f>
        <v/>
      </c>
      <c r="Q411" s="3" t="s">
        <v>23</v>
      </c>
      <c r="R411" s="3" t="str">
        <f>IFERROR(MID(VLOOKUP($B411,Seqs!$A:$B,2,0),S411,1),"")</f>
        <v/>
      </c>
      <c r="S411" s="3" t="s">
        <v>23</v>
      </c>
      <c r="T411" s="3" t="str">
        <f>IFERROR(MID(VLOOKUP($B411,Seqs!$A:$B,2,0),U411,1),"")</f>
        <v>S</v>
      </c>
      <c r="U411" s="3">
        <v>217</v>
      </c>
      <c r="V411" s="3" t="str">
        <f>IFERROR(MID(VLOOKUP($B411,Seqs!$A:$B,2,0),W411,1),"")</f>
        <v>L</v>
      </c>
      <c r="W411" s="3">
        <v>255</v>
      </c>
      <c r="X411" s="3" t="str">
        <f>IFERROR(MID(VLOOKUP($B411,Seqs!$A:$B,2,0),Y411,1),"")</f>
        <v/>
      </c>
      <c r="Y411" s="3" t="s">
        <v>23</v>
      </c>
      <c r="Z411" s="3" t="str">
        <f>IFERROR(MID(VLOOKUP($B411,Seqs!$A:$B,2,0),AA411,1),"")</f>
        <v/>
      </c>
      <c r="AA411" s="3" t="s">
        <v>23</v>
      </c>
      <c r="AB411" s="3" t="str">
        <f>IFERROR(MID(VLOOKUP($B411,Seqs!$A:$B,2,0),AC411,1),"")</f>
        <v>S</v>
      </c>
      <c r="AC411" s="9">
        <v>262</v>
      </c>
      <c r="AD411" s="3" t="str">
        <f>IFERROR(MID(VLOOKUP($B411,Seqs!$A:$B,2,0),AE411,1),"")</f>
        <v>E</v>
      </c>
      <c r="AE411" s="3">
        <v>290</v>
      </c>
      <c r="AF411" s="3" t="str">
        <f>IFERROR(MID(VLOOKUP($B411,Seqs!$A:$B,2,0),AG411,1),"")</f>
        <v>C</v>
      </c>
      <c r="AG411" s="3">
        <v>294</v>
      </c>
      <c r="AH411" s="3" t="str">
        <f>IFERROR(MID(VLOOKUP($B411,Seqs!$A:$B,2,0),AI411,1),"")</f>
        <v>T</v>
      </c>
      <c r="AI411" s="3">
        <v>296</v>
      </c>
      <c r="AJ411" s="3" t="str">
        <f>IFERROR(MID(VLOOKUP($B411,Seqs!$A:$B,2,0),AK411,1),"")</f>
        <v>N</v>
      </c>
      <c r="AK411" s="3">
        <v>300</v>
      </c>
      <c r="AL411" s="3" t="str">
        <f>IFERROR(MID(VLOOKUP($B411,Seqs!$A:$B,2,0),AM411,1),"")</f>
        <v>A</v>
      </c>
      <c r="AM411" s="3">
        <v>335</v>
      </c>
      <c r="AN411" s="3" t="str">
        <f>IFERROR(MID(VLOOKUP($B411,Seqs!$A:$B,2,0),AO411,1),"")</f>
        <v>D</v>
      </c>
      <c r="AO411" s="3">
        <v>342</v>
      </c>
      <c r="AP411" s="3" t="str">
        <f>IFERROR(MID(VLOOKUP($B411,Seqs!$A:$B,2,0),AQ411,1),"")</f>
        <v>F</v>
      </c>
      <c r="AQ411" s="3">
        <v>367</v>
      </c>
      <c r="AR411" s="3" t="str">
        <f>IFERROR(MID(VLOOKUP($B411,Seqs!$A:$B,2,0),AS411,1),"")</f>
        <v>Q</v>
      </c>
      <c r="AS411" s="3">
        <v>374</v>
      </c>
      <c r="AT411" s="3" t="str">
        <f>IFERROR(MID(VLOOKUP($B411,Seqs!$A:$B,2,0),AU411,1),"")</f>
        <v>L</v>
      </c>
      <c r="AU411" s="3">
        <v>403</v>
      </c>
      <c r="AV411" s="3" t="str">
        <f>IFERROR(MID(VLOOKUP($B411,Seqs!$A:$B,2,0),AW411,1),"")</f>
        <v>N</v>
      </c>
      <c r="AW411" s="3">
        <v>404</v>
      </c>
      <c r="AX411" s="3" t="str">
        <f>IFERROR(MID(VLOOKUP($B411,Seqs!$A:$B,2,0),AY411,1),"")</f>
        <v>N</v>
      </c>
      <c r="AY411" s="3">
        <v>429</v>
      </c>
      <c r="AZ411" s="77" t="str">
        <f>VLOOKUP(B411,Classification!A:D,2,0)</f>
        <v>B1</v>
      </c>
      <c r="BA411" s="94" t="str">
        <f>VLOOKUP(B411,Classification!A:D,4,0)</f>
        <v>Glucagonreceptorfamily</v>
      </c>
      <c r="BB411" s="27" t="b">
        <f t="shared" si="2542"/>
        <v>1</v>
      </c>
      <c r="BC411" s="23">
        <f t="shared" si="3549"/>
        <v>264</v>
      </c>
      <c r="BD411" s="56" t="s">
        <v>23</v>
      </c>
      <c r="BE411" s="3" t="s">
        <v>1374</v>
      </c>
      <c r="BF411" s="118">
        <v>3.3</v>
      </c>
      <c r="BG411" s="49" t="s">
        <v>1377</v>
      </c>
      <c r="BH411" s="49" t="s">
        <v>1377</v>
      </c>
      <c r="BI411" s="1"/>
      <c r="BJ411" s="70" t="s">
        <v>1287</v>
      </c>
      <c r="BK411" s="57" t="s">
        <v>1287</v>
      </c>
      <c r="BL411" s="57" t="s">
        <v>1287</v>
      </c>
      <c r="BM411" s="57" t="s">
        <v>1287</v>
      </c>
      <c r="BN411" s="57" t="s">
        <v>1287</v>
      </c>
      <c r="BO411" s="57" t="s">
        <v>1287</v>
      </c>
      <c r="BP411" s="57" t="s">
        <v>1287</v>
      </c>
      <c r="BQ411" s="57" t="s">
        <v>1287</v>
      </c>
      <c r="BR411" s="57" t="s">
        <v>1287</v>
      </c>
      <c r="BS411" s="57" t="s">
        <v>1287</v>
      </c>
      <c r="BT411" s="57" t="s">
        <v>1287</v>
      </c>
      <c r="BU411" s="57" t="s">
        <v>1287</v>
      </c>
      <c r="BV411" s="70">
        <f t="shared" si="3550"/>
        <v>125</v>
      </c>
      <c r="BW411" s="71">
        <f t="shared" si="3551"/>
        <v>167</v>
      </c>
      <c r="BX411" s="72">
        <f t="shared" si="3552"/>
        <v>171</v>
      </c>
      <c r="BY411" s="71" t="str">
        <f t="shared" si="3553"/>
        <v>-</v>
      </c>
      <c r="BZ411" s="72">
        <f t="shared" si="3554"/>
        <v>217</v>
      </c>
      <c r="CA411" s="71" t="str">
        <f t="shared" si="3555"/>
        <v>-</v>
      </c>
      <c r="CB411" s="72">
        <f t="shared" si="3556"/>
        <v>262</v>
      </c>
      <c r="CC411" s="71">
        <f t="shared" si="3557"/>
        <v>294</v>
      </c>
      <c r="CD411" s="72">
        <f t="shared" si="3558"/>
        <v>300</v>
      </c>
      <c r="CE411" s="71">
        <f t="shared" si="3559"/>
        <v>342</v>
      </c>
      <c r="CF411" s="72">
        <f t="shared" si="3560"/>
        <v>374</v>
      </c>
      <c r="CG411" s="71">
        <f t="shared" si="3561"/>
        <v>404</v>
      </c>
      <c r="CH411" s="70">
        <f t="shared" si="3562"/>
        <v>164</v>
      </c>
      <c r="CI411" s="71">
        <f t="shared" si="3563"/>
        <v>170</v>
      </c>
      <c r="CJ411" s="72">
        <f t="shared" si="3564"/>
        <v>199</v>
      </c>
      <c r="CK411" s="72" t="str">
        <f t="shared" si="3565"/>
        <v>-</v>
      </c>
      <c r="CL411" s="72">
        <f t="shared" si="3566"/>
        <v>255</v>
      </c>
      <c r="CM411" s="72" t="str">
        <f t="shared" si="3567"/>
        <v>-</v>
      </c>
      <c r="CN411" s="72">
        <f t="shared" si="3568"/>
        <v>290</v>
      </c>
      <c r="CO411" s="72">
        <f t="shared" si="3569"/>
        <v>296</v>
      </c>
      <c r="CP411" s="72">
        <f t="shared" si="3570"/>
        <v>335</v>
      </c>
      <c r="CQ411" s="72">
        <f t="shared" si="3571"/>
        <v>367</v>
      </c>
      <c r="CR411" s="72">
        <f t="shared" si="3572"/>
        <v>403</v>
      </c>
      <c r="CS411" s="72">
        <f t="shared" si="3573"/>
        <v>429</v>
      </c>
      <c r="CT411" s="23">
        <f t="shared" si="3574"/>
        <v>1</v>
      </c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  <c r="AMK411" s="1"/>
      <c r="AML411" s="1"/>
      <c r="AMM411" s="1"/>
      <c r="AMN411" s="1"/>
      <c r="AMO411" s="1"/>
    </row>
    <row r="412" spans="1:1030" x14ac:dyDescent="0.2">
      <c r="A412" s="3" t="str">
        <f t="shared" ref="A412:A456" si="3603">CONCATENATE(B412,"_",C412)</f>
        <v>glr_human_5EE7</v>
      </c>
      <c r="B412" s="3" t="s">
        <v>32</v>
      </c>
      <c r="C412" s="3" t="s">
        <v>49</v>
      </c>
      <c r="D412" s="3" t="str">
        <f>IFERROR(MID(VLOOKUP($B412,Seqs!$A:$B,2,0),E412,1),"")</f>
        <v>Y</v>
      </c>
      <c r="E412" s="3">
        <v>138</v>
      </c>
      <c r="F412" s="3" t="str">
        <f>IFERROR(MID(VLOOKUP($B412,Seqs!$A:$B,2,0),G412,1),"")</f>
        <v>L</v>
      </c>
      <c r="G412" s="3">
        <v>166</v>
      </c>
      <c r="H412" s="3" t="str">
        <f>IFERROR(MID(VLOOKUP($B412,Seqs!$A:$B,2,0),I412,1),"")</f>
        <v>S</v>
      </c>
      <c r="I412" s="23">
        <v>167</v>
      </c>
      <c r="J412" s="3" t="str">
        <f>IFERROR(MID(VLOOKUP($B412,Seqs!$A:$B,2,0),K412,1),"")</f>
        <v>H</v>
      </c>
      <c r="K412" s="23">
        <v>170</v>
      </c>
      <c r="L412" s="3" t="str">
        <f>IFERROR(MID(VLOOKUP($B412,Seqs!$A:$B,2,0),M412,1),"")</f>
        <v>C</v>
      </c>
      <c r="M412" s="23">
        <v>171</v>
      </c>
      <c r="N412" s="3" t="str">
        <f>IFERROR(MID(VLOOKUP($B412,Seqs!$A:$B,2,0),O412,1),"")</f>
        <v>R</v>
      </c>
      <c r="O412" s="3">
        <v>199</v>
      </c>
      <c r="P412" s="3" t="str">
        <f>IFERROR(MID(VLOOKUP($B412,Seqs!$A:$B,2,0),Q412,1),"")</f>
        <v/>
      </c>
      <c r="Q412" s="3" t="s">
        <v>23</v>
      </c>
      <c r="R412" s="3" t="str">
        <f>IFERROR(MID(VLOOKUP($B412,Seqs!$A:$B,2,0),S412,1),"")</f>
        <v/>
      </c>
      <c r="S412" s="3" t="s">
        <v>23</v>
      </c>
      <c r="T412" s="3" t="str">
        <f>IFERROR(MID(VLOOKUP($B412,Seqs!$A:$B,2,0),U412,1),"")</f>
        <v>D</v>
      </c>
      <c r="U412" s="3">
        <v>218</v>
      </c>
      <c r="V412" s="3" t="str">
        <f>IFERROR(MID(VLOOKUP($B412,Seqs!$A:$B,2,0),W412,1),"")</f>
        <v>G</v>
      </c>
      <c r="W412" s="3">
        <v>254</v>
      </c>
      <c r="X412" s="3" t="str">
        <f>IFERROR(MID(VLOOKUP($B412,Seqs!$A:$B,2,0),Y412,1),"")</f>
        <v/>
      </c>
      <c r="Y412" s="3" t="s">
        <v>23</v>
      </c>
      <c r="Z412" s="3" t="str">
        <f>IFERROR(MID(VLOOKUP($B412,Seqs!$A:$B,2,0),AA412,1),"")</f>
        <v/>
      </c>
      <c r="AA412" s="3" t="s">
        <v>23</v>
      </c>
      <c r="AB412" s="3" t="str">
        <f>IFERROR(MID(VLOOKUP($B412,Seqs!$A:$B,2,0),AC412,1),"")</f>
        <v>S</v>
      </c>
      <c r="AC412" s="9">
        <v>262</v>
      </c>
      <c r="AD412" s="3" t="str">
        <f>IFERROR(MID(VLOOKUP($B412,Seqs!$A:$B,2,0),AE412,1),"")</f>
        <v>E</v>
      </c>
      <c r="AE412" s="3">
        <v>290</v>
      </c>
      <c r="AF412" s="3" t="str">
        <f>IFERROR(MID(VLOOKUP($B412,Seqs!$A:$B,2,0),AG412,1),"")</f>
        <v>C</v>
      </c>
      <c r="AG412" s="3">
        <v>294</v>
      </c>
      <c r="AH412" s="3" t="str">
        <f>IFERROR(MID(VLOOKUP($B412,Seqs!$A:$B,2,0),AI412,1),"")</f>
        <v>T</v>
      </c>
      <c r="AI412" s="3">
        <v>296</v>
      </c>
      <c r="AJ412" s="3" t="str">
        <f>IFERROR(MID(VLOOKUP($B412,Seqs!$A:$B,2,0),AK412,1),"")</f>
        <v>R</v>
      </c>
      <c r="AK412" s="105">
        <v>308</v>
      </c>
      <c r="AL412" s="3" t="str">
        <f>IFERROR(MID(VLOOKUP($B412,Seqs!$A:$B,2,0),AM412,1),"")</f>
        <v>A</v>
      </c>
      <c r="AM412" s="3">
        <v>335</v>
      </c>
      <c r="AN412" s="3" t="str">
        <f>IFERROR(MID(VLOOKUP($B412,Seqs!$A:$B,2,0),AO412,1),"")</f>
        <v>D</v>
      </c>
      <c r="AO412" s="3">
        <v>342</v>
      </c>
      <c r="AP412" s="3" t="str">
        <f>IFERROR(MID(VLOOKUP($B412,Seqs!$A:$B,2,0),AQ412,1),"")</f>
        <v>D</v>
      </c>
      <c r="AQ412" s="3">
        <v>370</v>
      </c>
      <c r="AR412" s="3" t="str">
        <f>IFERROR(MID(VLOOKUP($B412,Seqs!$A:$B,2,0),AS412,1),"")</f>
        <v>S</v>
      </c>
      <c r="AS412" s="3">
        <v>379</v>
      </c>
      <c r="AT412" s="3" t="str">
        <f>IFERROR(MID(VLOOKUP($B412,Seqs!$A:$B,2,0),AU412,1),"")</f>
        <v>F</v>
      </c>
      <c r="AU412" s="3">
        <v>402</v>
      </c>
      <c r="AV412" s="3" t="str">
        <f>IFERROR(MID(VLOOKUP($B412,Seqs!$A:$B,2,0),AW412,1),"")</f>
        <v>N</v>
      </c>
      <c r="AW412" s="3">
        <v>404</v>
      </c>
      <c r="AX412" s="3" t="str">
        <f>IFERROR(MID(VLOOKUP($B412,Seqs!$A:$B,2,0),AY412,1),"")</f>
        <v>R</v>
      </c>
      <c r="AY412" s="3">
        <v>417</v>
      </c>
      <c r="AZ412" s="77" t="str">
        <f>VLOOKUP(B412,Classification!A:D,2,0)</f>
        <v>B1</v>
      </c>
      <c r="BA412" s="94" t="str">
        <f>VLOOKUP(B412,Classification!A:D,4,0)</f>
        <v>Glucagonreceptorfamily</v>
      </c>
      <c r="BB412" s="27" t="b">
        <f t="shared" ref="BB412:BB456" si="3604">AND(E412&lt;G412,OR(G412&lt;I412,I412="-"),OR(I412&lt;K412,I412="-"),OR(K412&lt;M412,K412="-"),M412&lt;O412,OR(O412&lt;Q412,Q412="-"),OR(Q412&lt;S412,Q412="-"),OR(S412&lt;U412,S412="-"),U412&lt;W412,OR(W412&lt;Y412,Y412="-"),OR(Y412&lt;AA412,Y412="-"),OR(AA412&lt;AC412,AA412="-"),AC412&lt;AE412,OR(AE412&lt;AG412,AG412="-"),OR(AG412&lt;AI412,AG412="-"),OR(AI412&lt;AK412,AI412="-"),AK412&lt;AM412,AM412&lt;AO412,AO412&lt;AQ412,AQ412&lt;AS412,AS412&lt;AU412,OR(AU412&lt;AW412,AW412="-"),OR(AW412&lt;AY412,AW412="-"))</f>
        <v>1</v>
      </c>
      <c r="BC412" s="23">
        <f t="shared" si="3549"/>
        <v>228</v>
      </c>
      <c r="BD412" s="4" t="s">
        <v>23</v>
      </c>
      <c r="BE412" s="3" t="s">
        <v>1374</v>
      </c>
      <c r="BF412" s="118">
        <v>2.5</v>
      </c>
      <c r="BG412" s="49" t="s">
        <v>1377</v>
      </c>
      <c r="BH412" s="49" t="s">
        <v>1377</v>
      </c>
      <c r="BI412" s="1"/>
      <c r="BJ412" s="70" t="s">
        <v>1287</v>
      </c>
      <c r="BK412" s="57" t="s">
        <v>1287</v>
      </c>
      <c r="BL412" s="57" t="s">
        <v>1287</v>
      </c>
      <c r="BM412" s="57" t="s">
        <v>1287</v>
      </c>
      <c r="BN412" s="57" t="s">
        <v>1287</v>
      </c>
      <c r="BO412" s="57" t="s">
        <v>1287</v>
      </c>
      <c r="BP412" s="57" t="s">
        <v>1287</v>
      </c>
      <c r="BQ412" s="57" t="s">
        <v>1287</v>
      </c>
      <c r="BR412" s="57" t="s">
        <v>1287</v>
      </c>
      <c r="BS412" s="57" t="s">
        <v>1287</v>
      </c>
      <c r="BT412" s="57" t="s">
        <v>1287</v>
      </c>
      <c r="BU412" s="57" t="s">
        <v>1287</v>
      </c>
      <c r="BV412" s="70">
        <f t="shared" si="3550"/>
        <v>138</v>
      </c>
      <c r="BW412" s="71">
        <f t="shared" si="3551"/>
        <v>167</v>
      </c>
      <c r="BX412" s="72">
        <f t="shared" si="3552"/>
        <v>171</v>
      </c>
      <c r="BY412" s="71" t="str">
        <f t="shared" si="3553"/>
        <v>-</v>
      </c>
      <c r="BZ412" s="72">
        <f t="shared" si="3554"/>
        <v>218</v>
      </c>
      <c r="CA412" s="71" t="str">
        <f t="shared" si="3555"/>
        <v>-</v>
      </c>
      <c r="CB412" s="72">
        <f t="shared" si="3556"/>
        <v>262</v>
      </c>
      <c r="CC412" s="71">
        <f t="shared" si="3557"/>
        <v>294</v>
      </c>
      <c r="CD412" s="72">
        <f t="shared" si="3558"/>
        <v>308</v>
      </c>
      <c r="CE412" s="71">
        <f t="shared" si="3559"/>
        <v>342</v>
      </c>
      <c r="CF412" s="72">
        <f t="shared" si="3560"/>
        <v>379</v>
      </c>
      <c r="CG412" s="71">
        <f t="shared" si="3561"/>
        <v>404</v>
      </c>
      <c r="CH412" s="70">
        <f t="shared" si="3562"/>
        <v>166</v>
      </c>
      <c r="CI412" s="71">
        <f t="shared" si="3563"/>
        <v>170</v>
      </c>
      <c r="CJ412" s="72">
        <f t="shared" si="3564"/>
        <v>199</v>
      </c>
      <c r="CK412" s="72" t="str">
        <f t="shared" si="3565"/>
        <v>-</v>
      </c>
      <c r="CL412" s="72">
        <f t="shared" si="3566"/>
        <v>254</v>
      </c>
      <c r="CM412" s="72" t="str">
        <f t="shared" si="3567"/>
        <v>-</v>
      </c>
      <c r="CN412" s="72">
        <f t="shared" si="3568"/>
        <v>290</v>
      </c>
      <c r="CO412" s="72">
        <f t="shared" si="3569"/>
        <v>296</v>
      </c>
      <c r="CP412" s="72">
        <f t="shared" si="3570"/>
        <v>335</v>
      </c>
      <c r="CQ412" s="72">
        <f t="shared" si="3571"/>
        <v>370</v>
      </c>
      <c r="CR412" s="72">
        <f t="shared" si="3572"/>
        <v>402</v>
      </c>
      <c r="CS412" s="72">
        <f t="shared" si="3573"/>
        <v>417</v>
      </c>
      <c r="CT412" s="23">
        <f t="shared" si="3574"/>
        <v>1</v>
      </c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  <c r="AMK412" s="1"/>
      <c r="AML412" s="1"/>
      <c r="AMM412" s="1"/>
      <c r="AMN412" s="1"/>
      <c r="AMO412" s="1"/>
    </row>
    <row r="413" spans="1:1030" x14ac:dyDescent="0.2">
      <c r="A413" s="3" t="str">
        <f t="shared" ref="A413:A428" si="3605">CONCATENATE(B413,"_",C413)</f>
        <v>glr_human_5XEZ</v>
      </c>
      <c r="B413" s="3" t="s">
        <v>32</v>
      </c>
      <c r="C413" s="3" t="s">
        <v>1409</v>
      </c>
      <c r="D413" s="3" t="str">
        <f>IFERROR(MID(VLOOKUP($B413,Seqs!$A:$B,2,0),E413,1),"")</f>
        <v>Q</v>
      </c>
      <c r="E413" s="3">
        <v>131</v>
      </c>
      <c r="F413" s="3" t="str">
        <f>IFERROR(MID(VLOOKUP($B413,Seqs!$A:$B,2,0),G413,1),"")</f>
        <v>G</v>
      </c>
      <c r="G413" s="3">
        <v>164</v>
      </c>
      <c r="H413" s="3" t="str">
        <f>IFERROR(MID(VLOOKUP($B413,Seqs!$A:$B,2,0),I413,1),"")</f>
        <v>S</v>
      </c>
      <c r="I413" s="23">
        <v>167</v>
      </c>
      <c r="J413" s="3" t="str">
        <f>IFERROR(MID(VLOOKUP($B413,Seqs!$A:$B,2,0),K413,1),"")</f>
        <v>H</v>
      </c>
      <c r="K413" s="23">
        <v>170</v>
      </c>
      <c r="L413" s="3" t="str">
        <f>IFERROR(MID(VLOOKUP($B413,Seqs!$A:$B,2,0),M413,1),"")</f>
        <v>C</v>
      </c>
      <c r="M413" s="23">
        <v>171</v>
      </c>
      <c r="N413" s="3" t="str">
        <f>IFERROR(MID(VLOOKUP($B413,Seqs!$A:$B,2,0),O413,1),"")</f>
        <v>R</v>
      </c>
      <c r="O413" s="3">
        <v>201</v>
      </c>
      <c r="P413" s="3" t="str">
        <f>IFERROR(MID(VLOOKUP($B413,Seqs!$A:$B,2,0),Q413,1),"")</f>
        <v/>
      </c>
      <c r="Q413" s="3" t="s">
        <v>23</v>
      </c>
      <c r="R413" s="3" t="str">
        <f>IFERROR(MID(VLOOKUP($B413,Seqs!$A:$B,2,0),S413,1),"")</f>
        <v/>
      </c>
      <c r="S413" s="3" t="s">
        <v>23</v>
      </c>
      <c r="T413" s="3" t="str">
        <f>IFERROR(MID(VLOOKUP($B413,Seqs!$A:$B,2,0),U413,1),"")</f>
        <v>S</v>
      </c>
      <c r="U413" s="3">
        <v>217</v>
      </c>
      <c r="V413" s="3" t="str">
        <f>IFERROR(MID(VLOOKUP($B413,Seqs!$A:$B,2,0),W413,1),"")</f>
        <v>L</v>
      </c>
      <c r="W413" s="3">
        <v>255</v>
      </c>
      <c r="X413" s="3" t="str">
        <f>IFERROR(MID(VLOOKUP($B413,Seqs!$A:$B,2,0),Y413,1),"")</f>
        <v/>
      </c>
      <c r="Y413" s="3" t="s">
        <v>23</v>
      </c>
      <c r="Z413" s="3" t="str">
        <f>IFERROR(MID(VLOOKUP($B413,Seqs!$A:$B,2,0),AA413,1),"")</f>
        <v/>
      </c>
      <c r="AA413" s="3" t="s">
        <v>23</v>
      </c>
      <c r="AB413" s="3" t="str">
        <f>IFERROR(MID(VLOOKUP($B413,Seqs!$A:$B,2,0),AC413,1),"")</f>
        <v>E</v>
      </c>
      <c r="AC413" s="3">
        <v>260</v>
      </c>
      <c r="AD413" s="3" t="str">
        <f>IFERROR(MID(VLOOKUP($B413,Seqs!$A:$B,2,0),AE413,1),"")</f>
        <v>E</v>
      </c>
      <c r="AE413" s="3">
        <v>290</v>
      </c>
      <c r="AF413" s="3" t="str">
        <f>IFERROR(MID(VLOOKUP($B413,Seqs!$A:$B,2,0),AG413,1),"")</f>
        <v>C</v>
      </c>
      <c r="AG413" s="3">
        <v>294</v>
      </c>
      <c r="AH413" s="3" t="str">
        <f>IFERROR(MID(VLOOKUP($B413,Seqs!$A:$B,2,0),AI413,1),"")</f>
        <v>T</v>
      </c>
      <c r="AI413" s="3">
        <v>296</v>
      </c>
      <c r="AJ413" s="3" t="str">
        <f>IFERROR(MID(VLOOKUP($B413,Seqs!$A:$B,2,0),AK413,1),"")</f>
        <v>D</v>
      </c>
      <c r="AK413" s="3">
        <v>299</v>
      </c>
      <c r="AL413" s="3" t="str">
        <f>IFERROR(MID(VLOOKUP($B413,Seqs!$A:$B,2,0),AM413,1),"")</f>
        <v>R</v>
      </c>
      <c r="AM413" s="3">
        <v>334</v>
      </c>
      <c r="AN413" s="3" t="str">
        <f>IFERROR(MID(VLOOKUP($B413,Seqs!$A:$B,2,0),AO413,1),"")</f>
        <v>D</v>
      </c>
      <c r="AO413" s="3">
        <v>342</v>
      </c>
      <c r="AP413" s="3" t="str">
        <f>IFERROR(MID(VLOOKUP($B413,Seqs!$A:$B,2,0),AQ413,1),"")</f>
        <v>F</v>
      </c>
      <c r="AQ413" s="3">
        <v>367</v>
      </c>
      <c r="AR413" s="3" t="str">
        <f>IFERROR(MID(VLOOKUP($B413,Seqs!$A:$B,2,0),AS413,1),"")</f>
        <v>G</v>
      </c>
      <c r="AS413" s="3">
        <v>375</v>
      </c>
      <c r="AT413" s="3" t="str">
        <f>IFERROR(MID(VLOOKUP($B413,Seqs!$A:$B,2,0),AU413,1),"")</f>
        <v>L</v>
      </c>
      <c r="AU413" s="3">
        <v>403</v>
      </c>
      <c r="AV413" s="3" t="str">
        <f>IFERROR(MID(VLOOKUP($B413,Seqs!$A:$B,2,0),AW413,1),"")</f>
        <v>N</v>
      </c>
      <c r="AW413" s="3">
        <v>404</v>
      </c>
      <c r="AX413" s="3" t="str">
        <f>IFERROR(MID(VLOOKUP($B413,Seqs!$A:$B,2,0),AY413,1),"")</f>
        <v>W</v>
      </c>
      <c r="AY413" s="3">
        <v>415</v>
      </c>
      <c r="AZ413" s="77" t="str">
        <f>VLOOKUP(B413,Classification!A:D,2,0)</f>
        <v>B1</v>
      </c>
      <c r="BA413" s="94" t="str">
        <f>VLOOKUP(B413,Classification!A:D,4,0)</f>
        <v>Glucagonreceptorfamily</v>
      </c>
      <c r="BB413" s="27" t="b">
        <f t="shared" ref="BB413:BB428" si="3606">AND(E413&lt;G413,OR(G413&lt;I413,I413="-"),OR(I413&lt;K413,I413="-"),OR(K413&lt;M413,K413="-"),M413&lt;O413,OR(O413&lt;Q413,Q413="-"),OR(Q413&lt;S413,Q413="-"),OR(S413&lt;U413,S413="-"),U413&lt;W413,OR(W413&lt;Y413,Y413="-"),OR(Y413&lt;AA413,Y413="-"),OR(AA413&lt;AC413,AA413="-"),AC413&lt;AE413,OR(AE413&lt;AG413,AG413="-"),OR(AG413&lt;AI413,AG413="-"),OR(AI413&lt;AK413,AI413="-"),AK413&lt;AM413,AM413&lt;AO413,AO413&lt;AQ413,AQ413&lt;AS413,AS413&lt;AU413,OR(AU413&lt;AW413,AW413="-"),OR(AW413&lt;AY413,AW413="-"))</f>
        <v>1</v>
      </c>
      <c r="BC413" s="23">
        <f t="shared" ref="BC413:BC428" si="3607">_xlfn.AGGREGATE(9,6,CH413:CS413)-_xlfn.AGGREGATE(9,6,BV413:CG413)+12</f>
        <v>247</v>
      </c>
      <c r="BD413" s="4" t="s">
        <v>1376</v>
      </c>
      <c r="BE413" s="3" t="s">
        <v>1374</v>
      </c>
      <c r="BF413" s="118">
        <v>3</v>
      </c>
      <c r="BG413" s="49" t="s">
        <v>1281</v>
      </c>
      <c r="BH413" s="49" t="s">
        <v>1281</v>
      </c>
      <c r="BI413" s="1"/>
      <c r="BJ413" s="70" t="s">
        <v>1287</v>
      </c>
      <c r="BK413" s="57" t="s">
        <v>1287</v>
      </c>
      <c r="BL413" s="57" t="s">
        <v>1287</v>
      </c>
      <c r="BM413" s="57" t="s">
        <v>1287</v>
      </c>
      <c r="BN413" s="57" t="s">
        <v>1287</v>
      </c>
      <c r="BO413" s="57" t="s">
        <v>1287</v>
      </c>
      <c r="BP413" s="57" t="s">
        <v>1287</v>
      </c>
      <c r="BQ413" s="57" t="s">
        <v>1287</v>
      </c>
      <c r="BR413" s="57" t="s">
        <v>1287</v>
      </c>
      <c r="BS413" s="57" t="s">
        <v>1287</v>
      </c>
      <c r="BT413" s="57" t="s">
        <v>1287</v>
      </c>
      <c r="BU413" s="57" t="s">
        <v>1287</v>
      </c>
      <c r="BV413" s="70">
        <f t="shared" ref="BV413:BV428" si="3608">E413</f>
        <v>131</v>
      </c>
      <c r="BW413" s="71">
        <f t="shared" ref="BW413:BW428" si="3609">I413</f>
        <v>167</v>
      </c>
      <c r="BX413" s="72">
        <f t="shared" ref="BX413:BX428" si="3610">M413</f>
        <v>171</v>
      </c>
      <c r="BY413" s="71" t="str">
        <f t="shared" ref="BY413:BY428" si="3611">Q413</f>
        <v>-</v>
      </c>
      <c r="BZ413" s="72">
        <f t="shared" ref="BZ413:BZ428" si="3612">U413</f>
        <v>217</v>
      </c>
      <c r="CA413" s="71" t="str">
        <f t="shared" ref="CA413:CA428" si="3613">Y413</f>
        <v>-</v>
      </c>
      <c r="CB413" s="72">
        <f t="shared" ref="CB413:CB428" si="3614">AC413</f>
        <v>260</v>
      </c>
      <c r="CC413" s="71">
        <f t="shared" ref="CC413:CC428" si="3615">AG413</f>
        <v>294</v>
      </c>
      <c r="CD413" s="72">
        <f t="shared" ref="CD413:CD428" si="3616">AK413</f>
        <v>299</v>
      </c>
      <c r="CE413" s="71">
        <f t="shared" ref="CE413:CE428" si="3617">AO413</f>
        <v>342</v>
      </c>
      <c r="CF413" s="72">
        <f t="shared" ref="CF413:CF428" si="3618">AS413</f>
        <v>375</v>
      </c>
      <c r="CG413" s="71">
        <f t="shared" ref="CG413:CG428" si="3619">AW413</f>
        <v>404</v>
      </c>
      <c r="CH413" s="70">
        <f t="shared" ref="CH413:CH428" si="3620">G413</f>
        <v>164</v>
      </c>
      <c r="CI413" s="71">
        <f t="shared" ref="CI413:CI428" si="3621">K413</f>
        <v>170</v>
      </c>
      <c r="CJ413" s="72">
        <f t="shared" ref="CJ413:CJ428" si="3622">O413</f>
        <v>201</v>
      </c>
      <c r="CK413" s="72" t="str">
        <f t="shared" ref="CK413:CK428" si="3623">S413</f>
        <v>-</v>
      </c>
      <c r="CL413" s="72">
        <f t="shared" ref="CL413:CL428" si="3624">W413</f>
        <v>255</v>
      </c>
      <c r="CM413" s="72" t="str">
        <f t="shared" ref="CM413:CM428" si="3625">AA413</f>
        <v>-</v>
      </c>
      <c r="CN413" s="72">
        <f t="shared" ref="CN413:CN428" si="3626">AE413</f>
        <v>290</v>
      </c>
      <c r="CO413" s="72">
        <f t="shared" ref="CO413:CO428" si="3627">AI413</f>
        <v>296</v>
      </c>
      <c r="CP413" s="72">
        <f t="shared" ref="CP413:CP428" si="3628">AM413</f>
        <v>334</v>
      </c>
      <c r="CQ413" s="72">
        <f t="shared" ref="CQ413:CQ428" si="3629">AQ413</f>
        <v>367</v>
      </c>
      <c r="CR413" s="72">
        <f t="shared" ref="CR413:CR428" si="3630">AU413</f>
        <v>403</v>
      </c>
      <c r="CS413" s="72">
        <f t="shared" ref="CS413:CS428" si="3631">AY413</f>
        <v>415</v>
      </c>
      <c r="CT413" s="23">
        <f t="shared" ref="CT413:CT428" si="3632">M413-K413</f>
        <v>1</v>
      </c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  <c r="AMK413" s="1"/>
      <c r="AML413" s="1"/>
      <c r="AMM413" s="1"/>
      <c r="AMN413" s="1"/>
      <c r="AMO413" s="1"/>
    </row>
    <row r="414" spans="1:1030" x14ac:dyDescent="0.2">
      <c r="A414" s="3" t="str">
        <f t="shared" si="3605"/>
        <v>glr_human_5XF1</v>
      </c>
      <c r="B414" s="3" t="s">
        <v>32</v>
      </c>
      <c r="C414" s="3" t="s">
        <v>1410</v>
      </c>
      <c r="D414" s="3" t="str">
        <f>IFERROR(MID(VLOOKUP($B414,Seqs!$A:$B,2,0),E414,1),"")</f>
        <v>Q</v>
      </c>
      <c r="E414" s="3">
        <v>131</v>
      </c>
      <c r="F414" s="3" t="str">
        <f>IFERROR(MID(VLOOKUP($B414,Seqs!$A:$B,2,0),G414,1),"")</f>
        <v>L</v>
      </c>
      <c r="G414" s="3">
        <v>166</v>
      </c>
      <c r="H414" s="3" t="str">
        <f>IFERROR(MID(VLOOKUP($B414,Seqs!$A:$B,2,0),I414,1),"")</f>
        <v>S</v>
      </c>
      <c r="I414" s="23">
        <v>167</v>
      </c>
      <c r="J414" s="3" t="str">
        <f>IFERROR(MID(VLOOKUP($B414,Seqs!$A:$B,2,0),K414,1),"")</f>
        <v>H</v>
      </c>
      <c r="K414" s="23">
        <v>170</v>
      </c>
      <c r="L414" s="3" t="str">
        <f>IFERROR(MID(VLOOKUP($B414,Seqs!$A:$B,2,0),M414,1),"")</f>
        <v>N</v>
      </c>
      <c r="M414" s="23">
        <v>174</v>
      </c>
      <c r="N414" s="3" t="str">
        <f>IFERROR(MID(VLOOKUP($B414,Seqs!$A:$B,2,0),O414,1),"")</f>
        <v>R</v>
      </c>
      <c r="O414" s="3">
        <v>201</v>
      </c>
      <c r="P414" s="3" t="str">
        <f>IFERROR(MID(VLOOKUP($B414,Seqs!$A:$B,2,0),Q414,1),"")</f>
        <v/>
      </c>
      <c r="Q414" s="3" t="s">
        <v>23</v>
      </c>
      <c r="R414" s="3" t="str">
        <f>IFERROR(MID(VLOOKUP($B414,Seqs!$A:$B,2,0),S414,1),"")</f>
        <v/>
      </c>
      <c r="S414" s="3" t="s">
        <v>23</v>
      </c>
      <c r="T414" s="3" t="str">
        <f>IFERROR(MID(VLOOKUP($B414,Seqs!$A:$B,2,0),U414,1),"")</f>
        <v>S</v>
      </c>
      <c r="U414" s="3">
        <v>217</v>
      </c>
      <c r="V414" s="3" t="str">
        <f>IFERROR(MID(VLOOKUP($B414,Seqs!$A:$B,2,0),W414,1),"")</f>
        <v>L</v>
      </c>
      <c r="W414" s="3">
        <v>255</v>
      </c>
      <c r="X414" s="3" t="str">
        <f>IFERROR(MID(VLOOKUP($B414,Seqs!$A:$B,2,0),Y414,1),"")</f>
        <v/>
      </c>
      <c r="Y414" s="3" t="s">
        <v>23</v>
      </c>
      <c r="Z414" s="3" t="str">
        <f>IFERROR(MID(VLOOKUP($B414,Seqs!$A:$B,2,0),AA414,1),"")</f>
        <v/>
      </c>
      <c r="AA414" s="3" t="s">
        <v>23</v>
      </c>
      <c r="AB414" s="3" t="str">
        <f>IFERROR(MID(VLOOKUP($B414,Seqs!$A:$B,2,0),AC414,1),"")</f>
        <v>R</v>
      </c>
      <c r="AC414" s="3">
        <v>261</v>
      </c>
      <c r="AD414" s="3" t="str">
        <f>IFERROR(MID(VLOOKUP($B414,Seqs!$A:$B,2,0),AE414,1),"")</f>
        <v>F</v>
      </c>
      <c r="AE414" s="3">
        <v>289</v>
      </c>
      <c r="AF414" s="3" t="str">
        <f>IFERROR(MID(VLOOKUP($B414,Seqs!$A:$B,2,0),AG414,1),"")</f>
        <v>C</v>
      </c>
      <c r="AG414" s="3">
        <v>294</v>
      </c>
      <c r="AH414" s="3" t="str">
        <f>IFERROR(MID(VLOOKUP($B414,Seqs!$A:$B,2,0),AI414,1),"")</f>
        <v>T</v>
      </c>
      <c r="AI414" s="3">
        <v>296</v>
      </c>
      <c r="AJ414" s="3" t="str">
        <f>IFERROR(MID(VLOOKUP($B414,Seqs!$A:$B,2,0),AK414,1),"")</f>
        <v>D</v>
      </c>
      <c r="AK414" s="3">
        <v>299</v>
      </c>
      <c r="AL414" s="3" t="str">
        <f>IFERROR(MID(VLOOKUP($B414,Seqs!$A:$B,2,0),AM414,1),"")</f>
        <v>L</v>
      </c>
      <c r="AM414" s="3">
        <v>333</v>
      </c>
      <c r="AN414" s="3" t="str">
        <f>IFERROR(MID(VLOOKUP($B414,Seqs!$A:$B,2,0),AO414,1),"")</f>
        <v>D</v>
      </c>
      <c r="AO414" s="3">
        <v>342</v>
      </c>
      <c r="AP414" s="3" t="str">
        <f>IFERROR(MID(VLOOKUP($B414,Seqs!$A:$B,2,0),AQ414,1),"")</f>
        <v>V</v>
      </c>
      <c r="AQ414" s="3">
        <v>368</v>
      </c>
      <c r="AR414" s="3" t="str">
        <f>IFERROR(MID(VLOOKUP($B414,Seqs!$A:$B,2,0),AS414,1),"")</f>
        <v>L</v>
      </c>
      <c r="AS414" s="3">
        <v>377</v>
      </c>
      <c r="AT414" s="3" t="str">
        <f>IFERROR(MID(VLOOKUP($B414,Seqs!$A:$B,2,0),AU414,1),"")</f>
        <v>L</v>
      </c>
      <c r="AU414" s="3">
        <v>403</v>
      </c>
      <c r="AV414" s="3" t="str">
        <f>IFERROR(MID(VLOOKUP($B414,Seqs!$A:$B,2,0),AW414,1),"")</f>
        <v>N</v>
      </c>
      <c r="AW414" s="3">
        <v>404</v>
      </c>
      <c r="AX414" s="3" t="str">
        <f>IFERROR(MID(VLOOKUP($B414,Seqs!$A:$B,2,0),AY414,1),"")</f>
        <v>W</v>
      </c>
      <c r="AY414" s="3">
        <v>415</v>
      </c>
      <c r="AZ414" s="77" t="str">
        <f>VLOOKUP(B414,Classification!A:D,2,0)</f>
        <v>B1</v>
      </c>
      <c r="BA414" s="94" t="str">
        <f>VLOOKUP(B414,Classification!A:D,4,0)</f>
        <v>Glucagonreceptorfamily</v>
      </c>
      <c r="BB414" s="27" t="b">
        <f t="shared" si="3606"/>
        <v>1</v>
      </c>
      <c r="BC414" s="23">
        <f t="shared" si="3607"/>
        <v>242</v>
      </c>
      <c r="BD414" s="4" t="s">
        <v>23</v>
      </c>
      <c r="BE414" s="3" t="s">
        <v>1374</v>
      </c>
      <c r="BF414" s="118">
        <v>3.19</v>
      </c>
      <c r="BG414" s="49" t="s">
        <v>1281</v>
      </c>
      <c r="BH414" s="49" t="s">
        <v>1281</v>
      </c>
      <c r="BI414" s="1"/>
      <c r="BJ414" s="70" t="s">
        <v>1287</v>
      </c>
      <c r="BK414" s="57" t="s">
        <v>1287</v>
      </c>
      <c r="BL414" s="57" t="s">
        <v>1287</v>
      </c>
      <c r="BM414" s="57" t="s">
        <v>1287</v>
      </c>
      <c r="BN414" s="57" t="s">
        <v>1287</v>
      </c>
      <c r="BO414" s="57" t="s">
        <v>1287</v>
      </c>
      <c r="BP414" s="57" t="s">
        <v>1287</v>
      </c>
      <c r="BQ414" s="57" t="s">
        <v>1287</v>
      </c>
      <c r="BR414" s="57" t="s">
        <v>1287</v>
      </c>
      <c r="BS414" s="57" t="s">
        <v>1287</v>
      </c>
      <c r="BT414" s="57" t="s">
        <v>1287</v>
      </c>
      <c r="BU414" s="57" t="s">
        <v>1287</v>
      </c>
      <c r="BV414" s="70">
        <f t="shared" si="3608"/>
        <v>131</v>
      </c>
      <c r="BW414" s="71">
        <f t="shared" si="3609"/>
        <v>167</v>
      </c>
      <c r="BX414" s="72">
        <f t="shared" si="3610"/>
        <v>174</v>
      </c>
      <c r="BY414" s="71" t="str">
        <f t="shared" si="3611"/>
        <v>-</v>
      </c>
      <c r="BZ414" s="72">
        <f t="shared" si="3612"/>
        <v>217</v>
      </c>
      <c r="CA414" s="71" t="str">
        <f t="shared" si="3613"/>
        <v>-</v>
      </c>
      <c r="CB414" s="72">
        <f t="shared" si="3614"/>
        <v>261</v>
      </c>
      <c r="CC414" s="71">
        <f t="shared" si="3615"/>
        <v>294</v>
      </c>
      <c r="CD414" s="72">
        <f t="shared" si="3616"/>
        <v>299</v>
      </c>
      <c r="CE414" s="71">
        <f t="shared" si="3617"/>
        <v>342</v>
      </c>
      <c r="CF414" s="72">
        <f t="shared" si="3618"/>
        <v>377</v>
      </c>
      <c r="CG414" s="71">
        <f t="shared" si="3619"/>
        <v>404</v>
      </c>
      <c r="CH414" s="70">
        <f t="shared" si="3620"/>
        <v>166</v>
      </c>
      <c r="CI414" s="71">
        <f t="shared" si="3621"/>
        <v>170</v>
      </c>
      <c r="CJ414" s="72">
        <f t="shared" si="3622"/>
        <v>201</v>
      </c>
      <c r="CK414" s="72" t="str">
        <f t="shared" si="3623"/>
        <v>-</v>
      </c>
      <c r="CL414" s="72">
        <f t="shared" si="3624"/>
        <v>255</v>
      </c>
      <c r="CM414" s="72" t="str">
        <f t="shared" si="3625"/>
        <v>-</v>
      </c>
      <c r="CN414" s="72">
        <f t="shared" si="3626"/>
        <v>289</v>
      </c>
      <c r="CO414" s="72">
        <f t="shared" si="3627"/>
        <v>296</v>
      </c>
      <c r="CP414" s="72">
        <f t="shared" si="3628"/>
        <v>333</v>
      </c>
      <c r="CQ414" s="72">
        <f t="shared" si="3629"/>
        <v>368</v>
      </c>
      <c r="CR414" s="72">
        <f t="shared" si="3630"/>
        <v>403</v>
      </c>
      <c r="CS414" s="72">
        <f t="shared" si="3631"/>
        <v>415</v>
      </c>
      <c r="CT414" s="23">
        <f t="shared" si="3632"/>
        <v>4</v>
      </c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  <c r="AMK414" s="1"/>
      <c r="AML414" s="1"/>
      <c r="AMM414" s="1"/>
      <c r="AMN414" s="1"/>
      <c r="AMO414" s="1"/>
    </row>
    <row r="415" spans="1:1030" x14ac:dyDescent="0.2">
      <c r="A415" s="3" t="str">
        <f t="shared" si="3605"/>
        <v>glr_human_5YQZ</v>
      </c>
      <c r="B415" s="3" t="s">
        <v>32</v>
      </c>
      <c r="C415" s="3" t="s">
        <v>1462</v>
      </c>
      <c r="D415" s="3" t="str">
        <f>IFERROR(MID(VLOOKUP($B415,Seqs!$A:$B,2,0),E415,1),"")</f>
        <v>D</v>
      </c>
      <c r="E415" s="3">
        <v>124</v>
      </c>
      <c r="F415" s="3" t="str">
        <f>IFERROR(MID(VLOOKUP($B415,Seqs!$A:$B,2,0),G415,1),"")</f>
        <v>L</v>
      </c>
      <c r="G415" s="3">
        <v>166</v>
      </c>
      <c r="H415" s="3" t="str">
        <f>IFERROR(MID(VLOOKUP($B415,Seqs!$A:$B,2,0),I415,1),"")</f>
        <v>S</v>
      </c>
      <c r="I415" s="23">
        <v>167</v>
      </c>
      <c r="J415" s="3" t="str">
        <f>IFERROR(MID(VLOOKUP($B415,Seqs!$A:$B,2,0),K415,1),"")</f>
        <v>H</v>
      </c>
      <c r="K415" s="23">
        <v>170</v>
      </c>
      <c r="L415" s="3" t="str">
        <f>IFERROR(MID(VLOOKUP($B415,Seqs!$A:$B,2,0),M415,1),"")</f>
        <v>C</v>
      </c>
      <c r="M415" s="23">
        <v>171</v>
      </c>
      <c r="N415" s="3" t="str">
        <f>IFERROR(MID(VLOOKUP($B415,Seqs!$A:$B,2,0),O415,1),"")</f>
        <v>S</v>
      </c>
      <c r="O415" s="3">
        <v>203</v>
      </c>
      <c r="P415" s="3" t="str">
        <f>IFERROR(MID(VLOOKUP($B415,Seqs!$A:$B,2,0),Q415,1),"")</f>
        <v/>
      </c>
      <c r="Q415" s="3" t="s">
        <v>23</v>
      </c>
      <c r="R415" s="3" t="str">
        <f>IFERROR(MID(VLOOKUP($B415,Seqs!$A:$B,2,0),S415,1),"")</f>
        <v/>
      </c>
      <c r="S415" s="3" t="s">
        <v>23</v>
      </c>
      <c r="T415" s="3" t="str">
        <f>IFERROR(MID(VLOOKUP($B415,Seqs!$A:$B,2,0),U415,1),"")</f>
        <v>A</v>
      </c>
      <c r="U415" s="3">
        <v>220</v>
      </c>
      <c r="V415" s="3" t="str">
        <f>IFERROR(MID(VLOOKUP($B415,Seqs!$A:$B,2,0),W415,1),"")</f>
        <v>L</v>
      </c>
      <c r="W415" s="3">
        <v>255</v>
      </c>
      <c r="X415" s="3" t="str">
        <f>IFERROR(MID(VLOOKUP($B415,Seqs!$A:$B,2,0),Y415,1),"")</f>
        <v/>
      </c>
      <c r="Y415" s="3" t="s">
        <v>23</v>
      </c>
      <c r="Z415" s="3" t="str">
        <f>IFERROR(MID(VLOOKUP($B415,Seqs!$A:$B,2,0),AA415,1),"")</f>
        <v/>
      </c>
      <c r="AA415" s="3" t="s">
        <v>23</v>
      </c>
      <c r="AB415" s="3" t="str">
        <f>IFERROR(MID(VLOOKUP($B415,Seqs!$A:$B,2,0),AC415,1),"")</f>
        <v>F</v>
      </c>
      <c r="AC415" s="3">
        <v>263</v>
      </c>
      <c r="AD415" s="3" t="str">
        <f>IFERROR(MID(VLOOKUP($B415,Seqs!$A:$B,2,0),AE415,1),"")</f>
        <v>E</v>
      </c>
      <c r="AE415" s="3">
        <v>290</v>
      </c>
      <c r="AF415" s="3" t="str">
        <f>IFERROR(MID(VLOOKUP($B415,Seqs!$A:$B,2,0),AG415,1),"")</f>
        <v>C</v>
      </c>
      <c r="AG415" s="3">
        <v>294</v>
      </c>
      <c r="AH415" s="3" t="str">
        <f>IFERROR(MID(VLOOKUP($B415,Seqs!$A:$B,2,0),AI415,1),"")</f>
        <v>T</v>
      </c>
      <c r="AI415" s="3">
        <v>296</v>
      </c>
      <c r="AJ415" s="3" t="str">
        <f>IFERROR(MID(VLOOKUP($B415,Seqs!$A:$B,2,0),AK415,1),"")</f>
        <v>F</v>
      </c>
      <c r="AK415" s="3">
        <v>303</v>
      </c>
      <c r="AL415" s="3" t="str">
        <f>IFERROR(MID(VLOOKUP($B415,Seqs!$A:$B,2,0),AM415,1),"")</f>
        <v>A</v>
      </c>
      <c r="AM415" s="3">
        <v>335</v>
      </c>
      <c r="AN415" s="3" t="str">
        <f>IFERROR(MID(VLOOKUP($B415,Seqs!$A:$B,2,0),AO415,1),"")</f>
        <v>D</v>
      </c>
      <c r="AO415" s="3">
        <v>342</v>
      </c>
      <c r="AP415" s="3" t="str">
        <f>IFERROR(MID(VLOOKUP($B415,Seqs!$A:$B,2,0),AQ415,1),"")</f>
        <v>T</v>
      </c>
      <c r="AQ415" s="3">
        <v>369</v>
      </c>
      <c r="AR415" s="3" t="str">
        <f>IFERROR(MID(VLOOKUP($B415,Seqs!$A:$B,2,0),AS415,1),"")</f>
        <v>G</v>
      </c>
      <c r="AS415" s="3">
        <v>375</v>
      </c>
      <c r="AT415" s="3" t="str">
        <f>IFERROR(MID(VLOOKUP($B415,Seqs!$A:$B,2,0),AU415,1),"")</f>
        <v>L</v>
      </c>
      <c r="AU415" s="3">
        <v>403</v>
      </c>
      <c r="AV415" s="3" t="str">
        <f>IFERROR(MID(VLOOKUP($B415,Seqs!$A:$B,2,0),AW415,1),"")</f>
        <v>N</v>
      </c>
      <c r="AW415" s="3">
        <v>404</v>
      </c>
      <c r="AX415" s="3" t="str">
        <f>IFERROR(MID(VLOOKUP($B415,Seqs!$A:$B,2,0),AY415,1),"")</f>
        <v>E</v>
      </c>
      <c r="AY415" s="3">
        <v>426</v>
      </c>
      <c r="AZ415" s="77" t="str">
        <f>VLOOKUP(B415,Classification!A:D,2,0)</f>
        <v>B1</v>
      </c>
      <c r="BA415" s="94" t="str">
        <f>VLOOKUP(B415,Classification!A:D,4,0)</f>
        <v>Glucagonreceptorfamily</v>
      </c>
      <c r="BB415" s="27" t="b">
        <f t="shared" si="3606"/>
        <v>1</v>
      </c>
      <c r="BC415" s="23">
        <f t="shared" si="3607"/>
        <v>262</v>
      </c>
      <c r="BD415" s="4" t="s">
        <v>23</v>
      </c>
      <c r="BE415" s="3" t="s">
        <v>1374</v>
      </c>
      <c r="BF415" s="118">
        <v>3</v>
      </c>
      <c r="BG415" s="49" t="s">
        <v>1422</v>
      </c>
      <c r="BH415" s="49" t="s">
        <v>1422</v>
      </c>
      <c r="BI415" s="1"/>
      <c r="BJ415" s="70" t="s">
        <v>1287</v>
      </c>
      <c r="BK415" s="57" t="s">
        <v>1287</v>
      </c>
      <c r="BL415" s="57" t="s">
        <v>1287</v>
      </c>
      <c r="BM415" s="57" t="s">
        <v>1287</v>
      </c>
      <c r="BN415" s="57" t="s">
        <v>1287</v>
      </c>
      <c r="BO415" s="57" t="s">
        <v>1287</v>
      </c>
      <c r="BP415" s="57" t="s">
        <v>1287</v>
      </c>
      <c r="BQ415" s="57" t="s">
        <v>1287</v>
      </c>
      <c r="BR415" s="57" t="s">
        <v>1287</v>
      </c>
      <c r="BS415" s="57" t="s">
        <v>1287</v>
      </c>
      <c r="BT415" s="57" t="s">
        <v>1287</v>
      </c>
      <c r="BU415" s="57" t="s">
        <v>1287</v>
      </c>
      <c r="BV415" s="70">
        <f t="shared" si="3608"/>
        <v>124</v>
      </c>
      <c r="BW415" s="71">
        <f t="shared" si="3609"/>
        <v>167</v>
      </c>
      <c r="BX415" s="72">
        <f t="shared" si="3610"/>
        <v>171</v>
      </c>
      <c r="BY415" s="71" t="str">
        <f t="shared" si="3611"/>
        <v>-</v>
      </c>
      <c r="BZ415" s="72">
        <f t="shared" si="3612"/>
        <v>220</v>
      </c>
      <c r="CA415" s="71" t="str">
        <f t="shared" si="3613"/>
        <v>-</v>
      </c>
      <c r="CB415" s="72">
        <f t="shared" si="3614"/>
        <v>263</v>
      </c>
      <c r="CC415" s="71">
        <f t="shared" si="3615"/>
        <v>294</v>
      </c>
      <c r="CD415" s="72">
        <f t="shared" si="3616"/>
        <v>303</v>
      </c>
      <c r="CE415" s="71">
        <f t="shared" si="3617"/>
        <v>342</v>
      </c>
      <c r="CF415" s="72">
        <f t="shared" si="3618"/>
        <v>375</v>
      </c>
      <c r="CG415" s="71">
        <f t="shared" si="3619"/>
        <v>404</v>
      </c>
      <c r="CH415" s="70">
        <f t="shared" si="3620"/>
        <v>166</v>
      </c>
      <c r="CI415" s="71">
        <f t="shared" si="3621"/>
        <v>170</v>
      </c>
      <c r="CJ415" s="72">
        <f t="shared" si="3622"/>
        <v>203</v>
      </c>
      <c r="CK415" s="72" t="str">
        <f t="shared" si="3623"/>
        <v>-</v>
      </c>
      <c r="CL415" s="72">
        <f t="shared" si="3624"/>
        <v>255</v>
      </c>
      <c r="CM415" s="72" t="str">
        <f t="shared" si="3625"/>
        <v>-</v>
      </c>
      <c r="CN415" s="72">
        <f t="shared" si="3626"/>
        <v>290</v>
      </c>
      <c r="CO415" s="72">
        <f t="shared" si="3627"/>
        <v>296</v>
      </c>
      <c r="CP415" s="72">
        <f t="shared" si="3628"/>
        <v>335</v>
      </c>
      <c r="CQ415" s="72">
        <f t="shared" si="3629"/>
        <v>369</v>
      </c>
      <c r="CR415" s="72">
        <f t="shared" si="3630"/>
        <v>403</v>
      </c>
      <c r="CS415" s="72">
        <f t="shared" si="3631"/>
        <v>426</v>
      </c>
      <c r="CT415" s="23">
        <f t="shared" si="3632"/>
        <v>1</v>
      </c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  <c r="AMK415" s="1"/>
      <c r="AML415" s="1"/>
      <c r="AMM415" s="1"/>
      <c r="AMN415" s="1"/>
      <c r="AMO415" s="1"/>
    </row>
    <row r="416" spans="1:1030" s="12" customFormat="1" x14ac:dyDescent="0.2">
      <c r="A416" s="9" t="str">
        <f t="shared" ref="A416" si="3633">CONCATENATE(B416,"_",C416)</f>
        <v>glr_human_6LMK</v>
      </c>
      <c r="B416" s="9" t="s">
        <v>32</v>
      </c>
      <c r="C416" s="9" t="s">
        <v>1675</v>
      </c>
      <c r="D416" s="9" t="str">
        <f>IFERROR(MID(VLOOKUP($B416,Seqs!$A:$B,2,0),E416,1),"")</f>
        <v>D</v>
      </c>
      <c r="E416" s="9">
        <v>124</v>
      </c>
      <c r="F416" s="9" t="str">
        <f>IFERROR(MID(VLOOKUP($B416,Seqs!$A:$B,2,0),G416,1),"")</f>
        <v>G</v>
      </c>
      <c r="G416" s="9">
        <v>165</v>
      </c>
      <c r="H416" s="9" t="str">
        <f>IFERROR(MID(VLOOKUP($B416,Seqs!$A:$B,2,0),I416,1),"")</f>
        <v/>
      </c>
      <c r="I416" s="109" t="s">
        <v>23</v>
      </c>
      <c r="J416" s="9" t="str">
        <f>IFERROR(MID(VLOOKUP($B416,Seqs!$A:$B,2,0),K416,1),"")</f>
        <v/>
      </c>
      <c r="K416" s="109" t="s">
        <v>23</v>
      </c>
      <c r="L416" s="9" t="str">
        <f>IFERROR(MID(VLOOKUP($B416,Seqs!$A:$B,2,0),M416,1),"")</f>
        <v>C</v>
      </c>
      <c r="M416" s="109">
        <v>171</v>
      </c>
      <c r="N416" s="9" t="str">
        <f>IFERROR(MID(VLOOKUP($B416,Seqs!$A:$B,2,0),O416,1),"")</f>
        <v>S</v>
      </c>
      <c r="O416" s="9">
        <v>203</v>
      </c>
      <c r="P416" s="9" t="str">
        <f>IFERROR(MID(VLOOKUP($B416,Seqs!$A:$B,2,0),Q416,1),"")</f>
        <v/>
      </c>
      <c r="Q416" s="9" t="s">
        <v>23</v>
      </c>
      <c r="R416" s="9" t="str">
        <f>IFERROR(MID(VLOOKUP($B416,Seqs!$A:$B,2,0),S416,1),"")</f>
        <v/>
      </c>
      <c r="S416" s="9" t="s">
        <v>23</v>
      </c>
      <c r="T416" s="9" t="str">
        <f>IFERROR(MID(VLOOKUP($B416,Seqs!$A:$B,2,0),U416,1),"")</f>
        <v>A</v>
      </c>
      <c r="U416" s="9">
        <v>220</v>
      </c>
      <c r="V416" s="9" t="str">
        <f>IFERROR(MID(VLOOKUP($B416,Seqs!$A:$B,2,0),W416,1),"")</f>
        <v>L</v>
      </c>
      <c r="W416" s="9">
        <v>253</v>
      </c>
      <c r="X416" s="9" t="str">
        <f>IFERROR(MID(VLOOKUP($B416,Seqs!$A:$B,2,0),Y416,1),"")</f>
        <v/>
      </c>
      <c r="Y416" s="9" t="s">
        <v>23</v>
      </c>
      <c r="Z416" s="9" t="str">
        <f>IFERROR(MID(VLOOKUP($B416,Seqs!$A:$B,2,0),AA416,1),"")</f>
        <v/>
      </c>
      <c r="AA416" s="9" t="s">
        <v>23</v>
      </c>
      <c r="AB416" s="9" t="str">
        <f>IFERROR(MID(VLOOKUP($B416,Seqs!$A:$B,2,0),AC416,1),"")</f>
        <v>F</v>
      </c>
      <c r="AC416" s="9">
        <v>263</v>
      </c>
      <c r="AD416" s="9" t="str">
        <f>IFERROR(MID(VLOOKUP($B416,Seqs!$A:$B,2,0),AE416,1),"")</f>
        <v>E</v>
      </c>
      <c r="AE416" s="9">
        <v>290</v>
      </c>
      <c r="AF416" s="9" t="str">
        <f>IFERROR(MID(VLOOKUP($B416,Seqs!$A:$B,2,0),AG416,1),"")</f>
        <v>C</v>
      </c>
      <c r="AG416" s="9">
        <v>294</v>
      </c>
      <c r="AH416" s="9" t="str">
        <f>IFERROR(MID(VLOOKUP($B416,Seqs!$A:$B,2,0),AI416,1),"")</f>
        <v>T</v>
      </c>
      <c r="AI416" s="9">
        <v>296</v>
      </c>
      <c r="AJ416" s="9" t="str">
        <f>IFERROR(MID(VLOOKUP($B416,Seqs!$A:$B,2,0),AK416,1),"")</f>
        <v>W</v>
      </c>
      <c r="AK416" s="9">
        <v>304</v>
      </c>
      <c r="AL416" s="9" t="str">
        <f>IFERROR(MID(VLOOKUP($B416,Seqs!$A:$B,2,0),AM416,1),"")</f>
        <v>R</v>
      </c>
      <c r="AM416" s="9">
        <v>334</v>
      </c>
      <c r="AN416" s="9" t="str">
        <f>IFERROR(MID(VLOOKUP($B416,Seqs!$A:$B,2,0),AO416,1),"")</f>
        <v>D</v>
      </c>
      <c r="AO416" s="9">
        <v>342</v>
      </c>
      <c r="AP416" s="9" t="str">
        <f>IFERROR(MID(VLOOKUP($B416,Seqs!$A:$B,2,0),AQ416,1),"")</f>
        <v>A</v>
      </c>
      <c r="AQ416" s="9">
        <v>366</v>
      </c>
      <c r="AR416" s="9" t="str">
        <f>IFERROR(MID(VLOOKUP($B416,Seqs!$A:$B,2,0),AS416,1),"")</f>
        <v>Q</v>
      </c>
      <c r="AS416" s="9">
        <v>374</v>
      </c>
      <c r="AT416" s="9" t="str">
        <f>IFERROR(MID(VLOOKUP($B416,Seqs!$A:$B,2,0),AU416,1),"")</f>
        <v>L</v>
      </c>
      <c r="AU416" s="9">
        <v>403</v>
      </c>
      <c r="AV416" s="9" t="str">
        <f>IFERROR(MID(VLOOKUP($B416,Seqs!$A:$B,2,0),AW416,1),"")</f>
        <v>N</v>
      </c>
      <c r="AW416" s="9">
        <v>404</v>
      </c>
      <c r="AX416" s="9" t="str">
        <f>IFERROR(MID(VLOOKUP($B416,Seqs!$A:$B,2,0),AY416,1),"")</f>
        <v>R</v>
      </c>
      <c r="AY416" s="9">
        <v>419</v>
      </c>
      <c r="AZ416" s="110" t="str">
        <f>VLOOKUP(B416,Classification!A:D,2,0)</f>
        <v>B1</v>
      </c>
      <c r="BA416" s="98" t="str">
        <f>VLOOKUP(B416,Classification!A:D,4,0)</f>
        <v>Glucagonreceptorfamily</v>
      </c>
      <c r="BB416" s="36" t="b">
        <f t="shared" ref="BB416" si="3634">AND(E416&lt;G416,OR(G416&lt;I416,I416="-"),OR(I416&lt;K416,I416="-"),OR(K416&lt;M416,K416="-"),M416&lt;O416,OR(O416&lt;Q416,Q416="-"),OR(Q416&lt;S416,Q416="-"),OR(S416&lt;U416,S416="-"),U416&lt;W416,OR(W416&lt;Y416,Y416="-"),OR(Y416&lt;AA416,Y416="-"),OR(AA416&lt;AC416,AA416="-"),AC416&lt;AE416,OR(AE416&lt;AG416,AG416="-"),OR(AG416&lt;AI416,AG416="-"),OR(AI416&lt;AK416,AI416="-"),AK416&lt;AM416,AM416&lt;AO416,AO416&lt;AQ416,AQ416&lt;AS416,AS416&lt;AU416,OR(AU416&lt;AW416,AW416="-"),OR(AW416&lt;AY416,AW416="-"))</f>
        <v>1</v>
      </c>
      <c r="BC416" s="109">
        <f t="shared" ref="BC416" si="3635">_xlfn.AGGREGATE(9,6,CH416:CS416)-_xlfn.AGGREGATE(9,6,BV416:CG416)+12</f>
        <v>245</v>
      </c>
      <c r="BD416" s="11" t="s">
        <v>1375</v>
      </c>
      <c r="BE416" s="9" t="s">
        <v>1291</v>
      </c>
      <c r="BF416" s="119">
        <v>3.7</v>
      </c>
      <c r="BG416" s="51" t="s">
        <v>1422</v>
      </c>
      <c r="BH416" s="51" t="s">
        <v>1422</v>
      </c>
      <c r="BJ416" s="111" t="s">
        <v>1287</v>
      </c>
      <c r="BK416" s="112" t="s">
        <v>1287</v>
      </c>
      <c r="BL416" s="112" t="s">
        <v>1287</v>
      </c>
      <c r="BM416" s="112" t="s">
        <v>1287</v>
      </c>
      <c r="BN416" s="112" t="s">
        <v>1287</v>
      </c>
      <c r="BO416" s="112" t="s">
        <v>1287</v>
      </c>
      <c r="BP416" s="112" t="s">
        <v>1287</v>
      </c>
      <c r="BQ416" s="112" t="s">
        <v>1287</v>
      </c>
      <c r="BR416" s="112" t="s">
        <v>1287</v>
      </c>
      <c r="BS416" s="112" t="s">
        <v>1287</v>
      </c>
      <c r="BT416" s="112" t="s">
        <v>1287</v>
      </c>
      <c r="BU416" s="112" t="s">
        <v>1287</v>
      </c>
      <c r="BV416" s="111">
        <f t="shared" ref="BV416" si="3636">E416</f>
        <v>124</v>
      </c>
      <c r="BW416" s="113" t="str">
        <f t="shared" ref="BW416" si="3637">I416</f>
        <v>-</v>
      </c>
      <c r="BX416" s="114">
        <f t="shared" ref="BX416" si="3638">M416</f>
        <v>171</v>
      </c>
      <c r="BY416" s="113" t="str">
        <f t="shared" ref="BY416" si="3639">Q416</f>
        <v>-</v>
      </c>
      <c r="BZ416" s="114">
        <f t="shared" ref="BZ416" si="3640">U416</f>
        <v>220</v>
      </c>
      <c r="CA416" s="113" t="str">
        <f t="shared" ref="CA416" si="3641">Y416</f>
        <v>-</v>
      </c>
      <c r="CB416" s="114">
        <f t="shared" ref="CB416" si="3642">AC416</f>
        <v>263</v>
      </c>
      <c r="CC416" s="113">
        <f t="shared" ref="CC416" si="3643">AG416</f>
        <v>294</v>
      </c>
      <c r="CD416" s="114">
        <f t="shared" ref="CD416" si="3644">AK416</f>
        <v>304</v>
      </c>
      <c r="CE416" s="113">
        <f t="shared" ref="CE416" si="3645">AO416</f>
        <v>342</v>
      </c>
      <c r="CF416" s="114">
        <f t="shared" ref="CF416" si="3646">AS416</f>
        <v>374</v>
      </c>
      <c r="CG416" s="113">
        <f t="shared" ref="CG416" si="3647">AW416</f>
        <v>404</v>
      </c>
      <c r="CH416" s="111">
        <f t="shared" ref="CH416" si="3648">G416</f>
        <v>165</v>
      </c>
      <c r="CI416" s="113" t="str">
        <f t="shared" ref="CI416" si="3649">K416</f>
        <v>-</v>
      </c>
      <c r="CJ416" s="114">
        <f t="shared" ref="CJ416" si="3650">O416</f>
        <v>203</v>
      </c>
      <c r="CK416" s="114" t="str">
        <f t="shared" ref="CK416" si="3651">S416</f>
        <v>-</v>
      </c>
      <c r="CL416" s="114">
        <f t="shared" ref="CL416" si="3652">W416</f>
        <v>253</v>
      </c>
      <c r="CM416" s="114" t="str">
        <f t="shared" ref="CM416" si="3653">AA416</f>
        <v>-</v>
      </c>
      <c r="CN416" s="114">
        <f t="shared" ref="CN416" si="3654">AE416</f>
        <v>290</v>
      </c>
      <c r="CO416" s="114">
        <f t="shared" ref="CO416" si="3655">AI416</f>
        <v>296</v>
      </c>
      <c r="CP416" s="114">
        <f t="shared" ref="CP416" si="3656">AM416</f>
        <v>334</v>
      </c>
      <c r="CQ416" s="114">
        <f t="shared" ref="CQ416" si="3657">AQ416</f>
        <v>366</v>
      </c>
      <c r="CR416" s="114">
        <f t="shared" ref="CR416" si="3658">AU416</f>
        <v>403</v>
      </c>
      <c r="CS416" s="114">
        <f t="shared" ref="CS416" si="3659">AY416</f>
        <v>419</v>
      </c>
      <c r="CT416" s="109" t="e">
        <f t="shared" ref="CT416" si="3660">M416-K416</f>
        <v>#VALUE!</v>
      </c>
    </row>
    <row r="417" spans="1:1029" s="12" customFormat="1" x14ac:dyDescent="0.2">
      <c r="A417" s="9" t="str">
        <f t="shared" ref="A417" si="3661">CONCATENATE(B417,"_",C417)</f>
        <v>glr_human_6LML</v>
      </c>
      <c r="B417" s="9" t="s">
        <v>32</v>
      </c>
      <c r="C417" s="9" t="s">
        <v>1676</v>
      </c>
      <c r="D417" s="9" t="str">
        <f>IFERROR(MID(VLOOKUP($B417,Seqs!$A:$B,2,0),E417,1),"")</f>
        <v>D</v>
      </c>
      <c r="E417" s="9">
        <v>124</v>
      </c>
      <c r="F417" s="9" t="str">
        <f>IFERROR(MID(VLOOKUP($B417,Seqs!$A:$B,2,0),G417,1),"")</f>
        <v>G</v>
      </c>
      <c r="G417" s="9">
        <v>165</v>
      </c>
      <c r="H417" s="9" t="str">
        <f>IFERROR(MID(VLOOKUP($B417,Seqs!$A:$B,2,0),I417,1),"")</f>
        <v/>
      </c>
      <c r="I417" s="109" t="s">
        <v>23</v>
      </c>
      <c r="J417" s="9" t="str">
        <f>IFERROR(MID(VLOOKUP($B417,Seqs!$A:$B,2,0),K417,1),"")</f>
        <v/>
      </c>
      <c r="K417" s="109" t="s">
        <v>23</v>
      </c>
      <c r="L417" s="9" t="str">
        <f>IFERROR(MID(VLOOKUP($B417,Seqs!$A:$B,2,0),M417,1),"")</f>
        <v>C</v>
      </c>
      <c r="M417" s="109">
        <v>171</v>
      </c>
      <c r="N417" s="9" t="str">
        <f>IFERROR(MID(VLOOKUP($B417,Seqs!$A:$B,2,0),O417,1),"")</f>
        <v>S</v>
      </c>
      <c r="O417" s="9">
        <v>203</v>
      </c>
      <c r="P417" s="9" t="str">
        <f>IFERROR(MID(VLOOKUP($B417,Seqs!$A:$B,2,0),Q417,1),"")</f>
        <v/>
      </c>
      <c r="Q417" s="9" t="s">
        <v>23</v>
      </c>
      <c r="R417" s="9" t="str">
        <f>IFERROR(MID(VLOOKUP($B417,Seqs!$A:$B,2,0),S417,1),"")</f>
        <v/>
      </c>
      <c r="S417" s="9" t="s">
        <v>23</v>
      </c>
      <c r="T417" s="9" t="str">
        <f>IFERROR(MID(VLOOKUP($B417,Seqs!$A:$B,2,0),U417,1),"")</f>
        <v>V</v>
      </c>
      <c r="U417" s="9">
        <v>221</v>
      </c>
      <c r="V417" s="9" t="str">
        <f>IFERROR(MID(VLOOKUP($B417,Seqs!$A:$B,2,0),W417,1),"")</f>
        <v>G</v>
      </c>
      <c r="W417" s="9">
        <v>254</v>
      </c>
      <c r="X417" s="9" t="str">
        <f>IFERROR(MID(VLOOKUP($B417,Seqs!$A:$B,2,0),Y417,1),"")</f>
        <v/>
      </c>
      <c r="Y417" s="9" t="s">
        <v>23</v>
      </c>
      <c r="Z417" s="9" t="str">
        <f>IFERROR(MID(VLOOKUP($B417,Seqs!$A:$B,2,0),AA417,1),"")</f>
        <v/>
      </c>
      <c r="AA417" s="9" t="s">
        <v>23</v>
      </c>
      <c r="AB417" s="9" t="str">
        <f>IFERROR(MID(VLOOKUP($B417,Seqs!$A:$B,2,0),AC417,1),"")</f>
        <v>F</v>
      </c>
      <c r="AC417" s="9">
        <v>263</v>
      </c>
      <c r="AD417" s="9" t="str">
        <f>IFERROR(MID(VLOOKUP($B417,Seqs!$A:$B,2,0),AE417,1),"")</f>
        <v>E</v>
      </c>
      <c r="AE417" s="9">
        <v>290</v>
      </c>
      <c r="AF417" s="9" t="str">
        <f>IFERROR(MID(VLOOKUP($B417,Seqs!$A:$B,2,0),AG417,1),"")</f>
        <v>C</v>
      </c>
      <c r="AG417" s="9">
        <v>294</v>
      </c>
      <c r="AH417" s="9" t="str">
        <f>IFERROR(MID(VLOOKUP($B417,Seqs!$A:$B,2,0),AI417,1),"")</f>
        <v>T</v>
      </c>
      <c r="AI417" s="9">
        <v>296</v>
      </c>
      <c r="AJ417" s="9" t="str">
        <f>IFERROR(MID(VLOOKUP($B417,Seqs!$A:$B,2,0),AK417,1),"")</f>
        <v>N</v>
      </c>
      <c r="AK417" s="9">
        <v>300</v>
      </c>
      <c r="AL417" s="9" t="str">
        <f>IFERROR(MID(VLOOKUP($B417,Seqs!$A:$B,2,0),AM417,1),"")</f>
        <v>L</v>
      </c>
      <c r="AM417" s="9">
        <v>333</v>
      </c>
      <c r="AN417" s="9" t="str">
        <f>IFERROR(MID(VLOOKUP($B417,Seqs!$A:$B,2,0),AO417,1),"")</f>
        <v>Y</v>
      </c>
      <c r="AO417" s="9">
        <v>343</v>
      </c>
      <c r="AP417" s="9" t="str">
        <f>IFERROR(MID(VLOOKUP($B417,Seqs!$A:$B,2,0),AQ417,1),"")</f>
        <v>H</v>
      </c>
      <c r="AQ417" s="9">
        <v>361</v>
      </c>
      <c r="AR417" s="9" t="str">
        <f>IFERROR(MID(VLOOKUP($B417,Seqs!$A:$B,2,0),AS417,1),"")</f>
        <v>L</v>
      </c>
      <c r="AS417" s="9">
        <v>377</v>
      </c>
      <c r="AT417" s="9" t="str">
        <f>IFERROR(MID(VLOOKUP($B417,Seqs!$A:$B,2,0),AU417,1),"")</f>
        <v>L</v>
      </c>
      <c r="AU417" s="9">
        <v>403</v>
      </c>
      <c r="AV417" s="9" t="str">
        <f>IFERROR(MID(VLOOKUP($B417,Seqs!$A:$B,2,0),AW417,1),"")</f>
        <v>N</v>
      </c>
      <c r="AW417" s="9">
        <v>404</v>
      </c>
      <c r="AX417" s="9" t="str">
        <f>IFERROR(MID(VLOOKUP($B417,Seqs!$A:$B,2,0),AY417,1),"")</f>
        <v>R</v>
      </c>
      <c r="AY417" s="9">
        <v>419</v>
      </c>
      <c r="AZ417" s="110" t="str">
        <f>VLOOKUP(B417,Classification!A:D,2,0)</f>
        <v>B1</v>
      </c>
      <c r="BA417" s="98" t="str">
        <f>VLOOKUP(B417,Classification!A:D,4,0)</f>
        <v>Glucagonreceptorfamily</v>
      </c>
      <c r="BB417" s="36" t="b">
        <f t="shared" ref="BB417" si="3662">AND(E417&lt;G417,OR(G417&lt;I417,I417="-"),OR(I417&lt;K417,I417="-"),OR(K417&lt;M417,K417="-"),M417&lt;O417,OR(O417&lt;Q417,Q417="-"),OR(Q417&lt;S417,Q417="-"),OR(S417&lt;U417,S417="-"),U417&lt;W417,OR(W417&lt;Y417,Y417="-"),OR(Y417&lt;AA417,Y417="-"),OR(AA417&lt;AC417,AA417="-"),AC417&lt;AE417,OR(AE417&lt;AG417,AG417="-"),OR(AG417&lt;AI417,AG417="-"),OR(AI417&lt;AK417,AI417="-"),AK417&lt;AM417,AM417&lt;AO417,AO417&lt;AQ417,AQ417&lt;AS417,AS417&lt;AU417,OR(AU417&lt;AW417,AW417="-"),OR(AW417&lt;AY417,AW417="-"))</f>
        <v>1</v>
      </c>
      <c r="BC417" s="109">
        <f t="shared" ref="BC417" si="3663">_xlfn.AGGREGATE(9,6,CH417:CS417)-_xlfn.AGGREGATE(9,6,BV417:CG417)+12</f>
        <v>239</v>
      </c>
      <c r="BD417" s="11" t="s">
        <v>23</v>
      </c>
      <c r="BE417" s="9" t="s">
        <v>1291</v>
      </c>
      <c r="BF417" s="119">
        <v>3.9</v>
      </c>
      <c r="BG417" s="51" t="s">
        <v>1422</v>
      </c>
      <c r="BH417" s="51" t="s">
        <v>1422</v>
      </c>
      <c r="BJ417" s="111" t="s">
        <v>1287</v>
      </c>
      <c r="BK417" s="112" t="s">
        <v>1287</v>
      </c>
      <c r="BL417" s="112" t="s">
        <v>1287</v>
      </c>
      <c r="BM417" s="112" t="s">
        <v>1287</v>
      </c>
      <c r="BN417" s="112" t="s">
        <v>1287</v>
      </c>
      <c r="BO417" s="112" t="s">
        <v>1287</v>
      </c>
      <c r="BP417" s="112" t="s">
        <v>1287</v>
      </c>
      <c r="BQ417" s="112" t="s">
        <v>1287</v>
      </c>
      <c r="BR417" s="112" t="s">
        <v>1287</v>
      </c>
      <c r="BS417" s="112" t="s">
        <v>1287</v>
      </c>
      <c r="BT417" s="112" t="s">
        <v>1287</v>
      </c>
      <c r="BU417" s="112" t="s">
        <v>1287</v>
      </c>
      <c r="BV417" s="111">
        <f t="shared" ref="BV417" si="3664">E417</f>
        <v>124</v>
      </c>
      <c r="BW417" s="113" t="str">
        <f t="shared" ref="BW417" si="3665">I417</f>
        <v>-</v>
      </c>
      <c r="BX417" s="114">
        <f t="shared" ref="BX417" si="3666">M417</f>
        <v>171</v>
      </c>
      <c r="BY417" s="113" t="str">
        <f t="shared" ref="BY417" si="3667">Q417</f>
        <v>-</v>
      </c>
      <c r="BZ417" s="114">
        <f t="shared" ref="BZ417" si="3668">U417</f>
        <v>221</v>
      </c>
      <c r="CA417" s="113" t="str">
        <f t="shared" ref="CA417" si="3669">Y417</f>
        <v>-</v>
      </c>
      <c r="CB417" s="114">
        <f t="shared" ref="CB417" si="3670">AC417</f>
        <v>263</v>
      </c>
      <c r="CC417" s="113">
        <f t="shared" ref="CC417" si="3671">AG417</f>
        <v>294</v>
      </c>
      <c r="CD417" s="114">
        <f t="shared" ref="CD417" si="3672">AK417</f>
        <v>300</v>
      </c>
      <c r="CE417" s="113">
        <f t="shared" ref="CE417" si="3673">AO417</f>
        <v>343</v>
      </c>
      <c r="CF417" s="114">
        <f t="shared" ref="CF417" si="3674">AS417</f>
        <v>377</v>
      </c>
      <c r="CG417" s="113">
        <f t="shared" ref="CG417" si="3675">AW417</f>
        <v>404</v>
      </c>
      <c r="CH417" s="111">
        <f t="shared" ref="CH417" si="3676">G417</f>
        <v>165</v>
      </c>
      <c r="CI417" s="113" t="str">
        <f t="shared" ref="CI417" si="3677">K417</f>
        <v>-</v>
      </c>
      <c r="CJ417" s="114">
        <f t="shared" ref="CJ417" si="3678">O417</f>
        <v>203</v>
      </c>
      <c r="CK417" s="114" t="str">
        <f t="shared" ref="CK417" si="3679">S417</f>
        <v>-</v>
      </c>
      <c r="CL417" s="114">
        <f t="shared" ref="CL417" si="3680">W417</f>
        <v>254</v>
      </c>
      <c r="CM417" s="114" t="str">
        <f t="shared" ref="CM417" si="3681">AA417</f>
        <v>-</v>
      </c>
      <c r="CN417" s="114">
        <f t="shared" ref="CN417" si="3682">AE417</f>
        <v>290</v>
      </c>
      <c r="CO417" s="114">
        <f t="shared" ref="CO417" si="3683">AI417</f>
        <v>296</v>
      </c>
      <c r="CP417" s="114">
        <f t="shared" ref="CP417" si="3684">AM417</f>
        <v>333</v>
      </c>
      <c r="CQ417" s="114">
        <f t="shared" ref="CQ417" si="3685">AQ417</f>
        <v>361</v>
      </c>
      <c r="CR417" s="114">
        <f t="shared" ref="CR417" si="3686">AU417</f>
        <v>403</v>
      </c>
      <c r="CS417" s="114">
        <f t="shared" ref="CS417" si="3687">AY417</f>
        <v>419</v>
      </c>
      <c r="CT417" s="109" t="e">
        <f t="shared" ref="CT417" si="3688">M417-K417</f>
        <v>#VALUE!</v>
      </c>
    </row>
    <row r="418" spans="1:1029" x14ac:dyDescent="0.2">
      <c r="A418" s="3" t="str">
        <f t="shared" si="3605"/>
        <v>glp1r_human__wt</v>
      </c>
      <c r="B418" s="3" t="s">
        <v>406</v>
      </c>
      <c r="C418" s="3" t="s">
        <v>100</v>
      </c>
      <c r="D418" s="3" t="str">
        <f>IFERROR(MID(VLOOKUP($B418,Seqs!$A:$B,2,0),E418,1),"")</f>
        <v>E</v>
      </c>
      <c r="E418" s="3">
        <v>138</v>
      </c>
      <c r="F418" s="3" t="str">
        <f>IFERROR(MID(VLOOKUP($B418,Seqs!$A:$B,2,0),G418,1),"")</f>
        <v>F</v>
      </c>
      <c r="G418" s="3">
        <v>169</v>
      </c>
      <c r="H418" s="3" t="str">
        <f>IFERROR(MID(VLOOKUP($B418,Seqs!$A:$B,2,0),I418,1),"")</f>
        <v>R</v>
      </c>
      <c r="I418" s="23">
        <v>170</v>
      </c>
      <c r="J418" s="3" t="str">
        <f>IFERROR(MID(VLOOKUP($B418,Seqs!$A:$B,2,0),K418,1),"")</f>
        <v>H</v>
      </c>
      <c r="K418" s="23">
        <v>173</v>
      </c>
      <c r="L418" s="3" t="str">
        <f>IFERROR(MID(VLOOKUP($B418,Seqs!$A:$B,2,0),M418,1),"")</f>
        <v>C</v>
      </c>
      <c r="M418" s="23">
        <v>174</v>
      </c>
      <c r="N418" s="3" t="str">
        <f>IFERROR(MID(VLOOKUP($B418,Seqs!$A:$B,2,0),O418,1),"")</f>
        <v>S</v>
      </c>
      <c r="O418" s="3">
        <v>206</v>
      </c>
      <c r="P418" s="3" t="str">
        <f>IFERROR(MID(VLOOKUP($B418,Seqs!$A:$B,2,0),Q418,1),"")</f>
        <v/>
      </c>
      <c r="Q418" s="3" t="s">
        <v>23</v>
      </c>
      <c r="R418" s="3" t="str">
        <f>IFERROR(MID(VLOOKUP($B418,Seqs!$A:$B,2,0),S418,1),"")</f>
        <v/>
      </c>
      <c r="S418" s="3" t="s">
        <v>23</v>
      </c>
      <c r="T418" s="3" t="str">
        <f>IFERROR(MID(VLOOKUP($B418,Seqs!$A:$B,2,0),U418,1),"")</f>
        <v>L</v>
      </c>
      <c r="U418" s="3">
        <v>224</v>
      </c>
      <c r="V418" s="3" t="str">
        <f>IFERROR(MID(VLOOKUP($B418,Seqs!$A:$B,2,0),W418,1),"")</f>
        <v>F</v>
      </c>
      <c r="W418" s="3">
        <v>257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E</v>
      </c>
      <c r="AC418" s="3">
        <v>262</v>
      </c>
      <c r="AD418" s="3" t="str">
        <f>IFERROR(MID(VLOOKUP($B418,Seqs!$A:$B,2,0),AE418,1),"")</f>
        <v>E</v>
      </c>
      <c r="AE418" s="3">
        <v>292</v>
      </c>
      <c r="AF418" s="3" t="str">
        <f>IFERROR(MID(VLOOKUP($B418,Seqs!$A:$B,2,0),AG418,1),"")</f>
        <v>C</v>
      </c>
      <c r="AG418" s="3">
        <v>296</v>
      </c>
      <c r="AH418" s="3" t="str">
        <f>IFERROR(MID(VLOOKUP($B418,Seqs!$A:$B,2,0),AI418,1),"")</f>
        <v>T</v>
      </c>
      <c r="AI418" s="3">
        <v>298</v>
      </c>
      <c r="AJ418" s="3" t="str">
        <f>IFERROR(MID(VLOOKUP($B418,Seqs!$A:$B,2,0),AK418,1),"")</f>
        <v>N</v>
      </c>
      <c r="AK418" s="3">
        <v>302</v>
      </c>
      <c r="AL418" s="3" t="str">
        <f>IFERROR(MID(VLOOKUP($B418,Seqs!$A:$B,2,0),AM418,1),"")</f>
        <v>A</v>
      </c>
      <c r="AM418" s="3">
        <v>337</v>
      </c>
      <c r="AN418" s="3" t="str">
        <f>IFERROR(MID(VLOOKUP($B418,Seqs!$A:$B,2,0),AO418,1),"")</f>
        <v>D</v>
      </c>
      <c r="AO418" s="3">
        <v>344</v>
      </c>
      <c r="AP418" s="3" t="str">
        <f>IFERROR(MID(VLOOKUP($B418,Seqs!$A:$B,2,0),AQ418,1),"")</f>
        <v>F</v>
      </c>
      <c r="AQ418" s="3">
        <v>369</v>
      </c>
      <c r="AR418" s="3" t="str">
        <f>IFERROR(MID(VLOOKUP($B418,Seqs!$A:$B,2,0),AS418,1),"")</f>
        <v>G</v>
      </c>
      <c r="AS418" s="3">
        <v>377</v>
      </c>
      <c r="AT418" s="3" t="str">
        <f>IFERROR(MID(VLOOKUP($B418,Seqs!$A:$B,2,0),AU418,1),"")</f>
        <v>V</v>
      </c>
      <c r="AU418" s="3">
        <v>405</v>
      </c>
      <c r="AV418" s="3" t="str">
        <f>IFERROR(MID(VLOOKUP($B418,Seqs!$A:$B,2,0),AW418,1),"")</f>
        <v>N</v>
      </c>
      <c r="AW418" s="3">
        <v>406</v>
      </c>
      <c r="AX418" s="3" t="str">
        <f>IFERROR(MID(VLOOKUP($B418,Seqs!$A:$B,2,0),AY418,1),"")</f>
        <v>S</v>
      </c>
      <c r="AY418" s="3">
        <v>431</v>
      </c>
      <c r="AZ418" s="77" t="str">
        <f>VLOOKUP(B418,Classification!A:D,2,0)</f>
        <v>B1</v>
      </c>
      <c r="BA418" s="94" t="str">
        <f>VLOOKUP(B418,Classification!A:D,4,0)</f>
        <v>Glucagonreceptorfamily</v>
      </c>
      <c r="BB418" s="27" t="b">
        <f t="shared" si="3606"/>
        <v>1</v>
      </c>
      <c r="BC418" s="23">
        <f t="shared" si="3607"/>
        <v>256</v>
      </c>
      <c r="BD418" s="4" t="s">
        <v>23</v>
      </c>
      <c r="BE418" s="3" t="s">
        <v>23</v>
      </c>
      <c r="BF418" s="118" t="s">
        <v>23</v>
      </c>
      <c r="BG418" s="49" t="s">
        <v>1377</v>
      </c>
      <c r="BH418" s="49" t="s">
        <v>1377</v>
      </c>
      <c r="BI418" s="1"/>
      <c r="BJ418" s="70" t="s">
        <v>1287</v>
      </c>
      <c r="BK418" s="57" t="s">
        <v>1287</v>
      </c>
      <c r="BL418" s="57" t="s">
        <v>1287</v>
      </c>
      <c r="BM418" s="57" t="s">
        <v>1287</v>
      </c>
      <c r="BN418" s="57" t="s">
        <v>1287</v>
      </c>
      <c r="BO418" s="57" t="s">
        <v>1287</v>
      </c>
      <c r="BP418" s="57" t="s">
        <v>1287</v>
      </c>
      <c r="BQ418" s="57" t="s">
        <v>1287</v>
      </c>
      <c r="BR418" s="57" t="s">
        <v>1287</v>
      </c>
      <c r="BS418" s="57" t="s">
        <v>1287</v>
      </c>
      <c r="BT418" s="57" t="s">
        <v>1287</v>
      </c>
      <c r="BU418" s="57" t="s">
        <v>1287</v>
      </c>
      <c r="BV418" s="70">
        <f t="shared" si="3608"/>
        <v>138</v>
      </c>
      <c r="BW418" s="71">
        <f t="shared" si="3609"/>
        <v>170</v>
      </c>
      <c r="BX418" s="72">
        <f t="shared" si="3610"/>
        <v>174</v>
      </c>
      <c r="BY418" s="71" t="str">
        <f t="shared" si="3611"/>
        <v>-</v>
      </c>
      <c r="BZ418" s="72">
        <f t="shared" si="3612"/>
        <v>224</v>
      </c>
      <c r="CA418" s="71" t="str">
        <f t="shared" si="3613"/>
        <v>-</v>
      </c>
      <c r="CB418" s="72">
        <f t="shared" si="3614"/>
        <v>262</v>
      </c>
      <c r="CC418" s="71">
        <f t="shared" si="3615"/>
        <v>296</v>
      </c>
      <c r="CD418" s="72">
        <f t="shared" si="3616"/>
        <v>302</v>
      </c>
      <c r="CE418" s="71">
        <f t="shared" si="3617"/>
        <v>344</v>
      </c>
      <c r="CF418" s="72">
        <f t="shared" si="3618"/>
        <v>377</v>
      </c>
      <c r="CG418" s="71">
        <f t="shared" si="3619"/>
        <v>406</v>
      </c>
      <c r="CH418" s="70">
        <f t="shared" si="3620"/>
        <v>169</v>
      </c>
      <c r="CI418" s="71">
        <f t="shared" si="3621"/>
        <v>173</v>
      </c>
      <c r="CJ418" s="72">
        <f t="shared" si="3622"/>
        <v>206</v>
      </c>
      <c r="CK418" s="72" t="str">
        <f t="shared" si="3623"/>
        <v>-</v>
      </c>
      <c r="CL418" s="72">
        <f t="shared" si="3624"/>
        <v>257</v>
      </c>
      <c r="CM418" s="72" t="str">
        <f t="shared" si="3625"/>
        <v>-</v>
      </c>
      <c r="CN418" s="72">
        <f t="shared" si="3626"/>
        <v>292</v>
      </c>
      <c r="CO418" s="72">
        <f t="shared" si="3627"/>
        <v>298</v>
      </c>
      <c r="CP418" s="72">
        <f t="shared" si="3628"/>
        <v>337</v>
      </c>
      <c r="CQ418" s="72">
        <f t="shared" si="3629"/>
        <v>369</v>
      </c>
      <c r="CR418" s="72">
        <f t="shared" si="3630"/>
        <v>405</v>
      </c>
      <c r="CS418" s="72">
        <f t="shared" si="3631"/>
        <v>431</v>
      </c>
      <c r="CT418" s="23">
        <f t="shared" si="3632"/>
        <v>1</v>
      </c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  <c r="AMK418" s="1"/>
      <c r="AML418" s="1"/>
      <c r="AMM418" s="1"/>
      <c r="AMN418" s="1"/>
      <c r="AMO418" s="1"/>
    </row>
    <row r="419" spans="1:1029" x14ac:dyDescent="0.2">
      <c r="A419" s="3" t="str">
        <f t="shared" si="3605"/>
        <v>glp1r_human_5VEW</v>
      </c>
      <c r="B419" s="3" t="s">
        <v>406</v>
      </c>
      <c r="C419" s="3" t="s">
        <v>1407</v>
      </c>
      <c r="D419" s="3" t="str">
        <f>IFERROR(MID(VLOOKUP($B419,Seqs!$A:$B,2,0),E419,1),"")</f>
        <v>S</v>
      </c>
      <c r="E419" s="3">
        <v>136</v>
      </c>
      <c r="F419" s="3" t="str">
        <f>IFERROR(MID(VLOOKUP($B419,Seqs!$A:$B,2,0),G419,1),"")</f>
        <v>F</v>
      </c>
      <c r="G419" s="3">
        <v>169</v>
      </c>
      <c r="H419" s="3" t="str">
        <f>IFERROR(MID(VLOOKUP($B419,Seqs!$A:$B,2,0),I419,1),"")</f>
        <v>R</v>
      </c>
      <c r="I419" s="23">
        <v>170</v>
      </c>
      <c r="J419" s="3" t="str">
        <f>IFERROR(MID(VLOOKUP($B419,Seqs!$A:$B,2,0),K419,1),"")</f>
        <v>H</v>
      </c>
      <c r="K419" s="23">
        <v>173</v>
      </c>
      <c r="L419" s="3" t="str">
        <f>IFERROR(MID(VLOOKUP($B419,Seqs!$A:$B,2,0),M419,1),"")</f>
        <v>C</v>
      </c>
      <c r="M419" s="23">
        <v>174</v>
      </c>
      <c r="N419" s="3" t="str">
        <f>IFERROR(MID(VLOOKUP($B419,Seqs!$A:$B,2,0),O419,1),"")</f>
        <v>K</v>
      </c>
      <c r="O419" s="3">
        <v>202</v>
      </c>
      <c r="P419" s="3" t="str">
        <f>IFERROR(MID(VLOOKUP($B419,Seqs!$A:$B,2,0),Q419,1),"")</f>
        <v/>
      </c>
      <c r="Q419" s="3" t="s">
        <v>23</v>
      </c>
      <c r="R419" s="3" t="str">
        <f>IFERROR(MID(VLOOKUP($B419,Seqs!$A:$B,2,0),S419,1),"")</f>
        <v/>
      </c>
      <c r="S419" s="3" t="s">
        <v>23</v>
      </c>
      <c r="T419" s="3" t="str">
        <f>IFERROR(MID(VLOOKUP($B419,Seqs!$A:$B,2,0),U419,1),"")</f>
        <v>L</v>
      </c>
      <c r="U419" s="3">
        <v>224</v>
      </c>
      <c r="V419" s="3" t="str">
        <f>IFERROR(MID(VLOOKUP($B419,Seqs!$A:$B,2,0),W419,1),"")</f>
        <v>F</v>
      </c>
      <c r="W419" s="3">
        <v>257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E</v>
      </c>
      <c r="AC419" s="3">
        <v>262</v>
      </c>
      <c r="AD419" s="3" t="str">
        <f>IFERROR(MID(VLOOKUP($B419,Seqs!$A:$B,2,0),AE419,1),"")</f>
        <v>E</v>
      </c>
      <c r="AE419" s="3">
        <v>292</v>
      </c>
      <c r="AF419" s="3" t="str">
        <f>IFERROR(MID(VLOOKUP($B419,Seqs!$A:$B,2,0),AG419,1),"")</f>
        <v>C</v>
      </c>
      <c r="AG419" s="3">
        <v>296</v>
      </c>
      <c r="AH419" s="3" t="str">
        <f>IFERROR(MID(VLOOKUP($B419,Seqs!$A:$B,2,0),AI419,1),"")</f>
        <v>T</v>
      </c>
      <c r="AI419" s="3">
        <v>298</v>
      </c>
      <c r="AJ419" s="3" t="str">
        <f>IFERROR(MID(VLOOKUP($B419,Seqs!$A:$B,2,0),AK419,1),"")</f>
        <v>M</v>
      </c>
      <c r="AK419" s="3">
        <v>303</v>
      </c>
      <c r="AL419" s="3" t="str">
        <f>IFERROR(MID(VLOOKUP($B419,Seqs!$A:$B,2,0),AM419,1),"")</f>
        <v>A</v>
      </c>
      <c r="AM419" s="3">
        <v>337</v>
      </c>
      <c r="AN419" s="3" t="str">
        <f>IFERROR(MID(VLOOKUP($B419,Seqs!$A:$B,2,0),AO419,1),"")</f>
        <v>D</v>
      </c>
      <c r="AO419" s="3">
        <v>344</v>
      </c>
      <c r="AP419" s="3" t="str">
        <f>IFERROR(MID(VLOOKUP($B419,Seqs!$A:$B,2,0),AQ419,1),"")</f>
        <v>F</v>
      </c>
      <c r="AQ419" s="3">
        <v>367</v>
      </c>
      <c r="AR419" s="3" t="str">
        <f>IFERROR(MID(VLOOKUP($B419,Seqs!$A:$B,2,0),AS419,1),"")</f>
        <v>R</v>
      </c>
      <c r="AS419" s="3">
        <v>380</v>
      </c>
      <c r="AT419" s="3" t="str">
        <f>IFERROR(MID(VLOOKUP($B419,Seqs!$A:$B,2,0),AU419,1),"")</f>
        <v>V</v>
      </c>
      <c r="AU419" s="3">
        <v>405</v>
      </c>
      <c r="AV419" s="3" t="str">
        <f>IFERROR(MID(VLOOKUP($B419,Seqs!$A:$B,2,0),AW419,1),"")</f>
        <v>N</v>
      </c>
      <c r="AW419" s="3">
        <v>406</v>
      </c>
      <c r="AX419" s="3" t="str">
        <f>IFERROR(MID(VLOOKUP($B419,Seqs!$A:$B,2,0),AY419,1),"")</f>
        <v>L</v>
      </c>
      <c r="AY419" s="3">
        <v>422</v>
      </c>
      <c r="AZ419" s="77" t="str">
        <f>VLOOKUP(B419,Classification!A:D,2,0)</f>
        <v>B1</v>
      </c>
      <c r="BA419" s="94" t="str">
        <f>VLOOKUP(B419,Classification!A:D,4,0)</f>
        <v>Glucagonreceptorfamily</v>
      </c>
      <c r="BB419" s="27" t="b">
        <f t="shared" si="3606"/>
        <v>1</v>
      </c>
      <c r="BC419" s="23">
        <f t="shared" si="3607"/>
        <v>239</v>
      </c>
      <c r="BD419" s="4" t="s">
        <v>1376</v>
      </c>
      <c r="BE419" s="3" t="s">
        <v>1374</v>
      </c>
      <c r="BF419" s="118">
        <v>2.7</v>
      </c>
      <c r="BG419" s="49" t="s">
        <v>1281</v>
      </c>
      <c r="BH419" s="49" t="s">
        <v>1281</v>
      </c>
      <c r="BI419" s="1"/>
      <c r="BJ419" s="70" t="s">
        <v>1287</v>
      </c>
      <c r="BK419" s="57" t="s">
        <v>1287</v>
      </c>
      <c r="BL419" s="57" t="s">
        <v>1287</v>
      </c>
      <c r="BM419" s="57" t="s">
        <v>1287</v>
      </c>
      <c r="BN419" s="57" t="s">
        <v>1287</v>
      </c>
      <c r="BO419" s="57" t="s">
        <v>1287</v>
      </c>
      <c r="BP419" s="57" t="s">
        <v>1287</v>
      </c>
      <c r="BQ419" s="57" t="s">
        <v>1287</v>
      </c>
      <c r="BR419" s="57" t="s">
        <v>1287</v>
      </c>
      <c r="BS419" s="57" t="s">
        <v>1287</v>
      </c>
      <c r="BT419" s="57" t="s">
        <v>1287</v>
      </c>
      <c r="BU419" s="57" t="s">
        <v>1287</v>
      </c>
      <c r="BV419" s="70">
        <f t="shared" si="3608"/>
        <v>136</v>
      </c>
      <c r="BW419" s="71">
        <f t="shared" si="3609"/>
        <v>170</v>
      </c>
      <c r="BX419" s="72">
        <f t="shared" si="3610"/>
        <v>174</v>
      </c>
      <c r="BY419" s="71" t="str">
        <f t="shared" si="3611"/>
        <v>-</v>
      </c>
      <c r="BZ419" s="72">
        <f t="shared" si="3612"/>
        <v>224</v>
      </c>
      <c r="CA419" s="71" t="str">
        <f t="shared" si="3613"/>
        <v>-</v>
      </c>
      <c r="CB419" s="72">
        <f t="shared" si="3614"/>
        <v>262</v>
      </c>
      <c r="CC419" s="71">
        <f t="shared" si="3615"/>
        <v>296</v>
      </c>
      <c r="CD419" s="72">
        <f t="shared" si="3616"/>
        <v>303</v>
      </c>
      <c r="CE419" s="71">
        <f t="shared" si="3617"/>
        <v>344</v>
      </c>
      <c r="CF419" s="72">
        <f t="shared" si="3618"/>
        <v>380</v>
      </c>
      <c r="CG419" s="71">
        <f t="shared" si="3619"/>
        <v>406</v>
      </c>
      <c r="CH419" s="70">
        <f t="shared" si="3620"/>
        <v>169</v>
      </c>
      <c r="CI419" s="71">
        <f t="shared" si="3621"/>
        <v>173</v>
      </c>
      <c r="CJ419" s="72">
        <f t="shared" si="3622"/>
        <v>202</v>
      </c>
      <c r="CK419" s="72" t="str">
        <f t="shared" si="3623"/>
        <v>-</v>
      </c>
      <c r="CL419" s="72">
        <f t="shared" si="3624"/>
        <v>257</v>
      </c>
      <c r="CM419" s="72" t="str">
        <f t="shared" si="3625"/>
        <v>-</v>
      </c>
      <c r="CN419" s="72">
        <f t="shared" si="3626"/>
        <v>292</v>
      </c>
      <c r="CO419" s="72">
        <f t="shared" si="3627"/>
        <v>298</v>
      </c>
      <c r="CP419" s="72">
        <f t="shared" si="3628"/>
        <v>337</v>
      </c>
      <c r="CQ419" s="72">
        <f t="shared" si="3629"/>
        <v>367</v>
      </c>
      <c r="CR419" s="72">
        <f t="shared" si="3630"/>
        <v>405</v>
      </c>
      <c r="CS419" s="72">
        <f t="shared" si="3631"/>
        <v>422</v>
      </c>
      <c r="CT419" s="23">
        <f t="shared" si="3632"/>
        <v>1</v>
      </c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  <c r="AMK419" s="1"/>
      <c r="AML419" s="1"/>
      <c r="AMM419" s="1"/>
      <c r="AMN419" s="1"/>
      <c r="AMO419" s="1"/>
    </row>
    <row r="420" spans="1:1029" x14ac:dyDescent="0.2">
      <c r="A420" s="3" t="str">
        <f t="shared" si="3605"/>
        <v>glp1r_human_5VEX</v>
      </c>
      <c r="B420" s="3" t="s">
        <v>406</v>
      </c>
      <c r="C420" s="3" t="s">
        <v>1406</v>
      </c>
      <c r="D420" s="3" t="str">
        <f>IFERROR(MID(VLOOKUP($B420,Seqs!$A:$B,2,0),E420,1),"")</f>
        <v>S</v>
      </c>
      <c r="E420" s="3">
        <v>136</v>
      </c>
      <c r="F420" s="3" t="str">
        <f>IFERROR(MID(VLOOKUP($B420,Seqs!$A:$B,2,0),G420,1),"")</f>
        <v>F</v>
      </c>
      <c r="G420" s="3">
        <v>169</v>
      </c>
      <c r="H420" s="3" t="str">
        <f>IFERROR(MID(VLOOKUP($B420,Seqs!$A:$B,2,0),I420,1),"")</f>
        <v>R</v>
      </c>
      <c r="I420" s="23">
        <v>170</v>
      </c>
      <c r="J420" s="3" t="str">
        <f>IFERROR(MID(VLOOKUP($B420,Seqs!$A:$B,2,0),K420,1),"")</f>
        <v>H</v>
      </c>
      <c r="K420" s="23">
        <v>173</v>
      </c>
      <c r="L420" s="3" t="str">
        <f>IFERROR(MID(VLOOKUP($B420,Seqs!$A:$B,2,0),M420,1),"")</f>
        <v>C</v>
      </c>
      <c r="M420" s="23">
        <v>174</v>
      </c>
      <c r="N420" s="3" t="str">
        <f>IFERROR(MID(VLOOKUP($B420,Seqs!$A:$B,2,0),O420,1),"")</f>
        <v>K</v>
      </c>
      <c r="O420" s="3">
        <v>202</v>
      </c>
      <c r="P420" s="3" t="str">
        <f>IFERROR(MID(VLOOKUP($B420,Seqs!$A:$B,2,0),Q420,1),"")</f>
        <v/>
      </c>
      <c r="Q420" s="3" t="s">
        <v>23</v>
      </c>
      <c r="R420" s="3" t="str">
        <f>IFERROR(MID(VLOOKUP($B420,Seqs!$A:$B,2,0),S420,1),"")</f>
        <v/>
      </c>
      <c r="S420" s="3" t="s">
        <v>23</v>
      </c>
      <c r="T420" s="3" t="str">
        <f>IFERROR(MID(VLOOKUP($B420,Seqs!$A:$B,2,0),U420,1),"")</f>
        <v>L</v>
      </c>
      <c r="U420" s="3">
        <v>224</v>
      </c>
      <c r="V420" s="3" t="str">
        <f>IFERROR(MID(VLOOKUP($B420,Seqs!$A:$B,2,0),W420,1),"")</f>
        <v>F</v>
      </c>
      <c r="W420" s="3">
        <v>257</v>
      </c>
      <c r="X420" s="3" t="str">
        <f>IFERROR(MID(VLOOKUP($B420,Seqs!$A:$B,2,0),Y420,1),"")</f>
        <v/>
      </c>
      <c r="Y420" s="3" t="s">
        <v>23</v>
      </c>
      <c r="Z420" s="3" t="str">
        <f>IFERROR(MID(VLOOKUP($B420,Seqs!$A:$B,2,0),AA420,1),"")</f>
        <v/>
      </c>
      <c r="AA420" s="3" t="s">
        <v>23</v>
      </c>
      <c r="AB420" s="3" t="str">
        <f>IFERROR(MID(VLOOKUP($B420,Seqs!$A:$B,2,0),AC420,1),"")</f>
        <v>E</v>
      </c>
      <c r="AC420" s="3">
        <v>262</v>
      </c>
      <c r="AD420" s="3" t="str">
        <f>IFERROR(MID(VLOOKUP($B420,Seqs!$A:$B,2,0),AE420,1),"")</f>
        <v>E</v>
      </c>
      <c r="AE420" s="3">
        <v>292</v>
      </c>
      <c r="AF420" s="3" t="str">
        <f>IFERROR(MID(VLOOKUP($B420,Seqs!$A:$B,2,0),AG420,1),"")</f>
        <v>C</v>
      </c>
      <c r="AG420" s="3">
        <v>296</v>
      </c>
      <c r="AH420" s="3" t="str">
        <f>IFERROR(MID(VLOOKUP($B420,Seqs!$A:$B,2,0),AI420,1),"")</f>
        <v>T</v>
      </c>
      <c r="AI420" s="3">
        <v>298</v>
      </c>
      <c r="AJ420" s="3" t="str">
        <f>IFERROR(MID(VLOOKUP($B420,Seqs!$A:$B,2,0),AK420,1),"")</f>
        <v>N</v>
      </c>
      <c r="AK420" s="3">
        <v>304</v>
      </c>
      <c r="AL420" s="3" t="str">
        <f>IFERROR(MID(VLOOKUP($B420,Seqs!$A:$B,2,0),AM420,1),"")</f>
        <v>A</v>
      </c>
      <c r="AM420" s="3">
        <v>337</v>
      </c>
      <c r="AN420" s="3" t="str">
        <f>IFERROR(MID(VLOOKUP($B420,Seqs!$A:$B,2,0),AO420,1),"")</f>
        <v>D</v>
      </c>
      <c r="AO420" s="3">
        <v>344</v>
      </c>
      <c r="AP420" s="3" t="str">
        <f>IFERROR(MID(VLOOKUP($B420,Seqs!$A:$B,2,0),AQ420,1),"")</f>
        <v>F</v>
      </c>
      <c r="AQ420" s="3">
        <v>367</v>
      </c>
      <c r="AR420" s="3" t="str">
        <f>IFERROR(MID(VLOOKUP($B420,Seqs!$A:$B,2,0),AS420,1),"")</f>
        <v>R</v>
      </c>
      <c r="AS420" s="3">
        <v>380</v>
      </c>
      <c r="AT420" s="3" t="str">
        <f>IFERROR(MID(VLOOKUP($B420,Seqs!$A:$B,2,0),AU420,1),"")</f>
        <v>V</v>
      </c>
      <c r="AU420" s="3">
        <v>405</v>
      </c>
      <c r="AV420" s="3" t="str">
        <f>IFERROR(MID(VLOOKUP($B420,Seqs!$A:$B,2,0),AW420,1),"")</f>
        <v>N</v>
      </c>
      <c r="AW420" s="3">
        <v>406</v>
      </c>
      <c r="AX420" s="3" t="str">
        <f>IFERROR(MID(VLOOKUP($B420,Seqs!$A:$B,2,0),AY420,1),"")</f>
        <v>L</v>
      </c>
      <c r="AY420" s="3">
        <v>422</v>
      </c>
      <c r="AZ420" s="77" t="str">
        <f>VLOOKUP(B420,Classification!A:D,2,0)</f>
        <v>B1</v>
      </c>
      <c r="BA420" s="94" t="str">
        <f>VLOOKUP(B420,Classification!A:D,4,0)</f>
        <v>Glucagonreceptorfamily</v>
      </c>
      <c r="BB420" s="27" t="b">
        <f t="shared" si="3606"/>
        <v>1</v>
      </c>
      <c r="BC420" s="23">
        <f t="shared" si="3607"/>
        <v>238</v>
      </c>
      <c r="BD420" s="4" t="s">
        <v>23</v>
      </c>
      <c r="BE420" s="3" t="s">
        <v>1374</v>
      </c>
      <c r="BF420" s="118">
        <v>3</v>
      </c>
      <c r="BG420" s="49" t="s">
        <v>1</v>
      </c>
      <c r="BH420" s="49" t="s">
        <v>1</v>
      </c>
      <c r="BI420" s="1"/>
      <c r="BJ420" s="70" t="s">
        <v>1287</v>
      </c>
      <c r="BK420" s="57" t="s">
        <v>1287</v>
      </c>
      <c r="BL420" s="57" t="s">
        <v>1287</v>
      </c>
      <c r="BM420" s="57" t="s">
        <v>1287</v>
      </c>
      <c r="BN420" s="57" t="s">
        <v>1287</v>
      </c>
      <c r="BO420" s="57" t="s">
        <v>1287</v>
      </c>
      <c r="BP420" s="57" t="s">
        <v>1287</v>
      </c>
      <c r="BQ420" s="57" t="s">
        <v>1287</v>
      </c>
      <c r="BR420" s="57" t="s">
        <v>1287</v>
      </c>
      <c r="BS420" s="57" t="s">
        <v>1287</v>
      </c>
      <c r="BT420" s="57" t="s">
        <v>1287</v>
      </c>
      <c r="BU420" s="57" t="s">
        <v>1287</v>
      </c>
      <c r="BV420" s="70">
        <f t="shared" si="3608"/>
        <v>136</v>
      </c>
      <c r="BW420" s="71">
        <f t="shared" si="3609"/>
        <v>170</v>
      </c>
      <c r="BX420" s="72">
        <f t="shared" si="3610"/>
        <v>174</v>
      </c>
      <c r="BY420" s="71" t="str">
        <f t="shared" si="3611"/>
        <v>-</v>
      </c>
      <c r="BZ420" s="72">
        <f t="shared" si="3612"/>
        <v>224</v>
      </c>
      <c r="CA420" s="71" t="str">
        <f t="shared" si="3613"/>
        <v>-</v>
      </c>
      <c r="CB420" s="72">
        <f t="shared" si="3614"/>
        <v>262</v>
      </c>
      <c r="CC420" s="71">
        <f t="shared" si="3615"/>
        <v>296</v>
      </c>
      <c r="CD420" s="72">
        <f t="shared" si="3616"/>
        <v>304</v>
      </c>
      <c r="CE420" s="71">
        <f t="shared" si="3617"/>
        <v>344</v>
      </c>
      <c r="CF420" s="72">
        <f t="shared" si="3618"/>
        <v>380</v>
      </c>
      <c r="CG420" s="71">
        <f t="shared" si="3619"/>
        <v>406</v>
      </c>
      <c r="CH420" s="70">
        <f t="shared" si="3620"/>
        <v>169</v>
      </c>
      <c r="CI420" s="71">
        <f t="shared" si="3621"/>
        <v>173</v>
      </c>
      <c r="CJ420" s="72">
        <f t="shared" si="3622"/>
        <v>202</v>
      </c>
      <c r="CK420" s="72" t="str">
        <f t="shared" si="3623"/>
        <v>-</v>
      </c>
      <c r="CL420" s="72">
        <f t="shared" si="3624"/>
        <v>257</v>
      </c>
      <c r="CM420" s="72" t="str">
        <f t="shared" si="3625"/>
        <v>-</v>
      </c>
      <c r="CN420" s="72">
        <f t="shared" si="3626"/>
        <v>292</v>
      </c>
      <c r="CO420" s="72">
        <f t="shared" si="3627"/>
        <v>298</v>
      </c>
      <c r="CP420" s="72">
        <f t="shared" si="3628"/>
        <v>337</v>
      </c>
      <c r="CQ420" s="72">
        <f t="shared" si="3629"/>
        <v>367</v>
      </c>
      <c r="CR420" s="72">
        <f t="shared" si="3630"/>
        <v>405</v>
      </c>
      <c r="CS420" s="72">
        <f t="shared" si="3631"/>
        <v>422</v>
      </c>
      <c r="CT420" s="23">
        <f t="shared" si="3632"/>
        <v>1</v>
      </c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  <c r="AMK420" s="1"/>
      <c r="AML420" s="1"/>
      <c r="AMM420" s="1"/>
      <c r="AMN420" s="1"/>
      <c r="AMO420" s="1"/>
    </row>
    <row r="421" spans="1:1029" x14ac:dyDescent="0.2">
      <c r="A421" s="3" t="str">
        <f t="shared" si="3605"/>
        <v>glp1r_human_5NX2</v>
      </c>
      <c r="B421" s="3" t="s">
        <v>406</v>
      </c>
      <c r="C421" s="3" t="s">
        <v>1418</v>
      </c>
      <c r="D421" s="3" t="str">
        <f>IFERROR(MID(VLOOKUP($B421,Seqs!$A:$B,2,0),E421,1),"")</f>
        <v>E</v>
      </c>
      <c r="E421" s="3">
        <v>138</v>
      </c>
      <c r="F421" s="3" t="str">
        <f>IFERROR(MID(VLOOKUP($B421,Seqs!$A:$B,2,0),G421,1),"")</f>
        <v>F</v>
      </c>
      <c r="G421" s="3">
        <v>169</v>
      </c>
      <c r="H421" s="3" t="str">
        <f>IFERROR(MID(VLOOKUP($B421,Seqs!$A:$B,2,0),I421,1),"")</f>
        <v>R</v>
      </c>
      <c r="I421" s="23">
        <v>170</v>
      </c>
      <c r="J421" s="3" t="str">
        <f>IFERROR(MID(VLOOKUP($B421,Seqs!$A:$B,2,0),K421,1),"")</f>
        <v>H</v>
      </c>
      <c r="K421" s="23">
        <v>173</v>
      </c>
      <c r="L421" s="3" t="str">
        <f>IFERROR(MID(VLOOKUP($B421,Seqs!$A:$B,2,0),M421,1),"")</f>
        <v>C</v>
      </c>
      <c r="M421" s="23">
        <v>174</v>
      </c>
      <c r="N421" s="3" t="str">
        <f>IFERROR(MID(VLOOKUP($B421,Seqs!$A:$B,2,0),O421,1),"")</f>
        <v>S</v>
      </c>
      <c r="O421" s="3">
        <v>206</v>
      </c>
      <c r="P421" s="3" t="str">
        <f>IFERROR(MID(VLOOKUP($B421,Seqs!$A:$B,2,0),Q421,1),"")</f>
        <v/>
      </c>
      <c r="Q421" s="3" t="s">
        <v>23</v>
      </c>
      <c r="R421" s="3" t="str">
        <f>IFERROR(MID(VLOOKUP($B421,Seqs!$A:$B,2,0),S421,1),"")</f>
        <v/>
      </c>
      <c r="S421" s="3" t="s">
        <v>23</v>
      </c>
      <c r="T421" s="3" t="str">
        <f>IFERROR(MID(VLOOKUP($B421,Seqs!$A:$B,2,0),U421,1),"")</f>
        <v>L</v>
      </c>
      <c r="U421" s="3">
        <v>224</v>
      </c>
      <c r="V421" s="3" t="str">
        <f>IFERROR(MID(VLOOKUP($B421,Seqs!$A:$B,2,0),W421,1),"")</f>
        <v>F</v>
      </c>
      <c r="W421" s="3">
        <v>257</v>
      </c>
      <c r="X421" s="3" t="str">
        <f>IFERROR(MID(VLOOKUP($B421,Seqs!$A:$B,2,0),Y421,1),"")</f>
        <v/>
      </c>
      <c r="Y421" s="3" t="s">
        <v>23</v>
      </c>
      <c r="Z421" s="3" t="str">
        <f>IFERROR(MID(VLOOKUP($B421,Seqs!$A:$B,2,0),AA421,1),"")</f>
        <v/>
      </c>
      <c r="AA421" s="3" t="s">
        <v>23</v>
      </c>
      <c r="AB421" s="3" t="str">
        <f>IFERROR(MID(VLOOKUP($B421,Seqs!$A:$B,2,0),AC421,1),"")</f>
        <v>E</v>
      </c>
      <c r="AC421" s="3">
        <v>262</v>
      </c>
      <c r="AD421" s="3" t="str">
        <f>IFERROR(MID(VLOOKUP($B421,Seqs!$A:$B,2,0),AE421,1),"")</f>
        <v>Y</v>
      </c>
      <c r="AE421" s="3">
        <v>291</v>
      </c>
      <c r="AF421" s="3" t="str">
        <f>IFERROR(MID(VLOOKUP($B421,Seqs!$A:$B,2,0),AG421,1),"")</f>
        <v>C</v>
      </c>
      <c r="AG421" s="3">
        <v>296</v>
      </c>
      <c r="AH421" s="3" t="str">
        <f>IFERROR(MID(VLOOKUP($B421,Seqs!$A:$B,2,0),AI421,1),"")</f>
        <v>T</v>
      </c>
      <c r="AI421" s="3">
        <v>298</v>
      </c>
      <c r="AJ421" s="3" t="str">
        <f>IFERROR(MID(VLOOKUP($B421,Seqs!$A:$B,2,0),AK421,1),"")</f>
        <v>N</v>
      </c>
      <c r="AK421" s="3">
        <v>302</v>
      </c>
      <c r="AL421" s="3" t="str">
        <f>IFERROR(MID(VLOOKUP($B421,Seqs!$A:$B,2,0),AM421,1),"")</f>
        <v>L</v>
      </c>
      <c r="AM421" s="3">
        <v>335</v>
      </c>
      <c r="AN421" s="3" t="str">
        <f>IFERROR(MID(VLOOKUP($B421,Seqs!$A:$B,2,0),AO421,1),"")</f>
        <v>M</v>
      </c>
      <c r="AO421" s="3">
        <v>340</v>
      </c>
      <c r="AP421" s="3" t="str">
        <f>IFERROR(MID(VLOOKUP($B421,Seqs!$A:$B,2,0),AQ421,1),"")</f>
        <v>F</v>
      </c>
      <c r="AQ421" s="3">
        <v>369</v>
      </c>
      <c r="AR421" s="3" t="str">
        <f>IFERROR(MID(VLOOKUP($B421,Seqs!$A:$B,2,0),AS421,1),"")</f>
        <v>G</v>
      </c>
      <c r="AS421" s="3">
        <v>377</v>
      </c>
      <c r="AT421" s="3" t="str">
        <f>IFERROR(MID(VLOOKUP($B421,Seqs!$A:$B,2,0),AU421,1),"")</f>
        <v>V</v>
      </c>
      <c r="AU421" s="3">
        <v>405</v>
      </c>
      <c r="AV421" s="3" t="str">
        <f>IFERROR(MID(VLOOKUP($B421,Seqs!$A:$B,2,0),AW421,1),"")</f>
        <v>N</v>
      </c>
      <c r="AW421" s="3">
        <v>406</v>
      </c>
      <c r="AX421" s="3" t="str">
        <f>IFERROR(MID(VLOOKUP($B421,Seqs!$A:$B,2,0),AY421,1),"")</f>
        <v>S</v>
      </c>
      <c r="AY421" s="3">
        <v>416</v>
      </c>
      <c r="AZ421" s="77" t="str">
        <f>VLOOKUP(B421,Classification!A:D,2,0)</f>
        <v>B1</v>
      </c>
      <c r="BA421" s="94" t="str">
        <f>VLOOKUP(B421,Classification!A:D,4,0)</f>
        <v>Glucagonreceptorfamily</v>
      </c>
      <c r="BB421" s="27" t="b">
        <f t="shared" si="3606"/>
        <v>1</v>
      </c>
      <c r="BC421" s="23">
        <f t="shared" si="3607"/>
        <v>242</v>
      </c>
      <c r="BD421" s="4" t="s">
        <v>1429</v>
      </c>
      <c r="BE421" s="3" t="s">
        <v>1428</v>
      </c>
      <c r="BF421" s="118">
        <v>3.7</v>
      </c>
      <c r="BG421" s="49" t="s">
        <v>1</v>
      </c>
      <c r="BH421" s="49" t="s">
        <v>1</v>
      </c>
      <c r="BI421" s="1"/>
      <c r="BJ421" s="70" t="s">
        <v>1287</v>
      </c>
      <c r="BK421" s="57" t="s">
        <v>1287</v>
      </c>
      <c r="BL421" s="57" t="s">
        <v>1287</v>
      </c>
      <c r="BM421" s="57" t="s">
        <v>1287</v>
      </c>
      <c r="BN421" s="57" t="s">
        <v>1287</v>
      </c>
      <c r="BO421" s="57" t="s">
        <v>1287</v>
      </c>
      <c r="BP421" s="57" t="s">
        <v>1287</v>
      </c>
      <c r="BQ421" s="57" t="s">
        <v>1287</v>
      </c>
      <c r="BR421" s="57" t="s">
        <v>1287</v>
      </c>
      <c r="BS421" s="57" t="s">
        <v>1287</v>
      </c>
      <c r="BT421" s="57" t="s">
        <v>1287</v>
      </c>
      <c r="BU421" s="57" t="s">
        <v>1287</v>
      </c>
      <c r="BV421" s="70">
        <f t="shared" si="3608"/>
        <v>138</v>
      </c>
      <c r="BW421" s="71">
        <f t="shared" si="3609"/>
        <v>170</v>
      </c>
      <c r="BX421" s="72">
        <f t="shared" si="3610"/>
        <v>174</v>
      </c>
      <c r="BY421" s="71" t="str">
        <f t="shared" si="3611"/>
        <v>-</v>
      </c>
      <c r="BZ421" s="72">
        <f t="shared" si="3612"/>
        <v>224</v>
      </c>
      <c r="CA421" s="71" t="str">
        <f t="shared" si="3613"/>
        <v>-</v>
      </c>
      <c r="CB421" s="72">
        <f t="shared" si="3614"/>
        <v>262</v>
      </c>
      <c r="CC421" s="71">
        <f t="shared" si="3615"/>
        <v>296</v>
      </c>
      <c r="CD421" s="72">
        <f t="shared" si="3616"/>
        <v>302</v>
      </c>
      <c r="CE421" s="71">
        <f t="shared" si="3617"/>
        <v>340</v>
      </c>
      <c r="CF421" s="72">
        <f t="shared" si="3618"/>
        <v>377</v>
      </c>
      <c r="CG421" s="71">
        <f t="shared" si="3619"/>
        <v>406</v>
      </c>
      <c r="CH421" s="70">
        <f t="shared" si="3620"/>
        <v>169</v>
      </c>
      <c r="CI421" s="71">
        <f t="shared" si="3621"/>
        <v>173</v>
      </c>
      <c r="CJ421" s="72">
        <f t="shared" si="3622"/>
        <v>206</v>
      </c>
      <c r="CK421" s="72" t="str">
        <f t="shared" si="3623"/>
        <v>-</v>
      </c>
      <c r="CL421" s="72">
        <f t="shared" si="3624"/>
        <v>257</v>
      </c>
      <c r="CM421" s="72" t="str">
        <f t="shared" si="3625"/>
        <v>-</v>
      </c>
      <c r="CN421" s="72">
        <f t="shared" si="3626"/>
        <v>291</v>
      </c>
      <c r="CO421" s="72">
        <f t="shared" si="3627"/>
        <v>298</v>
      </c>
      <c r="CP421" s="72">
        <f t="shared" si="3628"/>
        <v>335</v>
      </c>
      <c r="CQ421" s="72">
        <f t="shared" si="3629"/>
        <v>369</v>
      </c>
      <c r="CR421" s="72">
        <f t="shared" si="3630"/>
        <v>405</v>
      </c>
      <c r="CS421" s="72">
        <f t="shared" si="3631"/>
        <v>416</v>
      </c>
      <c r="CT421" s="23">
        <f t="shared" si="3632"/>
        <v>1</v>
      </c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  <c r="AMK421" s="1"/>
      <c r="AML421" s="1"/>
      <c r="AMM421" s="1"/>
      <c r="AMN421" s="1"/>
      <c r="AMO421" s="1"/>
    </row>
    <row r="422" spans="1:1029" x14ac:dyDescent="0.2">
      <c r="A422" s="3" t="str">
        <f t="shared" si="3605"/>
        <v>glp1r_human_6B3J</v>
      </c>
      <c r="B422" s="3" t="s">
        <v>406</v>
      </c>
      <c r="C422" s="3" t="s">
        <v>1473</v>
      </c>
      <c r="D422" s="3" t="str">
        <f>IFERROR(MID(VLOOKUP($B422,Seqs!$A:$B,2,0),E422,1),"")</f>
        <v>E</v>
      </c>
      <c r="E422" s="3">
        <v>138</v>
      </c>
      <c r="F422" s="3" t="str">
        <f>IFERROR(MID(VLOOKUP($B422,Seqs!$A:$B,2,0),G422,1),"")</f>
        <v>F</v>
      </c>
      <c r="G422" s="3">
        <v>169</v>
      </c>
      <c r="H422" s="3" t="str">
        <f>IFERROR(MID(VLOOKUP($B422,Seqs!$A:$B,2,0),I422,1),"")</f>
        <v/>
      </c>
      <c r="I422" s="23" t="s">
        <v>23</v>
      </c>
      <c r="J422" s="3" t="str">
        <f>IFERROR(MID(VLOOKUP($B422,Seqs!$A:$B,2,0),K422,1),"")</f>
        <v/>
      </c>
      <c r="K422" s="23" t="s">
        <v>23</v>
      </c>
      <c r="L422" s="3" t="str">
        <f>IFERROR(MID(VLOOKUP($B422,Seqs!$A:$B,2,0),M422,1),"")</f>
        <v>C</v>
      </c>
      <c r="M422" s="23">
        <v>174</v>
      </c>
      <c r="N422" s="3" t="str">
        <f>IFERROR(MID(VLOOKUP($B422,Seqs!$A:$B,2,0),O422,1),"")</f>
        <v>Y</v>
      </c>
      <c r="O422" s="3">
        <v>205</v>
      </c>
      <c r="P422" s="3" t="str">
        <f>IFERROR(MID(VLOOKUP($B422,Seqs!$A:$B,2,0),Q422,1),"")</f>
        <v/>
      </c>
      <c r="Q422" s="3" t="s">
        <v>23</v>
      </c>
      <c r="R422" s="3" t="str">
        <f>IFERROR(MID(VLOOKUP($B422,Seqs!$A:$B,2,0),S422,1),"")</f>
        <v/>
      </c>
      <c r="S422" s="3" t="s">
        <v>23</v>
      </c>
      <c r="T422" s="3" t="str">
        <f>IFERROR(MID(VLOOKUP($B422,Seqs!$A:$B,2,0),U422,1),"")</f>
        <v>S</v>
      </c>
      <c r="U422" s="3">
        <v>225</v>
      </c>
      <c r="V422" s="3" t="str">
        <f>IFERROR(MID(VLOOKUP($B422,Seqs!$A:$B,2,0),W422,1),"")</f>
        <v>F</v>
      </c>
      <c r="W422" s="3">
        <v>257</v>
      </c>
      <c r="X422" s="3" t="str">
        <f>IFERROR(MID(VLOOKUP($B422,Seqs!$A:$B,2,0),Y422,1),"")</f>
        <v/>
      </c>
      <c r="Y422" s="3" t="s">
        <v>23</v>
      </c>
      <c r="Z422" s="3" t="str">
        <f>IFERROR(MID(VLOOKUP($B422,Seqs!$A:$B,2,0),AA422,1),"")</f>
        <v/>
      </c>
      <c r="AA422" s="3" t="s">
        <v>23</v>
      </c>
      <c r="AB422" s="3" t="str">
        <f>IFERROR(MID(VLOOKUP($B422,Seqs!$A:$B,2,0),AC422,1),"")</f>
        <v>S</v>
      </c>
      <c r="AC422" s="3">
        <v>261</v>
      </c>
      <c r="AD422" s="3" t="str">
        <f>IFERROR(MID(VLOOKUP($B422,Seqs!$A:$B,2,0),AE422,1),"")</f>
        <v>E</v>
      </c>
      <c r="AE422" s="3">
        <v>292</v>
      </c>
      <c r="AF422" s="3" t="str">
        <f>IFERROR(MID(VLOOKUP($B422,Seqs!$A:$B,2,0),AG422,1),"")</f>
        <v>C</v>
      </c>
      <c r="AG422" s="3">
        <v>296</v>
      </c>
      <c r="AH422" s="3" t="str">
        <f>IFERROR(MID(VLOOKUP($B422,Seqs!$A:$B,2,0),AI422,1),"")</f>
        <v>T</v>
      </c>
      <c r="AI422" s="3">
        <v>298</v>
      </c>
      <c r="AJ422" s="3" t="str">
        <f>IFERROR(MID(VLOOKUP($B422,Seqs!$A:$B,2,0),AK422,1),"")</f>
        <v>N</v>
      </c>
      <c r="AK422" s="3">
        <v>302</v>
      </c>
      <c r="AL422" s="3" t="str">
        <f>IFERROR(MID(VLOOKUP($B422,Seqs!$A:$B,2,0),AM422,1),"")</f>
        <v>A</v>
      </c>
      <c r="AM422" s="3">
        <v>337</v>
      </c>
      <c r="AN422" s="3" t="str">
        <f>IFERROR(MID(VLOOKUP($B422,Seqs!$A:$B,2,0),AO422,1),"")</f>
        <v>D</v>
      </c>
      <c r="AO422" s="3">
        <v>344</v>
      </c>
      <c r="AP422" s="3" t="str">
        <f>IFERROR(MID(VLOOKUP($B422,Seqs!$A:$B,2,0),AQ422,1),"")</f>
        <v>F</v>
      </c>
      <c r="AQ422" s="3">
        <v>369</v>
      </c>
      <c r="AR422" s="3" t="str">
        <f>IFERROR(MID(VLOOKUP($B422,Seqs!$A:$B,2,0),AS422,1),"")</f>
        <v>R</v>
      </c>
      <c r="AS422" s="3">
        <v>380</v>
      </c>
      <c r="AT422" s="3" t="str">
        <f>IFERROR(MID(VLOOKUP($B422,Seqs!$A:$B,2,0),AU422,1),"")</f>
        <v>V</v>
      </c>
      <c r="AU422" s="3">
        <v>405</v>
      </c>
      <c r="AV422" s="3" t="str">
        <f>IFERROR(MID(VLOOKUP($B422,Seqs!$A:$B,2,0),AW422,1),"")</f>
        <v>N</v>
      </c>
      <c r="AW422" s="3">
        <v>406</v>
      </c>
      <c r="AX422" s="3" t="str">
        <f>IFERROR(MID(VLOOKUP($B422,Seqs!$A:$B,2,0),AY422,1),"")</f>
        <v>E</v>
      </c>
      <c r="AY422" s="3">
        <v>423</v>
      </c>
      <c r="AZ422" s="77" t="str">
        <f>VLOOKUP(B422,Classification!A:D,2,0)</f>
        <v>B1</v>
      </c>
      <c r="BA422" s="94" t="str">
        <f>VLOOKUP(B422,Classification!A:D,4,0)</f>
        <v>Glucagonreceptorfamily</v>
      </c>
      <c r="BB422" s="27" t="b">
        <f t="shared" si="3606"/>
        <v>1</v>
      </c>
      <c r="BC422" s="23">
        <f t="shared" si="3607"/>
        <v>241</v>
      </c>
      <c r="BD422" s="4" t="s">
        <v>1375</v>
      </c>
      <c r="BE422" s="3" t="s">
        <v>1291</v>
      </c>
      <c r="BF422" s="118">
        <v>3.3</v>
      </c>
      <c r="BG422" s="49" t="s">
        <v>1422</v>
      </c>
      <c r="BH422" s="49" t="s">
        <v>1422</v>
      </c>
      <c r="BI422" s="1"/>
      <c r="BJ422" s="70" t="s">
        <v>1287</v>
      </c>
      <c r="BK422" s="57" t="s">
        <v>1287</v>
      </c>
      <c r="BL422" s="57" t="s">
        <v>1287</v>
      </c>
      <c r="BM422" s="57" t="s">
        <v>1287</v>
      </c>
      <c r="BN422" s="57" t="s">
        <v>1287</v>
      </c>
      <c r="BO422" s="57" t="s">
        <v>1287</v>
      </c>
      <c r="BP422" s="57" t="s">
        <v>1287</v>
      </c>
      <c r="BQ422" s="57" t="s">
        <v>1287</v>
      </c>
      <c r="BR422" s="57" t="s">
        <v>1287</v>
      </c>
      <c r="BS422" s="57" t="s">
        <v>1287</v>
      </c>
      <c r="BT422" s="57" t="s">
        <v>1287</v>
      </c>
      <c r="BU422" s="57" t="s">
        <v>1287</v>
      </c>
      <c r="BV422" s="70">
        <f t="shared" si="3608"/>
        <v>138</v>
      </c>
      <c r="BW422" s="71" t="str">
        <f t="shared" si="3609"/>
        <v>-</v>
      </c>
      <c r="BX422" s="72">
        <f t="shared" si="3610"/>
        <v>174</v>
      </c>
      <c r="BY422" s="71" t="str">
        <f t="shared" si="3611"/>
        <v>-</v>
      </c>
      <c r="BZ422" s="72">
        <f t="shared" si="3612"/>
        <v>225</v>
      </c>
      <c r="CA422" s="71" t="str">
        <f t="shared" si="3613"/>
        <v>-</v>
      </c>
      <c r="CB422" s="72">
        <f t="shared" si="3614"/>
        <v>261</v>
      </c>
      <c r="CC422" s="71">
        <f t="shared" si="3615"/>
        <v>296</v>
      </c>
      <c r="CD422" s="72">
        <f t="shared" si="3616"/>
        <v>302</v>
      </c>
      <c r="CE422" s="71">
        <f t="shared" si="3617"/>
        <v>344</v>
      </c>
      <c r="CF422" s="72">
        <f t="shared" si="3618"/>
        <v>380</v>
      </c>
      <c r="CG422" s="71">
        <f t="shared" si="3619"/>
        <v>406</v>
      </c>
      <c r="CH422" s="70">
        <f t="shared" si="3620"/>
        <v>169</v>
      </c>
      <c r="CI422" s="71" t="str">
        <f t="shared" si="3621"/>
        <v>-</v>
      </c>
      <c r="CJ422" s="72">
        <f t="shared" si="3622"/>
        <v>205</v>
      </c>
      <c r="CK422" s="72" t="str">
        <f t="shared" si="3623"/>
        <v>-</v>
      </c>
      <c r="CL422" s="72">
        <f t="shared" si="3624"/>
        <v>257</v>
      </c>
      <c r="CM422" s="72" t="str">
        <f t="shared" si="3625"/>
        <v>-</v>
      </c>
      <c r="CN422" s="72">
        <f t="shared" si="3626"/>
        <v>292</v>
      </c>
      <c r="CO422" s="72">
        <f t="shared" si="3627"/>
        <v>298</v>
      </c>
      <c r="CP422" s="72">
        <f t="shared" si="3628"/>
        <v>337</v>
      </c>
      <c r="CQ422" s="72">
        <f t="shared" si="3629"/>
        <v>369</v>
      </c>
      <c r="CR422" s="72">
        <f t="shared" si="3630"/>
        <v>405</v>
      </c>
      <c r="CS422" s="72">
        <f t="shared" si="3631"/>
        <v>423</v>
      </c>
      <c r="CT422" s="23" t="e">
        <f t="shared" si="3632"/>
        <v>#VALUE!</v>
      </c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  <c r="AMK422" s="1"/>
      <c r="AML422" s="1"/>
      <c r="AMM422" s="1"/>
      <c r="AMN422" s="1"/>
      <c r="AMO422" s="1"/>
    </row>
    <row r="423" spans="1:1029" s="12" customFormat="1" x14ac:dyDescent="0.2">
      <c r="A423" s="9" t="str">
        <f t="shared" ref="A423" si="3689">CONCATENATE(B423,"_",C423)</f>
        <v>glp1r_human_6KJV</v>
      </c>
      <c r="B423" s="9" t="s">
        <v>406</v>
      </c>
      <c r="C423" s="9" t="s">
        <v>1604</v>
      </c>
      <c r="D423" s="9" t="str">
        <f>IFERROR(MID(VLOOKUP($B423,Seqs!$A:$B,2,0),E423,1),"")</f>
        <v>S</v>
      </c>
      <c r="E423" s="9">
        <v>136</v>
      </c>
      <c r="F423" s="9" t="str">
        <f>IFERROR(MID(VLOOKUP($B423,Seqs!$A:$B,2,0),G423,1),"")</f>
        <v>F</v>
      </c>
      <c r="G423" s="9">
        <v>169</v>
      </c>
      <c r="H423" s="9" t="str">
        <f>IFERROR(MID(VLOOKUP($B423,Seqs!$A:$B,2,0),I423,1),"")</f>
        <v>R</v>
      </c>
      <c r="I423" s="109">
        <v>170</v>
      </c>
      <c r="J423" s="9" t="str">
        <f>IFERROR(MID(VLOOKUP($B423,Seqs!$A:$B,2,0),K423,1),"")</f>
        <v>H</v>
      </c>
      <c r="K423" s="109">
        <v>173</v>
      </c>
      <c r="L423" s="9" t="str">
        <f>IFERROR(MID(VLOOKUP($B423,Seqs!$A:$B,2,0),M423,1),"")</f>
        <v>C</v>
      </c>
      <c r="M423" s="109">
        <v>174</v>
      </c>
      <c r="N423" s="9" t="str">
        <f>IFERROR(MID(VLOOKUP($B423,Seqs!$A:$B,2,0),O423,1),"")</f>
        <v>K</v>
      </c>
      <c r="O423" s="9">
        <v>202</v>
      </c>
      <c r="P423" s="9" t="str">
        <f>IFERROR(MID(VLOOKUP($B423,Seqs!$A:$B,2,0),Q423,1),"")</f>
        <v/>
      </c>
      <c r="Q423" s="9" t="s">
        <v>23</v>
      </c>
      <c r="R423" s="9" t="str">
        <f>IFERROR(MID(VLOOKUP($B423,Seqs!$A:$B,2,0),S423,1),"")</f>
        <v/>
      </c>
      <c r="S423" s="9" t="s">
        <v>23</v>
      </c>
      <c r="T423" s="9" t="str">
        <f>IFERROR(MID(VLOOKUP($B423,Seqs!$A:$B,2,0),U423,1),"")</f>
        <v>L</v>
      </c>
      <c r="U423" s="9">
        <v>224</v>
      </c>
      <c r="V423" s="9" t="str">
        <f>IFERROR(MID(VLOOKUP($B423,Seqs!$A:$B,2,0),W423,1),"")</f>
        <v>F</v>
      </c>
      <c r="W423" s="9">
        <v>257</v>
      </c>
      <c r="X423" s="9" t="str">
        <f>IFERROR(MID(VLOOKUP($B423,Seqs!$A:$B,2,0),Y423,1),"")</f>
        <v/>
      </c>
      <c r="Y423" s="9" t="s">
        <v>23</v>
      </c>
      <c r="Z423" s="9" t="str">
        <f>IFERROR(MID(VLOOKUP($B423,Seqs!$A:$B,2,0),AA423,1),"")</f>
        <v/>
      </c>
      <c r="AA423" s="9" t="s">
        <v>23</v>
      </c>
      <c r="AB423" s="9" t="str">
        <f>IFERROR(MID(VLOOKUP($B423,Seqs!$A:$B,2,0),AC423,1),"")</f>
        <v>E</v>
      </c>
      <c r="AC423" s="9">
        <v>262</v>
      </c>
      <c r="AD423" s="9" t="str">
        <f>IFERROR(MID(VLOOKUP($B423,Seqs!$A:$B,2,0),AE423,1),"")</f>
        <v>E</v>
      </c>
      <c r="AE423" s="9">
        <v>292</v>
      </c>
      <c r="AF423" s="9" t="str">
        <f>IFERROR(MID(VLOOKUP($B423,Seqs!$A:$B,2,0),AG423,1),"")</f>
        <v>C</v>
      </c>
      <c r="AG423" s="9">
        <v>296</v>
      </c>
      <c r="AH423" s="9" t="str">
        <f>IFERROR(MID(VLOOKUP($B423,Seqs!$A:$B,2,0),AI423,1),"")</f>
        <v>T</v>
      </c>
      <c r="AI423" s="9">
        <v>298</v>
      </c>
      <c r="AJ423" s="9" t="str">
        <f>IFERROR(MID(VLOOKUP($B423,Seqs!$A:$B,2,0),AK423,1),"")</f>
        <v>M</v>
      </c>
      <c r="AK423" s="9">
        <v>303</v>
      </c>
      <c r="AL423" s="9" t="str">
        <f>IFERROR(MID(VLOOKUP($B423,Seqs!$A:$B,2,0),AM423,1),"")</f>
        <v>N</v>
      </c>
      <c r="AM423" s="9">
        <v>338</v>
      </c>
      <c r="AN423" s="9" t="str">
        <f>IFERROR(MID(VLOOKUP($B423,Seqs!$A:$B,2,0),AO423,1),"")</f>
        <v>D</v>
      </c>
      <c r="AO423" s="9">
        <v>344</v>
      </c>
      <c r="AP423" s="9" t="str">
        <f>IFERROR(MID(VLOOKUP($B423,Seqs!$A:$B,2,0),AQ423,1),"")</f>
        <v>F</v>
      </c>
      <c r="AQ423" s="9">
        <v>367</v>
      </c>
      <c r="AR423" s="9" t="str">
        <f>IFERROR(MID(VLOOKUP($B423,Seqs!$A:$B,2,0),AS423,1),"")</f>
        <v>R</v>
      </c>
      <c r="AS423" s="9">
        <v>380</v>
      </c>
      <c r="AT423" s="9" t="str">
        <f>IFERROR(MID(VLOOKUP($B423,Seqs!$A:$B,2,0),AU423,1),"")</f>
        <v>V</v>
      </c>
      <c r="AU423" s="9">
        <v>405</v>
      </c>
      <c r="AV423" s="9" t="str">
        <f>IFERROR(MID(VLOOKUP($B423,Seqs!$A:$B,2,0),AW423,1),"")</f>
        <v>N</v>
      </c>
      <c r="AW423" s="9">
        <v>406</v>
      </c>
      <c r="AX423" s="9" t="str">
        <f>IFERROR(MID(VLOOKUP($B423,Seqs!$A:$B,2,0),AY423,1),"")</f>
        <v>L</v>
      </c>
      <c r="AY423" s="9">
        <v>422</v>
      </c>
      <c r="AZ423" s="110" t="str">
        <f>VLOOKUP(B423,Classification!A:D,2,0)</f>
        <v>B1</v>
      </c>
      <c r="BA423" s="98" t="str">
        <f>VLOOKUP(B423,Classification!A:D,4,0)</f>
        <v>Glucagonreceptorfamily</v>
      </c>
      <c r="BB423" s="36" t="b">
        <f t="shared" ref="BB423" si="3690">AND(E423&lt;G423,OR(G423&lt;I423,I423="-"),OR(I423&lt;K423,I423="-"),OR(K423&lt;M423,K423="-"),M423&lt;O423,OR(O423&lt;Q423,Q423="-"),OR(Q423&lt;S423,Q423="-"),OR(S423&lt;U423,S423="-"),U423&lt;W423,OR(W423&lt;Y423,Y423="-"),OR(Y423&lt;AA423,Y423="-"),OR(AA423&lt;AC423,AA423="-"),AC423&lt;AE423,OR(AE423&lt;AG423,AG423="-"),OR(AG423&lt;AI423,AG423="-"),OR(AI423&lt;AK423,AI423="-"),AK423&lt;AM423,AM423&lt;AO423,AO423&lt;AQ423,AQ423&lt;AS423,AS423&lt;AU423,OR(AU423&lt;AW423,AW423="-"),OR(AW423&lt;AY423,AW423="-"))</f>
        <v>1</v>
      </c>
      <c r="BC423" s="109">
        <f t="shared" ref="BC423" si="3691">_xlfn.AGGREGATE(9,6,CH423:CS423)-_xlfn.AGGREGATE(9,6,BV423:CG423)+12</f>
        <v>240</v>
      </c>
      <c r="BD423" s="11" t="s">
        <v>23</v>
      </c>
      <c r="BE423" s="9" t="s">
        <v>1374</v>
      </c>
      <c r="BF423" s="119">
        <v>2.8</v>
      </c>
      <c r="BG423" s="51" t="s">
        <v>1281</v>
      </c>
      <c r="BH423" s="51" t="s">
        <v>1281</v>
      </c>
      <c r="BJ423" s="111" t="s">
        <v>1287</v>
      </c>
      <c r="BK423" s="112" t="s">
        <v>1287</v>
      </c>
      <c r="BL423" s="112" t="s">
        <v>1287</v>
      </c>
      <c r="BM423" s="112" t="s">
        <v>1287</v>
      </c>
      <c r="BN423" s="112" t="s">
        <v>1287</v>
      </c>
      <c r="BO423" s="112" t="s">
        <v>1287</v>
      </c>
      <c r="BP423" s="112" t="s">
        <v>1287</v>
      </c>
      <c r="BQ423" s="112" t="s">
        <v>1287</v>
      </c>
      <c r="BR423" s="112" t="s">
        <v>1287</v>
      </c>
      <c r="BS423" s="112" t="s">
        <v>1287</v>
      </c>
      <c r="BT423" s="112" t="s">
        <v>1287</v>
      </c>
      <c r="BU423" s="112" t="s">
        <v>1287</v>
      </c>
      <c r="BV423" s="111">
        <f t="shared" ref="BV423" si="3692">E423</f>
        <v>136</v>
      </c>
      <c r="BW423" s="113">
        <f t="shared" ref="BW423" si="3693">I423</f>
        <v>170</v>
      </c>
      <c r="BX423" s="114">
        <f t="shared" ref="BX423" si="3694">M423</f>
        <v>174</v>
      </c>
      <c r="BY423" s="113" t="str">
        <f t="shared" ref="BY423" si="3695">Q423</f>
        <v>-</v>
      </c>
      <c r="BZ423" s="114">
        <f t="shared" ref="BZ423" si="3696">U423</f>
        <v>224</v>
      </c>
      <c r="CA423" s="113" t="str">
        <f t="shared" ref="CA423" si="3697">Y423</f>
        <v>-</v>
      </c>
      <c r="CB423" s="114">
        <f t="shared" ref="CB423" si="3698">AC423</f>
        <v>262</v>
      </c>
      <c r="CC423" s="113">
        <f t="shared" ref="CC423" si="3699">AG423</f>
        <v>296</v>
      </c>
      <c r="CD423" s="114">
        <f t="shared" ref="CD423" si="3700">AK423</f>
        <v>303</v>
      </c>
      <c r="CE423" s="113">
        <f t="shared" ref="CE423" si="3701">AO423</f>
        <v>344</v>
      </c>
      <c r="CF423" s="114">
        <f t="shared" ref="CF423" si="3702">AS423</f>
        <v>380</v>
      </c>
      <c r="CG423" s="113">
        <f t="shared" ref="CG423" si="3703">AW423</f>
        <v>406</v>
      </c>
      <c r="CH423" s="111">
        <f t="shared" ref="CH423" si="3704">G423</f>
        <v>169</v>
      </c>
      <c r="CI423" s="113">
        <f t="shared" ref="CI423" si="3705">K423</f>
        <v>173</v>
      </c>
      <c r="CJ423" s="114">
        <f t="shared" ref="CJ423" si="3706">O423</f>
        <v>202</v>
      </c>
      <c r="CK423" s="114" t="str">
        <f t="shared" ref="CK423" si="3707">S423</f>
        <v>-</v>
      </c>
      <c r="CL423" s="114">
        <f t="shared" ref="CL423" si="3708">W423</f>
        <v>257</v>
      </c>
      <c r="CM423" s="114" t="str">
        <f t="shared" ref="CM423" si="3709">AA423</f>
        <v>-</v>
      </c>
      <c r="CN423" s="114">
        <f t="shared" ref="CN423" si="3710">AE423</f>
        <v>292</v>
      </c>
      <c r="CO423" s="114">
        <f t="shared" ref="CO423" si="3711">AI423</f>
        <v>298</v>
      </c>
      <c r="CP423" s="114">
        <f t="shared" ref="CP423" si="3712">AM423</f>
        <v>338</v>
      </c>
      <c r="CQ423" s="114">
        <f t="shared" ref="CQ423" si="3713">AQ423</f>
        <v>367</v>
      </c>
      <c r="CR423" s="114">
        <f t="shared" ref="CR423" si="3714">AU423</f>
        <v>405</v>
      </c>
      <c r="CS423" s="114">
        <f t="shared" ref="CS423" si="3715">AY423</f>
        <v>422</v>
      </c>
      <c r="CT423" s="109">
        <f t="shared" ref="CT423" si="3716">M423-K423</f>
        <v>1</v>
      </c>
    </row>
    <row r="424" spans="1:1029" s="12" customFormat="1" x14ac:dyDescent="0.2">
      <c r="A424" s="9" t="str">
        <f t="shared" ref="A424" si="3717">CONCATENATE(B424,"_",C424)</f>
        <v>glp1r_human_6KK1</v>
      </c>
      <c r="B424" s="9" t="s">
        <v>406</v>
      </c>
      <c r="C424" s="9" t="s">
        <v>1605</v>
      </c>
      <c r="D424" s="9" t="str">
        <f>IFERROR(MID(VLOOKUP($B424,Seqs!$A:$B,2,0),E424,1),"")</f>
        <v>S</v>
      </c>
      <c r="E424" s="9">
        <v>136</v>
      </c>
      <c r="F424" s="9" t="str">
        <f>IFERROR(MID(VLOOKUP($B424,Seqs!$A:$B,2,0),G424,1),"")</f>
        <v>F</v>
      </c>
      <c r="G424" s="9">
        <v>169</v>
      </c>
      <c r="H424" s="9" t="str">
        <f>IFERROR(MID(VLOOKUP($B424,Seqs!$A:$B,2,0),I424,1),"")</f>
        <v>R</v>
      </c>
      <c r="I424" s="109">
        <v>170</v>
      </c>
      <c r="J424" s="9" t="str">
        <f>IFERROR(MID(VLOOKUP($B424,Seqs!$A:$B,2,0),K424,1),"")</f>
        <v>H</v>
      </c>
      <c r="K424" s="109">
        <v>173</v>
      </c>
      <c r="L424" s="9" t="str">
        <f>IFERROR(MID(VLOOKUP($B424,Seqs!$A:$B,2,0),M424,1),"")</f>
        <v>C</v>
      </c>
      <c r="M424" s="109">
        <v>174</v>
      </c>
      <c r="N424" s="9" t="str">
        <f>IFERROR(MID(VLOOKUP($B424,Seqs!$A:$B,2,0),O424,1),"")</f>
        <v>K</v>
      </c>
      <c r="O424" s="9">
        <v>202</v>
      </c>
      <c r="P424" s="9" t="str">
        <f>IFERROR(MID(VLOOKUP($B424,Seqs!$A:$B,2,0),Q424,1),"")</f>
        <v/>
      </c>
      <c r="Q424" s="9" t="s">
        <v>23</v>
      </c>
      <c r="R424" s="9" t="str">
        <f>IFERROR(MID(VLOOKUP($B424,Seqs!$A:$B,2,0),S424,1),"")</f>
        <v/>
      </c>
      <c r="S424" s="9" t="s">
        <v>23</v>
      </c>
      <c r="T424" s="9" t="str">
        <f>IFERROR(MID(VLOOKUP($B424,Seqs!$A:$B,2,0),U424,1),"")</f>
        <v>L</v>
      </c>
      <c r="U424" s="9">
        <v>224</v>
      </c>
      <c r="V424" s="9" t="str">
        <f>IFERROR(MID(VLOOKUP($B424,Seqs!$A:$B,2,0),W424,1),"")</f>
        <v>F</v>
      </c>
      <c r="W424" s="9">
        <v>257</v>
      </c>
      <c r="X424" s="9" t="str">
        <f>IFERROR(MID(VLOOKUP($B424,Seqs!$A:$B,2,0),Y424,1),"")</f>
        <v/>
      </c>
      <c r="Y424" s="9" t="s">
        <v>23</v>
      </c>
      <c r="Z424" s="9" t="str">
        <f>IFERROR(MID(VLOOKUP($B424,Seqs!$A:$B,2,0),AA424,1),"")</f>
        <v/>
      </c>
      <c r="AA424" s="9" t="s">
        <v>23</v>
      </c>
      <c r="AB424" s="9" t="str">
        <f>IFERROR(MID(VLOOKUP($B424,Seqs!$A:$B,2,0),AC424,1),"")</f>
        <v>E</v>
      </c>
      <c r="AC424" s="9">
        <v>262</v>
      </c>
      <c r="AD424" s="9" t="str">
        <f>IFERROR(MID(VLOOKUP($B424,Seqs!$A:$B,2,0),AE424,1),"")</f>
        <v>E</v>
      </c>
      <c r="AE424" s="9">
        <v>292</v>
      </c>
      <c r="AF424" s="9" t="str">
        <f>IFERROR(MID(VLOOKUP($B424,Seqs!$A:$B,2,0),AG424,1),"")</f>
        <v>C</v>
      </c>
      <c r="AG424" s="9">
        <v>296</v>
      </c>
      <c r="AH424" s="9" t="str">
        <f>IFERROR(MID(VLOOKUP($B424,Seqs!$A:$B,2,0),AI424,1),"")</f>
        <v>T</v>
      </c>
      <c r="AI424" s="9">
        <v>298</v>
      </c>
      <c r="AJ424" s="9" t="str">
        <f>IFERROR(MID(VLOOKUP($B424,Seqs!$A:$B,2,0),AK424,1),"")</f>
        <v>M</v>
      </c>
      <c r="AK424" s="9">
        <v>303</v>
      </c>
      <c r="AL424" s="9" t="str">
        <f>IFERROR(MID(VLOOKUP($B424,Seqs!$A:$B,2,0),AM424,1),"")</f>
        <v>N</v>
      </c>
      <c r="AM424" s="9">
        <v>338</v>
      </c>
      <c r="AN424" s="9" t="str">
        <f>IFERROR(MID(VLOOKUP($B424,Seqs!$A:$B,2,0),AO424,1),"")</f>
        <v>D</v>
      </c>
      <c r="AO424" s="9">
        <v>344</v>
      </c>
      <c r="AP424" s="9" t="str">
        <f>IFERROR(MID(VLOOKUP($B424,Seqs!$A:$B,2,0),AQ424,1),"")</f>
        <v>F</v>
      </c>
      <c r="AQ424" s="9">
        <v>367</v>
      </c>
      <c r="AR424" s="9" t="str">
        <f>IFERROR(MID(VLOOKUP($B424,Seqs!$A:$B,2,0),AS424,1),"")</f>
        <v>R</v>
      </c>
      <c r="AS424" s="9">
        <v>380</v>
      </c>
      <c r="AT424" s="9" t="str">
        <f>IFERROR(MID(VLOOKUP($B424,Seqs!$A:$B,2,0),AU424,1),"")</f>
        <v>V</v>
      </c>
      <c r="AU424" s="9">
        <v>405</v>
      </c>
      <c r="AV424" s="9" t="str">
        <f>IFERROR(MID(VLOOKUP($B424,Seqs!$A:$B,2,0),AW424,1),"")</f>
        <v>N</v>
      </c>
      <c r="AW424" s="9">
        <v>406</v>
      </c>
      <c r="AX424" s="9" t="str">
        <f>IFERROR(MID(VLOOKUP($B424,Seqs!$A:$B,2,0),AY424,1),"")</f>
        <v>L</v>
      </c>
      <c r="AY424" s="9">
        <v>422</v>
      </c>
      <c r="AZ424" s="110" t="str">
        <f>VLOOKUP(B424,Classification!A:D,2,0)</f>
        <v>B1</v>
      </c>
      <c r="BA424" s="98" t="str">
        <f>VLOOKUP(B424,Classification!A:D,4,0)</f>
        <v>Glucagonreceptorfamily</v>
      </c>
      <c r="BB424" s="36" t="b">
        <f t="shared" ref="BB424" si="3718">AND(E424&lt;G424,OR(G424&lt;I424,I424="-"),OR(I424&lt;K424,I424="-"),OR(K424&lt;M424,K424="-"),M424&lt;O424,OR(O424&lt;Q424,Q424="-"),OR(Q424&lt;S424,Q424="-"),OR(S424&lt;U424,S424="-"),U424&lt;W424,OR(W424&lt;Y424,Y424="-"),OR(Y424&lt;AA424,Y424="-"),OR(AA424&lt;AC424,AA424="-"),AC424&lt;AE424,OR(AE424&lt;AG424,AG424="-"),OR(AG424&lt;AI424,AG424="-"),OR(AI424&lt;AK424,AI424="-"),AK424&lt;AM424,AM424&lt;AO424,AO424&lt;AQ424,AQ424&lt;AS424,AS424&lt;AU424,OR(AU424&lt;AW424,AW424="-"),OR(AW424&lt;AY424,AW424="-"))</f>
        <v>1</v>
      </c>
      <c r="BC424" s="109">
        <f t="shared" ref="BC424" si="3719">_xlfn.AGGREGATE(9,6,CH424:CS424)-_xlfn.AGGREGATE(9,6,BV424:CG424)+12</f>
        <v>240</v>
      </c>
      <c r="BD424" s="11" t="s">
        <v>23</v>
      </c>
      <c r="BE424" s="9" t="s">
        <v>1374</v>
      </c>
      <c r="BF424" s="119">
        <v>2.8</v>
      </c>
      <c r="BG424" s="51" t="s">
        <v>1281</v>
      </c>
      <c r="BH424" s="51" t="s">
        <v>1281</v>
      </c>
      <c r="BJ424" s="111" t="s">
        <v>1287</v>
      </c>
      <c r="BK424" s="112" t="s">
        <v>1287</v>
      </c>
      <c r="BL424" s="112" t="s">
        <v>1287</v>
      </c>
      <c r="BM424" s="112" t="s">
        <v>1287</v>
      </c>
      <c r="BN424" s="112" t="s">
        <v>1287</v>
      </c>
      <c r="BO424" s="112" t="s">
        <v>1287</v>
      </c>
      <c r="BP424" s="112" t="s">
        <v>1287</v>
      </c>
      <c r="BQ424" s="112" t="s">
        <v>1287</v>
      </c>
      <c r="BR424" s="112" t="s">
        <v>1287</v>
      </c>
      <c r="BS424" s="112" t="s">
        <v>1287</v>
      </c>
      <c r="BT424" s="112" t="s">
        <v>1287</v>
      </c>
      <c r="BU424" s="112" t="s">
        <v>1287</v>
      </c>
      <c r="BV424" s="111">
        <f t="shared" ref="BV424" si="3720">E424</f>
        <v>136</v>
      </c>
      <c r="BW424" s="113">
        <f t="shared" ref="BW424" si="3721">I424</f>
        <v>170</v>
      </c>
      <c r="BX424" s="114">
        <f t="shared" ref="BX424" si="3722">M424</f>
        <v>174</v>
      </c>
      <c r="BY424" s="113" t="str">
        <f t="shared" ref="BY424" si="3723">Q424</f>
        <v>-</v>
      </c>
      <c r="BZ424" s="114">
        <f t="shared" ref="BZ424" si="3724">U424</f>
        <v>224</v>
      </c>
      <c r="CA424" s="113" t="str">
        <f t="shared" ref="CA424" si="3725">Y424</f>
        <v>-</v>
      </c>
      <c r="CB424" s="114">
        <f t="shared" ref="CB424" si="3726">AC424</f>
        <v>262</v>
      </c>
      <c r="CC424" s="113">
        <f t="shared" ref="CC424" si="3727">AG424</f>
        <v>296</v>
      </c>
      <c r="CD424" s="114">
        <f t="shared" ref="CD424" si="3728">AK424</f>
        <v>303</v>
      </c>
      <c r="CE424" s="113">
        <f t="shared" ref="CE424" si="3729">AO424</f>
        <v>344</v>
      </c>
      <c r="CF424" s="114">
        <f t="shared" ref="CF424" si="3730">AS424</f>
        <v>380</v>
      </c>
      <c r="CG424" s="113">
        <f t="shared" ref="CG424" si="3731">AW424</f>
        <v>406</v>
      </c>
      <c r="CH424" s="111">
        <f t="shared" ref="CH424" si="3732">G424</f>
        <v>169</v>
      </c>
      <c r="CI424" s="113">
        <f t="shared" ref="CI424" si="3733">K424</f>
        <v>173</v>
      </c>
      <c r="CJ424" s="114">
        <f t="shared" ref="CJ424" si="3734">O424</f>
        <v>202</v>
      </c>
      <c r="CK424" s="114" t="str">
        <f t="shared" ref="CK424" si="3735">S424</f>
        <v>-</v>
      </c>
      <c r="CL424" s="114">
        <f t="shared" ref="CL424" si="3736">W424</f>
        <v>257</v>
      </c>
      <c r="CM424" s="114" t="str">
        <f t="shared" ref="CM424" si="3737">AA424</f>
        <v>-</v>
      </c>
      <c r="CN424" s="114">
        <f t="shared" ref="CN424" si="3738">AE424</f>
        <v>292</v>
      </c>
      <c r="CO424" s="114">
        <f t="shared" ref="CO424" si="3739">AI424</f>
        <v>298</v>
      </c>
      <c r="CP424" s="114">
        <f t="shared" ref="CP424" si="3740">AM424</f>
        <v>338</v>
      </c>
      <c r="CQ424" s="114">
        <f t="shared" ref="CQ424" si="3741">AQ424</f>
        <v>367</v>
      </c>
      <c r="CR424" s="114">
        <f t="shared" ref="CR424" si="3742">AU424</f>
        <v>405</v>
      </c>
      <c r="CS424" s="114">
        <f t="shared" ref="CS424" si="3743">AY424</f>
        <v>422</v>
      </c>
      <c r="CT424" s="109">
        <f t="shared" ref="CT424" si="3744">M424-K424</f>
        <v>1</v>
      </c>
    </row>
    <row r="425" spans="1:1029" s="12" customFormat="1" x14ac:dyDescent="0.2">
      <c r="A425" s="9" t="str">
        <f t="shared" ref="A425" si="3745">CONCATENATE(B425,"_",C425)</f>
        <v>glp1r_human_6KK7</v>
      </c>
      <c r="B425" s="9" t="s">
        <v>406</v>
      </c>
      <c r="C425" s="9" t="s">
        <v>1606</v>
      </c>
      <c r="D425" s="9" t="str">
        <f>IFERROR(MID(VLOOKUP($B425,Seqs!$A:$B,2,0),E425,1),"")</f>
        <v>S</v>
      </c>
      <c r="E425" s="9">
        <v>136</v>
      </c>
      <c r="F425" s="9" t="str">
        <f>IFERROR(MID(VLOOKUP($B425,Seqs!$A:$B,2,0),G425,1),"")</f>
        <v>F</v>
      </c>
      <c r="G425" s="9">
        <v>169</v>
      </c>
      <c r="H425" s="9" t="str">
        <f>IFERROR(MID(VLOOKUP($B425,Seqs!$A:$B,2,0),I425,1),"")</f>
        <v>R</v>
      </c>
      <c r="I425" s="109">
        <v>170</v>
      </c>
      <c r="J425" s="9" t="str">
        <f>IFERROR(MID(VLOOKUP($B425,Seqs!$A:$B,2,0),K425,1),"")</f>
        <v>H</v>
      </c>
      <c r="K425" s="109">
        <v>173</v>
      </c>
      <c r="L425" s="9" t="str">
        <f>IFERROR(MID(VLOOKUP($B425,Seqs!$A:$B,2,0),M425,1),"")</f>
        <v>C</v>
      </c>
      <c r="M425" s="109">
        <v>174</v>
      </c>
      <c r="N425" s="9" t="str">
        <f>IFERROR(MID(VLOOKUP($B425,Seqs!$A:$B,2,0),O425,1),"")</f>
        <v>K</v>
      </c>
      <c r="O425" s="9">
        <v>202</v>
      </c>
      <c r="P425" s="9" t="str">
        <f>IFERROR(MID(VLOOKUP($B425,Seqs!$A:$B,2,0),Q425,1),"")</f>
        <v/>
      </c>
      <c r="Q425" s="9" t="s">
        <v>23</v>
      </c>
      <c r="R425" s="9" t="str">
        <f>IFERROR(MID(VLOOKUP($B425,Seqs!$A:$B,2,0),S425,1),"")</f>
        <v/>
      </c>
      <c r="S425" s="9" t="s">
        <v>23</v>
      </c>
      <c r="T425" s="9" t="str">
        <f>IFERROR(MID(VLOOKUP($B425,Seqs!$A:$B,2,0),U425,1),"")</f>
        <v>L</v>
      </c>
      <c r="U425" s="9">
        <v>224</v>
      </c>
      <c r="V425" s="9" t="str">
        <f>IFERROR(MID(VLOOKUP($B425,Seqs!$A:$B,2,0),W425,1),"")</f>
        <v>F</v>
      </c>
      <c r="W425" s="9">
        <v>257</v>
      </c>
      <c r="X425" s="9" t="str">
        <f>IFERROR(MID(VLOOKUP($B425,Seqs!$A:$B,2,0),Y425,1),"")</f>
        <v/>
      </c>
      <c r="Y425" s="9" t="s">
        <v>23</v>
      </c>
      <c r="Z425" s="9" t="str">
        <f>IFERROR(MID(VLOOKUP($B425,Seqs!$A:$B,2,0),AA425,1),"")</f>
        <v/>
      </c>
      <c r="AA425" s="9" t="s">
        <v>23</v>
      </c>
      <c r="AB425" s="9" t="str">
        <f>IFERROR(MID(VLOOKUP($B425,Seqs!$A:$B,2,0),AC425,1),"")</f>
        <v>E</v>
      </c>
      <c r="AC425" s="9">
        <v>262</v>
      </c>
      <c r="AD425" s="9" t="str">
        <f>IFERROR(MID(VLOOKUP($B425,Seqs!$A:$B,2,0),AE425,1),"")</f>
        <v>E</v>
      </c>
      <c r="AE425" s="9">
        <v>292</v>
      </c>
      <c r="AF425" s="9" t="str">
        <f>IFERROR(MID(VLOOKUP($B425,Seqs!$A:$B,2,0),AG425,1),"")</f>
        <v>C</v>
      </c>
      <c r="AG425" s="9">
        <v>296</v>
      </c>
      <c r="AH425" s="9" t="str">
        <f>IFERROR(MID(VLOOKUP($B425,Seqs!$A:$B,2,0),AI425,1),"")</f>
        <v>T</v>
      </c>
      <c r="AI425" s="9">
        <v>298</v>
      </c>
      <c r="AJ425" s="9" t="str">
        <f>IFERROR(MID(VLOOKUP($B425,Seqs!$A:$B,2,0),AK425,1),"")</f>
        <v>M</v>
      </c>
      <c r="AK425" s="9">
        <v>303</v>
      </c>
      <c r="AL425" s="9" t="str">
        <f>IFERROR(MID(VLOOKUP($B425,Seqs!$A:$B,2,0),AM425,1),"")</f>
        <v>N</v>
      </c>
      <c r="AM425" s="9">
        <v>338</v>
      </c>
      <c r="AN425" s="9" t="str">
        <f>IFERROR(MID(VLOOKUP($B425,Seqs!$A:$B,2,0),AO425,1),"")</f>
        <v>D</v>
      </c>
      <c r="AO425" s="9">
        <v>344</v>
      </c>
      <c r="AP425" s="9" t="str">
        <f>IFERROR(MID(VLOOKUP($B425,Seqs!$A:$B,2,0),AQ425,1),"")</f>
        <v>F</v>
      </c>
      <c r="AQ425" s="9">
        <v>367</v>
      </c>
      <c r="AR425" s="9" t="str">
        <f>IFERROR(MID(VLOOKUP($B425,Seqs!$A:$B,2,0),AS425,1),"")</f>
        <v>R</v>
      </c>
      <c r="AS425" s="9">
        <v>380</v>
      </c>
      <c r="AT425" s="9" t="str">
        <f>IFERROR(MID(VLOOKUP($B425,Seqs!$A:$B,2,0),AU425,1),"")</f>
        <v>V</v>
      </c>
      <c r="AU425" s="9">
        <v>405</v>
      </c>
      <c r="AV425" s="9" t="str">
        <f>IFERROR(MID(VLOOKUP($B425,Seqs!$A:$B,2,0),AW425,1),"")</f>
        <v>N</v>
      </c>
      <c r="AW425" s="9">
        <v>406</v>
      </c>
      <c r="AX425" s="9" t="str">
        <f>IFERROR(MID(VLOOKUP($B425,Seqs!$A:$B,2,0),AY425,1),"")</f>
        <v>L</v>
      </c>
      <c r="AY425" s="9">
        <v>422</v>
      </c>
      <c r="AZ425" s="110" t="str">
        <f>VLOOKUP(B425,Classification!A:D,2,0)</f>
        <v>B1</v>
      </c>
      <c r="BA425" s="98" t="str">
        <f>VLOOKUP(B425,Classification!A:D,4,0)</f>
        <v>Glucagonreceptorfamily</v>
      </c>
      <c r="BB425" s="36" t="b">
        <f t="shared" ref="BB425" si="3746">AND(E425&lt;G425,OR(G425&lt;I425,I425="-"),OR(I425&lt;K425,I425="-"),OR(K425&lt;M425,K425="-"),M425&lt;O425,OR(O425&lt;Q425,Q425="-"),OR(Q425&lt;S425,Q425="-"),OR(S425&lt;U425,S425="-"),U425&lt;W425,OR(W425&lt;Y425,Y425="-"),OR(Y425&lt;AA425,Y425="-"),OR(AA425&lt;AC425,AA425="-"),AC425&lt;AE425,OR(AE425&lt;AG425,AG425="-"),OR(AG425&lt;AI425,AG425="-"),OR(AI425&lt;AK425,AI425="-"),AK425&lt;AM425,AM425&lt;AO425,AO425&lt;AQ425,AQ425&lt;AS425,AS425&lt;AU425,OR(AU425&lt;AW425,AW425="-"),OR(AW425&lt;AY425,AW425="-"))</f>
        <v>1</v>
      </c>
      <c r="BC425" s="109">
        <f t="shared" ref="BC425" si="3747">_xlfn.AGGREGATE(9,6,CH425:CS425)-_xlfn.AGGREGATE(9,6,BV425:CG425)+12</f>
        <v>240</v>
      </c>
      <c r="BD425" s="11" t="s">
        <v>23</v>
      </c>
      <c r="BE425" s="9" t="s">
        <v>1374</v>
      </c>
      <c r="BF425" s="119">
        <v>2.8</v>
      </c>
      <c r="BG425" s="51" t="s">
        <v>1281</v>
      </c>
      <c r="BH425" s="51" t="s">
        <v>1281</v>
      </c>
      <c r="BJ425" s="111" t="s">
        <v>1287</v>
      </c>
      <c r="BK425" s="112" t="s">
        <v>1287</v>
      </c>
      <c r="BL425" s="112" t="s">
        <v>1287</v>
      </c>
      <c r="BM425" s="112" t="s">
        <v>1287</v>
      </c>
      <c r="BN425" s="112" t="s">
        <v>1287</v>
      </c>
      <c r="BO425" s="112" t="s">
        <v>1287</v>
      </c>
      <c r="BP425" s="112" t="s">
        <v>1287</v>
      </c>
      <c r="BQ425" s="112" t="s">
        <v>1287</v>
      </c>
      <c r="BR425" s="112" t="s">
        <v>1287</v>
      </c>
      <c r="BS425" s="112" t="s">
        <v>1287</v>
      </c>
      <c r="BT425" s="112" t="s">
        <v>1287</v>
      </c>
      <c r="BU425" s="112" t="s">
        <v>1287</v>
      </c>
      <c r="BV425" s="111">
        <f t="shared" ref="BV425" si="3748">E425</f>
        <v>136</v>
      </c>
      <c r="BW425" s="113">
        <f t="shared" ref="BW425" si="3749">I425</f>
        <v>170</v>
      </c>
      <c r="BX425" s="114">
        <f t="shared" ref="BX425" si="3750">M425</f>
        <v>174</v>
      </c>
      <c r="BY425" s="113" t="str">
        <f t="shared" ref="BY425" si="3751">Q425</f>
        <v>-</v>
      </c>
      <c r="BZ425" s="114">
        <f t="shared" ref="BZ425" si="3752">U425</f>
        <v>224</v>
      </c>
      <c r="CA425" s="113" t="str">
        <f t="shared" ref="CA425" si="3753">Y425</f>
        <v>-</v>
      </c>
      <c r="CB425" s="114">
        <f t="shared" ref="CB425" si="3754">AC425</f>
        <v>262</v>
      </c>
      <c r="CC425" s="113">
        <f t="shared" ref="CC425" si="3755">AG425</f>
        <v>296</v>
      </c>
      <c r="CD425" s="114">
        <f t="shared" ref="CD425" si="3756">AK425</f>
        <v>303</v>
      </c>
      <c r="CE425" s="113">
        <f t="shared" ref="CE425" si="3757">AO425</f>
        <v>344</v>
      </c>
      <c r="CF425" s="114">
        <f t="shared" ref="CF425" si="3758">AS425</f>
        <v>380</v>
      </c>
      <c r="CG425" s="113">
        <f t="shared" ref="CG425" si="3759">AW425</f>
        <v>406</v>
      </c>
      <c r="CH425" s="111">
        <f t="shared" ref="CH425" si="3760">G425</f>
        <v>169</v>
      </c>
      <c r="CI425" s="113">
        <f t="shared" ref="CI425" si="3761">K425</f>
        <v>173</v>
      </c>
      <c r="CJ425" s="114">
        <f t="shared" ref="CJ425" si="3762">O425</f>
        <v>202</v>
      </c>
      <c r="CK425" s="114" t="str">
        <f t="shared" ref="CK425" si="3763">S425</f>
        <v>-</v>
      </c>
      <c r="CL425" s="114">
        <f t="shared" ref="CL425" si="3764">W425</f>
        <v>257</v>
      </c>
      <c r="CM425" s="114" t="str">
        <f t="shared" ref="CM425" si="3765">AA425</f>
        <v>-</v>
      </c>
      <c r="CN425" s="114">
        <f t="shared" ref="CN425" si="3766">AE425</f>
        <v>292</v>
      </c>
      <c r="CO425" s="114">
        <f t="shared" ref="CO425" si="3767">AI425</f>
        <v>298</v>
      </c>
      <c r="CP425" s="114">
        <f t="shared" ref="CP425" si="3768">AM425</f>
        <v>338</v>
      </c>
      <c r="CQ425" s="114">
        <f t="shared" ref="CQ425" si="3769">AQ425</f>
        <v>367</v>
      </c>
      <c r="CR425" s="114">
        <f t="shared" ref="CR425" si="3770">AU425</f>
        <v>405</v>
      </c>
      <c r="CS425" s="114">
        <f t="shared" ref="CS425" si="3771">AY425</f>
        <v>422</v>
      </c>
      <c r="CT425" s="109">
        <f t="shared" ref="CT425" si="3772">M425-K425</f>
        <v>1</v>
      </c>
    </row>
    <row r="426" spans="1:1029" s="12" customFormat="1" x14ac:dyDescent="0.2">
      <c r="A426" s="9" t="str">
        <f t="shared" ref="A426" si="3773">CONCATENATE(B426,"_",C426)</f>
        <v>glp1r_human_6LN2</v>
      </c>
      <c r="B426" s="9" t="s">
        <v>406</v>
      </c>
      <c r="C426" s="9" t="s">
        <v>1668</v>
      </c>
      <c r="D426" s="9" t="str">
        <f>IFERROR(MID(VLOOKUP($B426,Seqs!$A:$B,2,0),E426,1),"")</f>
        <v>S</v>
      </c>
      <c r="E426" s="9">
        <v>135</v>
      </c>
      <c r="F426" s="9" t="str">
        <f>IFERROR(MID(VLOOKUP($B426,Seqs!$A:$B,2,0),G426,1),"")</f>
        <v>F</v>
      </c>
      <c r="G426" s="9">
        <v>169</v>
      </c>
      <c r="H426" s="9" t="str">
        <f>IFERROR(MID(VLOOKUP($B426,Seqs!$A:$B,2,0),I426,1),"")</f>
        <v>R</v>
      </c>
      <c r="I426" s="109">
        <v>170</v>
      </c>
      <c r="J426" s="9" t="str">
        <f>IFERROR(MID(VLOOKUP($B426,Seqs!$A:$B,2,0),K426,1),"")</f>
        <v>H</v>
      </c>
      <c r="K426" s="109">
        <v>173</v>
      </c>
      <c r="L426" s="9" t="str">
        <f>IFERROR(MID(VLOOKUP($B426,Seqs!$A:$B,2,0),M426,1),"")</f>
        <v>C</v>
      </c>
      <c r="M426" s="109">
        <v>174</v>
      </c>
      <c r="N426" s="9" t="str">
        <f>IFERROR(MID(VLOOKUP($B426,Seqs!$A:$B,2,0),O426,1),"")</f>
        <v>T</v>
      </c>
      <c r="O426" s="9">
        <v>207</v>
      </c>
      <c r="P426" s="9" t="str">
        <f>IFERROR(MID(VLOOKUP($B426,Seqs!$A:$B,2,0),Q426,1),"")</f>
        <v/>
      </c>
      <c r="Q426" s="9" t="s">
        <v>23</v>
      </c>
      <c r="R426" s="9" t="str">
        <f>IFERROR(MID(VLOOKUP($B426,Seqs!$A:$B,2,0),S426,1),"")</f>
        <v/>
      </c>
      <c r="S426" s="9" t="s">
        <v>23</v>
      </c>
      <c r="T426" s="9" t="str">
        <f>IFERROR(MID(VLOOKUP($B426,Seqs!$A:$B,2,0),U426,1),"")</f>
        <v>L</v>
      </c>
      <c r="U426" s="9">
        <v>224</v>
      </c>
      <c r="V426" s="9" t="str">
        <f>IFERROR(MID(VLOOKUP($B426,Seqs!$A:$B,2,0),W426,1),"")</f>
        <v>F</v>
      </c>
      <c r="W426" s="9">
        <v>257</v>
      </c>
      <c r="X426" s="9" t="str">
        <f>IFERROR(MID(VLOOKUP($B426,Seqs!$A:$B,2,0),Y426,1),"")</f>
        <v/>
      </c>
      <c r="Y426" s="9" t="s">
        <v>23</v>
      </c>
      <c r="Z426" s="9" t="str">
        <f>IFERROR(MID(VLOOKUP($B426,Seqs!$A:$B,2,0),AA426,1),"")</f>
        <v/>
      </c>
      <c r="AA426" s="9" t="s">
        <v>23</v>
      </c>
      <c r="AB426" s="9" t="str">
        <f>IFERROR(MID(VLOOKUP($B426,Seqs!$A:$B,2,0),AC426,1),"")</f>
        <v>Q</v>
      </c>
      <c r="AC426" s="9">
        <v>263</v>
      </c>
      <c r="AD426" s="9" t="str">
        <f>IFERROR(MID(VLOOKUP($B426,Seqs!$A:$B,2,0),AE426,1),"")</f>
        <v>Y</v>
      </c>
      <c r="AE426" s="9">
        <v>291</v>
      </c>
      <c r="AF426" s="9" t="str">
        <f>IFERROR(MID(VLOOKUP($B426,Seqs!$A:$B,2,0),AG426,1),"")</f>
        <v>C</v>
      </c>
      <c r="AG426" s="9">
        <v>296</v>
      </c>
      <c r="AH426" s="9" t="str">
        <f>IFERROR(MID(VLOOKUP($B426,Seqs!$A:$B,2,0),AI426,1),"")</f>
        <v>T</v>
      </c>
      <c r="AI426" s="9">
        <v>298</v>
      </c>
      <c r="AJ426" s="9" t="str">
        <f>IFERROR(MID(VLOOKUP($B426,Seqs!$A:$B,2,0),AK426,1),"")</f>
        <v>W</v>
      </c>
      <c r="AK426" s="9">
        <v>306</v>
      </c>
      <c r="AL426" s="9" t="str">
        <f>IFERROR(MID(VLOOKUP($B426,Seqs!$A:$B,2,0),AM426,1),"")</f>
        <v>N</v>
      </c>
      <c r="AM426" s="9">
        <v>338</v>
      </c>
      <c r="AN426" s="9" t="str">
        <f>IFERROR(MID(VLOOKUP($B426,Seqs!$A:$B,2,0),AO426,1),"")</f>
        <v>D</v>
      </c>
      <c r="AO426" s="9">
        <v>344</v>
      </c>
      <c r="AP426" s="9" t="str">
        <f>IFERROR(MID(VLOOKUP($B426,Seqs!$A:$B,2,0),AQ426,1),"")</f>
        <v>F</v>
      </c>
      <c r="AQ426" s="9">
        <v>367</v>
      </c>
      <c r="AR426" s="9" t="str">
        <f>IFERROR(MID(VLOOKUP($B426,Seqs!$A:$B,2,0),AS426,1),"")</f>
        <v>R</v>
      </c>
      <c r="AS426" s="9">
        <v>376</v>
      </c>
      <c r="AT426" s="9" t="str">
        <f>IFERROR(MID(VLOOKUP($B426,Seqs!$A:$B,2,0),AU426,1),"")</f>
        <v>C</v>
      </c>
      <c r="AU426" s="9">
        <v>403</v>
      </c>
      <c r="AV426" s="9" t="str">
        <f>IFERROR(MID(VLOOKUP($B426,Seqs!$A:$B,2,0),AW426,1),"")</f>
        <v>N</v>
      </c>
      <c r="AW426" s="9">
        <v>406</v>
      </c>
      <c r="AX426" s="9" t="str">
        <f>IFERROR(MID(VLOOKUP($B426,Seqs!$A:$B,2,0),AY426,1),"")</f>
        <v>R</v>
      </c>
      <c r="AY426" s="9">
        <v>421</v>
      </c>
      <c r="AZ426" s="110" t="str">
        <f>VLOOKUP(B426,Classification!A:D,2,0)</f>
        <v>B1</v>
      </c>
      <c r="BA426" s="98" t="str">
        <f>VLOOKUP(B426,Classification!A:D,4,0)</f>
        <v>Glucagonreceptorfamily</v>
      </c>
      <c r="BB426" s="36" t="b">
        <f t="shared" ref="BB426" si="3774">AND(E426&lt;G426,OR(G426&lt;I426,I426="-"),OR(I426&lt;K426,I426="-"),OR(K426&lt;M426,K426="-"),M426&lt;O426,OR(O426&lt;Q426,Q426="-"),OR(Q426&lt;S426,Q426="-"),OR(S426&lt;U426,S426="-"),U426&lt;W426,OR(W426&lt;Y426,Y426="-"),OR(Y426&lt;AA426,Y426="-"),OR(AA426&lt;AC426,AA426="-"),AC426&lt;AE426,OR(AE426&lt;AG426,AG426="-"),OR(AG426&lt;AI426,AG426="-"),OR(AI426&lt;AK426,AI426="-"),AK426&lt;AM426,AM426&lt;AO426,AO426&lt;AQ426,AQ426&lt;AS426,AS426&lt;AU426,OR(AU426&lt;AW426,AW426="-"),OR(AW426&lt;AY426,AW426="-"))</f>
        <v>1</v>
      </c>
      <c r="BC426" s="109">
        <f t="shared" ref="BC426" si="3775">_xlfn.AGGREGATE(9,6,CH426:CS426)-_xlfn.AGGREGATE(9,6,BV426:CG426)+12</f>
        <v>242</v>
      </c>
      <c r="BD426" s="11" t="s">
        <v>23</v>
      </c>
      <c r="BE426" s="9" t="s">
        <v>1374</v>
      </c>
      <c r="BF426" s="119">
        <v>3.2</v>
      </c>
      <c r="BG426" s="51" t="s">
        <v>1</v>
      </c>
      <c r="BH426" s="51" t="s">
        <v>1</v>
      </c>
      <c r="BJ426" s="111" t="s">
        <v>1287</v>
      </c>
      <c r="BK426" s="112" t="s">
        <v>1287</v>
      </c>
      <c r="BL426" s="112" t="s">
        <v>1287</v>
      </c>
      <c r="BM426" s="112" t="s">
        <v>1287</v>
      </c>
      <c r="BN426" s="112" t="s">
        <v>1287</v>
      </c>
      <c r="BO426" s="112" t="s">
        <v>1287</v>
      </c>
      <c r="BP426" s="112" t="s">
        <v>1287</v>
      </c>
      <c r="BQ426" s="112" t="s">
        <v>1287</v>
      </c>
      <c r="BR426" s="112" t="s">
        <v>1287</v>
      </c>
      <c r="BS426" s="112" t="s">
        <v>1287</v>
      </c>
      <c r="BT426" s="112" t="s">
        <v>1287</v>
      </c>
      <c r="BU426" s="112" t="s">
        <v>1287</v>
      </c>
      <c r="BV426" s="111">
        <f t="shared" ref="BV426" si="3776">E426</f>
        <v>135</v>
      </c>
      <c r="BW426" s="113">
        <f t="shared" ref="BW426" si="3777">I426</f>
        <v>170</v>
      </c>
      <c r="BX426" s="114">
        <f t="shared" ref="BX426" si="3778">M426</f>
        <v>174</v>
      </c>
      <c r="BY426" s="113" t="str">
        <f t="shared" ref="BY426" si="3779">Q426</f>
        <v>-</v>
      </c>
      <c r="BZ426" s="114">
        <f t="shared" ref="BZ426" si="3780">U426</f>
        <v>224</v>
      </c>
      <c r="CA426" s="113" t="str">
        <f t="shared" ref="CA426" si="3781">Y426</f>
        <v>-</v>
      </c>
      <c r="CB426" s="114">
        <f t="shared" ref="CB426" si="3782">AC426</f>
        <v>263</v>
      </c>
      <c r="CC426" s="113">
        <f t="shared" ref="CC426" si="3783">AG426</f>
        <v>296</v>
      </c>
      <c r="CD426" s="114">
        <f t="shared" ref="CD426" si="3784">AK426</f>
        <v>306</v>
      </c>
      <c r="CE426" s="113">
        <f t="shared" ref="CE426" si="3785">AO426</f>
        <v>344</v>
      </c>
      <c r="CF426" s="114">
        <f t="shared" ref="CF426" si="3786">AS426</f>
        <v>376</v>
      </c>
      <c r="CG426" s="113">
        <f t="shared" ref="CG426" si="3787">AW426</f>
        <v>406</v>
      </c>
      <c r="CH426" s="111">
        <f t="shared" ref="CH426" si="3788">G426</f>
        <v>169</v>
      </c>
      <c r="CI426" s="113">
        <f t="shared" ref="CI426" si="3789">K426</f>
        <v>173</v>
      </c>
      <c r="CJ426" s="114">
        <f t="shared" ref="CJ426" si="3790">O426</f>
        <v>207</v>
      </c>
      <c r="CK426" s="114" t="str">
        <f t="shared" ref="CK426" si="3791">S426</f>
        <v>-</v>
      </c>
      <c r="CL426" s="114">
        <f t="shared" ref="CL426" si="3792">W426</f>
        <v>257</v>
      </c>
      <c r="CM426" s="114" t="str">
        <f t="shared" ref="CM426" si="3793">AA426</f>
        <v>-</v>
      </c>
      <c r="CN426" s="114">
        <f t="shared" ref="CN426" si="3794">AE426</f>
        <v>291</v>
      </c>
      <c r="CO426" s="114">
        <f t="shared" ref="CO426" si="3795">AI426</f>
        <v>298</v>
      </c>
      <c r="CP426" s="114">
        <f t="shared" ref="CP426" si="3796">AM426</f>
        <v>338</v>
      </c>
      <c r="CQ426" s="114">
        <f t="shared" ref="CQ426" si="3797">AQ426</f>
        <v>367</v>
      </c>
      <c r="CR426" s="114">
        <f t="shared" ref="CR426" si="3798">AU426</f>
        <v>403</v>
      </c>
      <c r="CS426" s="114">
        <f t="shared" ref="CS426" si="3799">AY426</f>
        <v>421</v>
      </c>
      <c r="CT426" s="109">
        <f t="shared" ref="CT426" si="3800">M426-K426</f>
        <v>1</v>
      </c>
    </row>
    <row r="427" spans="1:1029" x14ac:dyDescent="0.2">
      <c r="A427" s="3" t="str">
        <f t="shared" si="3605"/>
        <v>g1sgd4_rabit__wt</v>
      </c>
      <c r="B427" s="3" t="s">
        <v>1420</v>
      </c>
      <c r="C427" s="3" t="s">
        <v>100</v>
      </c>
      <c r="D427" s="3" t="str">
        <f>IFERROR(MID(VLOOKUP($B427,Seqs!$A:$B,2,0),E427,1),"")</f>
        <v>P</v>
      </c>
      <c r="E427" s="3">
        <v>137</v>
      </c>
      <c r="F427" s="3" t="str">
        <f>IFERROR(MID(VLOOKUP($B427,Seqs!$A:$B,2,0),G427,1),"")</f>
        <v>F</v>
      </c>
      <c r="G427" s="3">
        <v>169</v>
      </c>
      <c r="H427" s="3" t="str">
        <f>IFERROR(MID(VLOOKUP($B427,Seqs!$A:$B,2,0),I427,1),"")</f>
        <v>R</v>
      </c>
      <c r="I427" s="23">
        <v>170</v>
      </c>
      <c r="J427" s="3" t="str">
        <f>IFERROR(MID(VLOOKUP($B427,Seqs!$A:$B,2,0),K427,1),"")</f>
        <v>H</v>
      </c>
      <c r="K427" s="23">
        <v>173</v>
      </c>
      <c r="L427" s="3" t="str">
        <f>IFERROR(MID(VLOOKUP($B427,Seqs!$A:$B,2,0),M427,1),"")</f>
        <v>C</v>
      </c>
      <c r="M427" s="23">
        <v>174</v>
      </c>
      <c r="N427" s="3" t="str">
        <f>IFERROR(MID(VLOOKUP($B427,Seqs!$A:$B,2,0),O427,1),"")</f>
        <v>Q</v>
      </c>
      <c r="O427" s="3">
        <v>211</v>
      </c>
      <c r="P427" s="3" t="str">
        <f>IFERROR(MID(VLOOKUP($B427,Seqs!$A:$B,2,0),Q427,1),"")</f>
        <v/>
      </c>
      <c r="Q427" s="3" t="s">
        <v>23</v>
      </c>
      <c r="R427" s="3" t="str">
        <f>IFERROR(MID(VLOOKUP($B427,Seqs!$A:$B,2,0),S427,1),"")</f>
        <v/>
      </c>
      <c r="S427" s="3" t="s">
        <v>23</v>
      </c>
      <c r="T427" s="3" t="str">
        <f>IFERROR(MID(VLOOKUP($B427,Seqs!$A:$B,2,0),U427,1),"")</f>
        <v>L</v>
      </c>
      <c r="U427" s="3">
        <v>224</v>
      </c>
      <c r="V427" s="3" t="str">
        <f>IFERROR(MID(VLOOKUP($B427,Seqs!$A:$B,2,0),W427,1),"")</f>
        <v>F</v>
      </c>
      <c r="W427" s="3">
        <v>257</v>
      </c>
      <c r="X427" s="3" t="str">
        <f>IFERROR(MID(VLOOKUP($B427,Seqs!$A:$B,2,0),Y427,1),"")</f>
        <v/>
      </c>
      <c r="Y427" s="3" t="s">
        <v>23</v>
      </c>
      <c r="Z427" s="3" t="str">
        <f>IFERROR(MID(VLOOKUP($B427,Seqs!$A:$B,2,0),AA427,1),"")</f>
        <v/>
      </c>
      <c r="AA427" s="3" t="s">
        <v>23</v>
      </c>
      <c r="AB427" s="3" t="str">
        <f>IFERROR(MID(VLOOKUP($B427,Seqs!$A:$B,2,0),AC427,1),"")</f>
        <v>S</v>
      </c>
      <c r="AC427" s="3">
        <v>261</v>
      </c>
      <c r="AD427" s="3" t="str">
        <f>IFERROR(MID(VLOOKUP($B427,Seqs!$A:$B,2,0),AE427,1),"")</f>
        <v>E</v>
      </c>
      <c r="AE427" s="3">
        <v>292</v>
      </c>
      <c r="AF427" s="3" t="str">
        <f>IFERROR(MID(VLOOKUP($B427,Seqs!$A:$B,2,0),AG427,1),"")</f>
        <v>C</v>
      </c>
      <c r="AG427" s="3">
        <v>296</v>
      </c>
      <c r="AH427" s="3" t="str">
        <f>IFERROR(MID(VLOOKUP($B427,Seqs!$A:$B,2,0),AI427,1),"")</f>
        <v>T</v>
      </c>
      <c r="AI427" s="3">
        <v>298</v>
      </c>
      <c r="AJ427" s="3" t="str">
        <f>IFERROR(MID(VLOOKUP($B427,Seqs!$A:$B,2,0),AK427,1),"")</f>
        <v>N</v>
      </c>
      <c r="AK427" s="105">
        <v>302</v>
      </c>
      <c r="AL427" s="3" t="str">
        <f>IFERROR(MID(VLOOKUP($B427,Seqs!$A:$B,2,0),AM427,1),"")</f>
        <v>A</v>
      </c>
      <c r="AM427" s="3">
        <v>337</v>
      </c>
      <c r="AN427" s="3" t="str">
        <f>IFERROR(MID(VLOOKUP($B427,Seqs!$A:$B,2,0),AO427,1),"")</f>
        <v>K</v>
      </c>
      <c r="AO427" s="3">
        <v>346</v>
      </c>
      <c r="AP427" s="3" t="str">
        <f>IFERROR(MID(VLOOKUP($B427,Seqs!$A:$B,2,0),AQ427,1),"")</f>
        <v>F</v>
      </c>
      <c r="AQ427" s="3">
        <v>369</v>
      </c>
      <c r="AR427" s="3" t="str">
        <f>IFERROR(MID(VLOOKUP($B427,Seqs!$A:$B,2,0),AS427,1),"")</f>
        <v>L</v>
      </c>
      <c r="AS427" s="3">
        <v>379</v>
      </c>
      <c r="AT427" s="3" t="str">
        <f>IFERROR(MID(VLOOKUP($B427,Seqs!$A:$B,2,0),AU427,1),"")</f>
        <v>V</v>
      </c>
      <c r="AU427" s="3">
        <v>405</v>
      </c>
      <c r="AV427" s="3" t="str">
        <f>IFERROR(MID(VLOOKUP($B427,Seqs!$A:$B,2,0),AW427,1),"")</f>
        <v>N</v>
      </c>
      <c r="AW427" s="3">
        <v>406</v>
      </c>
      <c r="AX427" s="3" t="str">
        <f>IFERROR(MID(VLOOKUP($B427,Seqs!$A:$B,2,0),AY427,1),"")</f>
        <v>S</v>
      </c>
      <c r="AY427" s="3">
        <v>431</v>
      </c>
      <c r="AZ427" s="77" t="str">
        <f>VLOOKUP(B427,Classification!A:D,2,0)</f>
        <v>B1</v>
      </c>
      <c r="BA427" s="94" t="str">
        <f>VLOOKUP(B427,Classification!A:D,4,0)</f>
        <v>Glucagonreceptorfamily</v>
      </c>
      <c r="BB427" s="27" t="b">
        <f t="shared" si="3606"/>
        <v>1</v>
      </c>
      <c r="BC427" s="23">
        <f t="shared" si="3607"/>
        <v>259</v>
      </c>
      <c r="BD427" s="4" t="s">
        <v>23</v>
      </c>
      <c r="BE427" s="3" t="s">
        <v>23</v>
      </c>
      <c r="BF427" s="118" t="s">
        <v>23</v>
      </c>
      <c r="BI427" s="1"/>
      <c r="BJ427" s="70" t="s">
        <v>1287</v>
      </c>
      <c r="BK427" s="57" t="s">
        <v>1287</v>
      </c>
      <c r="BL427" s="57" t="s">
        <v>1287</v>
      </c>
      <c r="BM427" s="57" t="s">
        <v>1287</v>
      </c>
      <c r="BN427" s="57" t="s">
        <v>1287</v>
      </c>
      <c r="BO427" s="57" t="s">
        <v>1287</v>
      </c>
      <c r="BP427" s="57" t="s">
        <v>1287</v>
      </c>
      <c r="BQ427" s="57" t="s">
        <v>1287</v>
      </c>
      <c r="BR427" s="57" t="s">
        <v>1287</v>
      </c>
      <c r="BS427" s="57" t="s">
        <v>1287</v>
      </c>
      <c r="BT427" s="57" t="s">
        <v>1287</v>
      </c>
      <c r="BU427" s="57" t="s">
        <v>1287</v>
      </c>
      <c r="BV427" s="70">
        <f t="shared" si="3608"/>
        <v>137</v>
      </c>
      <c r="BW427" s="71">
        <f t="shared" si="3609"/>
        <v>170</v>
      </c>
      <c r="BX427" s="72">
        <f t="shared" si="3610"/>
        <v>174</v>
      </c>
      <c r="BY427" s="71" t="str">
        <f t="shared" si="3611"/>
        <v>-</v>
      </c>
      <c r="BZ427" s="72">
        <f t="shared" si="3612"/>
        <v>224</v>
      </c>
      <c r="CA427" s="71" t="str">
        <f t="shared" si="3613"/>
        <v>-</v>
      </c>
      <c r="CB427" s="72">
        <f t="shared" si="3614"/>
        <v>261</v>
      </c>
      <c r="CC427" s="71">
        <f t="shared" si="3615"/>
        <v>296</v>
      </c>
      <c r="CD427" s="72">
        <f t="shared" si="3616"/>
        <v>302</v>
      </c>
      <c r="CE427" s="71">
        <f t="shared" si="3617"/>
        <v>346</v>
      </c>
      <c r="CF427" s="72">
        <f t="shared" si="3618"/>
        <v>379</v>
      </c>
      <c r="CG427" s="71">
        <f t="shared" si="3619"/>
        <v>406</v>
      </c>
      <c r="CH427" s="70">
        <f t="shared" si="3620"/>
        <v>169</v>
      </c>
      <c r="CI427" s="71">
        <f t="shared" si="3621"/>
        <v>173</v>
      </c>
      <c r="CJ427" s="72">
        <f t="shared" si="3622"/>
        <v>211</v>
      </c>
      <c r="CK427" s="72" t="str">
        <f t="shared" si="3623"/>
        <v>-</v>
      </c>
      <c r="CL427" s="72">
        <f t="shared" si="3624"/>
        <v>257</v>
      </c>
      <c r="CM427" s="72" t="str">
        <f t="shared" si="3625"/>
        <v>-</v>
      </c>
      <c r="CN427" s="72">
        <f t="shared" si="3626"/>
        <v>292</v>
      </c>
      <c r="CO427" s="72">
        <f t="shared" si="3627"/>
        <v>298</v>
      </c>
      <c r="CP427" s="72">
        <f t="shared" si="3628"/>
        <v>337</v>
      </c>
      <c r="CQ427" s="72">
        <f t="shared" si="3629"/>
        <v>369</v>
      </c>
      <c r="CR427" s="72">
        <f t="shared" si="3630"/>
        <v>405</v>
      </c>
      <c r="CS427" s="72">
        <f t="shared" si="3631"/>
        <v>431</v>
      </c>
      <c r="CT427" s="23">
        <f t="shared" si="3632"/>
        <v>1</v>
      </c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  <c r="AMK427" s="1"/>
      <c r="AML427" s="1"/>
      <c r="AMM427" s="1"/>
      <c r="AMN427" s="1"/>
      <c r="AMO427" s="1"/>
    </row>
    <row r="428" spans="1:1029" x14ac:dyDescent="0.2">
      <c r="A428" s="3" t="str">
        <f t="shared" si="3605"/>
        <v>g1sgd4_rabit_5VAI</v>
      </c>
      <c r="B428" s="3" t="s">
        <v>1420</v>
      </c>
      <c r="C428" s="3" t="s">
        <v>1421</v>
      </c>
      <c r="D428" s="3" t="str">
        <f>IFERROR(MID(VLOOKUP($B428,Seqs!$A:$B,2,0),E428,1),"")</f>
        <v>P</v>
      </c>
      <c r="E428" s="3">
        <v>137</v>
      </c>
      <c r="F428" s="3" t="str">
        <f>IFERROR(MID(VLOOKUP($B428,Seqs!$A:$B,2,0),G428,1),"")</f>
        <v>G</v>
      </c>
      <c r="G428" s="3">
        <v>168</v>
      </c>
      <c r="H428" s="3" t="str">
        <f>IFERROR(MID(VLOOKUP($B428,Seqs!$A:$B,2,0),I428,1),"")</f>
        <v>R</v>
      </c>
      <c r="I428" s="23">
        <v>170</v>
      </c>
      <c r="J428" s="3" t="str">
        <f>IFERROR(MID(VLOOKUP($B428,Seqs!$A:$B,2,0),K428,1),"")</f>
        <v>H</v>
      </c>
      <c r="K428" s="23">
        <v>173</v>
      </c>
      <c r="L428" s="3" t="str">
        <f>IFERROR(MID(VLOOKUP($B428,Seqs!$A:$B,2,0),M428,1),"")</f>
        <v>C</v>
      </c>
      <c r="M428" s="23">
        <v>174</v>
      </c>
      <c r="N428" s="3" t="str">
        <f>IFERROR(MID(VLOOKUP($B428,Seqs!$A:$B,2,0),O428,1),"")</f>
        <v>Q</v>
      </c>
      <c r="O428" s="3">
        <v>211</v>
      </c>
      <c r="P428" s="3" t="str">
        <f>IFERROR(MID(VLOOKUP($B428,Seqs!$A:$B,2,0),Q428,1),"")</f>
        <v/>
      </c>
      <c r="Q428" s="3" t="s">
        <v>23</v>
      </c>
      <c r="R428" s="3" t="str">
        <f>IFERROR(MID(VLOOKUP($B428,Seqs!$A:$B,2,0),S428,1),"")</f>
        <v/>
      </c>
      <c r="S428" s="3" t="s">
        <v>23</v>
      </c>
      <c r="T428" s="3" t="str">
        <f>IFERROR(MID(VLOOKUP($B428,Seqs!$A:$B,2,0),U428,1),"")</f>
        <v>L</v>
      </c>
      <c r="U428" s="3">
        <v>224</v>
      </c>
      <c r="V428" s="3" t="str">
        <f>IFERROR(MID(VLOOKUP($B428,Seqs!$A:$B,2,0),W428,1),"")</f>
        <v>F</v>
      </c>
      <c r="W428" s="3">
        <v>257</v>
      </c>
      <c r="X428" s="3" t="str">
        <f>IFERROR(MID(VLOOKUP($B428,Seqs!$A:$B,2,0),Y428,1),"")</f>
        <v/>
      </c>
      <c r="Y428" s="3" t="s">
        <v>23</v>
      </c>
      <c r="Z428" s="3" t="str">
        <f>IFERROR(MID(VLOOKUP($B428,Seqs!$A:$B,2,0),AA428,1),"")</f>
        <v/>
      </c>
      <c r="AA428" s="3" t="s">
        <v>23</v>
      </c>
      <c r="AB428" s="3" t="str">
        <f>IFERROR(MID(VLOOKUP($B428,Seqs!$A:$B,2,0),AC428,1),"")</f>
        <v>S</v>
      </c>
      <c r="AC428" s="3">
        <v>261</v>
      </c>
      <c r="AD428" s="3" t="str">
        <f>IFERROR(MID(VLOOKUP($B428,Seqs!$A:$B,2,0),AE428,1),"")</f>
        <v>E</v>
      </c>
      <c r="AE428" s="3">
        <v>292</v>
      </c>
      <c r="AF428" s="3" t="str">
        <f>IFERROR(MID(VLOOKUP($B428,Seqs!$A:$B,2,0),AG428,1),"")</f>
        <v>C</v>
      </c>
      <c r="AG428" s="3">
        <v>296</v>
      </c>
      <c r="AH428" s="3" t="str">
        <f>IFERROR(MID(VLOOKUP($B428,Seqs!$A:$B,2,0),AI428,1),"")</f>
        <v>T</v>
      </c>
      <c r="AI428" s="3">
        <v>298</v>
      </c>
      <c r="AJ428" s="3" t="str">
        <f>IFERROR(MID(VLOOKUP($B428,Seqs!$A:$B,2,0),AK428,1),"")</f>
        <v>Y</v>
      </c>
      <c r="AK428" s="3">
        <v>305</v>
      </c>
      <c r="AL428" s="3" t="str">
        <f>IFERROR(MID(VLOOKUP($B428,Seqs!$A:$B,2,0),AM428,1),"")</f>
        <v>A</v>
      </c>
      <c r="AM428" s="3">
        <v>337</v>
      </c>
      <c r="AN428" s="3" t="str">
        <f>IFERROR(MID(VLOOKUP($B428,Seqs!$A:$B,2,0),AO428,1),"")</f>
        <v>K</v>
      </c>
      <c r="AO428" s="3">
        <v>346</v>
      </c>
      <c r="AP428" s="3" t="str">
        <f>IFERROR(MID(VLOOKUP($B428,Seqs!$A:$B,2,0),AQ428,1),"")</f>
        <v>F</v>
      </c>
      <c r="AQ428" s="3">
        <v>369</v>
      </c>
      <c r="AR428" s="3" t="str">
        <f>IFERROR(MID(VLOOKUP($B428,Seqs!$A:$B,2,0),AS428,1),"")</f>
        <v>L</v>
      </c>
      <c r="AS428" s="3">
        <v>379</v>
      </c>
      <c r="AT428" s="3" t="str">
        <f>IFERROR(MID(VLOOKUP($B428,Seqs!$A:$B,2,0),AU428,1),"")</f>
        <v>V</v>
      </c>
      <c r="AU428" s="3">
        <v>405</v>
      </c>
      <c r="AV428" s="3" t="str">
        <f>IFERROR(MID(VLOOKUP($B428,Seqs!$A:$B,2,0),AW428,1),"")</f>
        <v>N</v>
      </c>
      <c r="AW428" s="3">
        <v>406</v>
      </c>
      <c r="AX428" s="3" t="str">
        <f>IFERROR(MID(VLOOKUP($B428,Seqs!$A:$B,2,0),AY428,1),"")</f>
        <v>R</v>
      </c>
      <c r="AY428" s="3">
        <v>421</v>
      </c>
      <c r="AZ428" s="77" t="str">
        <f>VLOOKUP(B428,Classification!A:D,2,0)</f>
        <v>B1</v>
      </c>
      <c r="BA428" s="94" t="str">
        <f>VLOOKUP(B428,Classification!A:D,4,0)</f>
        <v>Glucagonreceptorfamily</v>
      </c>
      <c r="BB428" s="27" t="b">
        <f t="shared" si="3606"/>
        <v>1</v>
      </c>
      <c r="BC428" s="23">
        <f t="shared" si="3607"/>
        <v>245</v>
      </c>
      <c r="BD428" s="4" t="s">
        <v>23</v>
      </c>
      <c r="BE428" s="3" t="s">
        <v>1291</v>
      </c>
      <c r="BF428" s="118">
        <v>4.0999999999999996</v>
      </c>
      <c r="BG428" s="49" t="s">
        <v>1422</v>
      </c>
      <c r="BH428" s="49" t="s">
        <v>1422</v>
      </c>
      <c r="BI428" s="1"/>
      <c r="BJ428" s="70" t="s">
        <v>1287</v>
      </c>
      <c r="BK428" s="57" t="s">
        <v>1287</v>
      </c>
      <c r="BL428" s="57" t="s">
        <v>1287</v>
      </c>
      <c r="BM428" s="57" t="s">
        <v>1287</v>
      </c>
      <c r="BN428" s="57" t="s">
        <v>1287</v>
      </c>
      <c r="BO428" s="57" t="s">
        <v>1287</v>
      </c>
      <c r="BP428" s="57" t="s">
        <v>1287</v>
      </c>
      <c r="BQ428" s="57" t="s">
        <v>1287</v>
      </c>
      <c r="BR428" s="57" t="s">
        <v>1287</v>
      </c>
      <c r="BS428" s="57" t="s">
        <v>1287</v>
      </c>
      <c r="BT428" s="57" t="s">
        <v>1287</v>
      </c>
      <c r="BU428" s="57" t="s">
        <v>1287</v>
      </c>
      <c r="BV428" s="70">
        <f t="shared" si="3608"/>
        <v>137</v>
      </c>
      <c r="BW428" s="71">
        <f t="shared" si="3609"/>
        <v>170</v>
      </c>
      <c r="BX428" s="72">
        <f t="shared" si="3610"/>
        <v>174</v>
      </c>
      <c r="BY428" s="71" t="str">
        <f t="shared" si="3611"/>
        <v>-</v>
      </c>
      <c r="BZ428" s="72">
        <f t="shared" si="3612"/>
        <v>224</v>
      </c>
      <c r="CA428" s="71" t="str">
        <f t="shared" si="3613"/>
        <v>-</v>
      </c>
      <c r="CB428" s="72">
        <f t="shared" si="3614"/>
        <v>261</v>
      </c>
      <c r="CC428" s="71">
        <f t="shared" si="3615"/>
        <v>296</v>
      </c>
      <c r="CD428" s="72">
        <f t="shared" si="3616"/>
        <v>305</v>
      </c>
      <c r="CE428" s="71">
        <f t="shared" si="3617"/>
        <v>346</v>
      </c>
      <c r="CF428" s="72">
        <f t="shared" si="3618"/>
        <v>379</v>
      </c>
      <c r="CG428" s="71">
        <f t="shared" si="3619"/>
        <v>406</v>
      </c>
      <c r="CH428" s="70">
        <f t="shared" si="3620"/>
        <v>168</v>
      </c>
      <c r="CI428" s="71">
        <f t="shared" si="3621"/>
        <v>173</v>
      </c>
      <c r="CJ428" s="72">
        <f t="shared" si="3622"/>
        <v>211</v>
      </c>
      <c r="CK428" s="72" t="str">
        <f t="shared" si="3623"/>
        <v>-</v>
      </c>
      <c r="CL428" s="72">
        <f t="shared" si="3624"/>
        <v>257</v>
      </c>
      <c r="CM428" s="72" t="str">
        <f t="shared" si="3625"/>
        <v>-</v>
      </c>
      <c r="CN428" s="72">
        <f t="shared" si="3626"/>
        <v>292</v>
      </c>
      <c r="CO428" s="72">
        <f t="shared" si="3627"/>
        <v>298</v>
      </c>
      <c r="CP428" s="72">
        <f t="shared" si="3628"/>
        <v>337</v>
      </c>
      <c r="CQ428" s="72">
        <f t="shared" si="3629"/>
        <v>369</v>
      </c>
      <c r="CR428" s="72">
        <f t="shared" si="3630"/>
        <v>405</v>
      </c>
      <c r="CS428" s="72">
        <f t="shared" si="3631"/>
        <v>421</v>
      </c>
      <c r="CT428" s="23">
        <f t="shared" si="3632"/>
        <v>1</v>
      </c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  <c r="AMK428" s="1"/>
      <c r="AML428" s="1"/>
      <c r="AMM428" s="1"/>
      <c r="AMN428" s="1"/>
      <c r="AMO428" s="1"/>
    </row>
    <row r="429" spans="1:1029" s="12" customFormat="1" x14ac:dyDescent="0.2">
      <c r="A429" s="9" t="str">
        <f t="shared" ref="A429:A430" si="3801">CONCATENATE(B429,"_",C429)</f>
        <v>pacr_human__wt</v>
      </c>
      <c r="B429" s="9" t="s">
        <v>408</v>
      </c>
      <c r="C429" s="9" t="s">
        <v>100</v>
      </c>
      <c r="D429" s="9" t="str">
        <f>IFERROR(MID(VLOOKUP($B429,Seqs!$A:$B,2,0),E429,1),"")</f>
        <v>Y</v>
      </c>
      <c r="E429" s="9">
        <v>139</v>
      </c>
      <c r="F429" s="9" t="str">
        <f>IFERROR(MID(VLOOKUP($B429,Seqs!$A:$B,2,0),G429,1),"")</f>
        <v>F</v>
      </c>
      <c r="G429" s="9">
        <v>178</v>
      </c>
      <c r="H429" s="9" t="str">
        <f>IFERROR(MID(VLOOKUP($B429,Seqs!$A:$B,2,0),I429,1),"")</f>
        <v>R</v>
      </c>
      <c r="I429" s="109">
        <v>179</v>
      </c>
      <c r="J429" s="9" t="str">
        <f>IFERROR(MID(VLOOKUP($B429,Seqs!$A:$B,2,0),K429,1),"")</f>
        <v>H</v>
      </c>
      <c r="K429" s="109">
        <v>182</v>
      </c>
      <c r="L429" s="9" t="str">
        <f>IFERROR(MID(VLOOKUP($B429,Seqs!$A:$B,2,0),M429,1),"")</f>
        <v>C</v>
      </c>
      <c r="M429" s="109">
        <v>183</v>
      </c>
      <c r="N429" s="9" t="str">
        <f>IFERROR(MID(VLOOKUP($B429,Seqs!$A:$B,2,0),O429,1),"")</f>
        <v>L</v>
      </c>
      <c r="O429" s="9">
        <v>210</v>
      </c>
      <c r="P429" s="9" t="str">
        <f>IFERROR(MID(VLOOKUP($B429,Seqs!$A:$B,2,0),Q429,1),"")</f>
        <v/>
      </c>
      <c r="Q429" s="9" t="s">
        <v>23</v>
      </c>
      <c r="R429" s="9" t="str">
        <f>IFERROR(MID(VLOOKUP($B429,Seqs!$A:$B,2,0),S429,1),"")</f>
        <v/>
      </c>
      <c r="S429" s="9" t="s">
        <v>23</v>
      </c>
      <c r="T429" s="9" t="str">
        <f>IFERROR(MID(VLOOKUP($B429,Seqs!$A:$B,2,0),U429,1),"")</f>
        <v>T</v>
      </c>
      <c r="U429" s="9">
        <v>223</v>
      </c>
      <c r="V429" s="9" t="str">
        <f>IFERROR(MID(VLOOKUP($B429,Seqs!$A:$B,2,0),W429,1),"")</f>
        <v>E</v>
      </c>
      <c r="W429" s="9">
        <v>257</v>
      </c>
      <c r="X429" s="9" t="str">
        <f>IFERROR(MID(VLOOKUP($B429,Seqs!$A:$B,2,0),Y429,1),"")</f>
        <v/>
      </c>
      <c r="Y429" s="9" t="s">
        <v>23</v>
      </c>
      <c r="Z429" s="9" t="str">
        <f>IFERROR(MID(VLOOKUP($B429,Seqs!$A:$B,2,0),AA429,1),"")</f>
        <v/>
      </c>
      <c r="AA429" s="9" t="s">
        <v>23</v>
      </c>
      <c r="AB429" s="9" t="str">
        <f>IFERROR(MID(VLOOKUP($B429,Seqs!$A:$B,2,0),AC429,1),"")</f>
        <v>R</v>
      </c>
      <c r="AC429" s="9">
        <v>264</v>
      </c>
      <c r="AD429" s="9" t="str">
        <f>IFERROR(MID(VLOOKUP($B429,Seqs!$A:$B,2,0),AE429,1),"")</f>
        <v>D</v>
      </c>
      <c r="AE429" s="9">
        <v>292</v>
      </c>
      <c r="AF429" s="9" t="str">
        <f>IFERROR(MID(VLOOKUP($B429,Seqs!$A:$B,2,0),AG429,1),"")</f>
        <v>C</v>
      </c>
      <c r="AG429" s="9">
        <v>296</v>
      </c>
      <c r="AH429" s="9" t="str">
        <f>IFERROR(MID(VLOOKUP($B429,Seqs!$A:$B,2,0),AI429,1),"")</f>
        <v>D</v>
      </c>
      <c r="AI429" s="9">
        <v>298</v>
      </c>
      <c r="AJ429" s="9" t="str">
        <f>IFERROR(MID(VLOOKUP($B429,Seqs!$A:$B,2,0),AK429,1),"")</f>
        <v>S</v>
      </c>
      <c r="AK429" s="9">
        <v>302</v>
      </c>
      <c r="AL429" s="9" t="str">
        <f>IFERROR(MID(VLOOKUP($B429,Seqs!$A:$B,2,0),AM429,1),"")</f>
        <v>L</v>
      </c>
      <c r="AM429" s="9">
        <v>335</v>
      </c>
      <c r="AN429" s="9" t="str">
        <f>IFERROR(MID(VLOOKUP($B429,Seqs!$A:$B,2,0),AO429,1),"")</f>
        <v>N</v>
      </c>
      <c r="AO429" s="9">
        <v>343</v>
      </c>
      <c r="AP429" s="9" t="str">
        <f>IFERROR(MID(VLOOKUP($B429,Seqs!$A:$B,2,0),AQ429,1),"")</f>
        <v>S</v>
      </c>
      <c r="AQ429" s="9">
        <v>372</v>
      </c>
      <c r="AR429" s="9" t="str">
        <f>IFERROR(MID(VLOOKUP($B429,Seqs!$A:$B,2,0),AS429,1),"")</f>
        <v>K</v>
      </c>
      <c r="AS429" s="9">
        <v>378</v>
      </c>
      <c r="AT429" s="9" t="str">
        <f>IFERROR(MID(VLOOKUP($B429,Seqs!$A:$B,2,0),AU429,1),"")</f>
        <v>L</v>
      </c>
      <c r="AU429" s="9">
        <v>403</v>
      </c>
      <c r="AV429" s="9" t="str">
        <f>IFERROR(MID(VLOOKUP($B429,Seqs!$A:$B,2,0),AW429,1),"")</f>
        <v>N</v>
      </c>
      <c r="AW429" s="9">
        <v>404</v>
      </c>
      <c r="AX429" s="9" t="str">
        <f>IFERROR(MID(VLOOKUP($B429,Seqs!$A:$B,2,0),AY429,1),"")</f>
        <v>K</v>
      </c>
      <c r="AY429" s="9">
        <v>429</v>
      </c>
      <c r="AZ429" s="110" t="str">
        <f>VLOOKUP(B429,Classification!A:D,2,0)</f>
        <v>B1</v>
      </c>
      <c r="BA429" s="98" t="str">
        <f>VLOOKUP(B429,Classification!A:D,4,0)</f>
        <v>VIPandPACAP</v>
      </c>
      <c r="BB429" s="36" t="b">
        <f t="shared" ref="BB429:BB430" si="3802">AND(E429&lt;G429,OR(G429&lt;I429,I429="-"),OR(I429&lt;K429,I429="-"),OR(K429&lt;M429,K429="-"),M429&lt;O429,OR(O429&lt;Q429,Q429="-"),OR(Q429&lt;S429,Q429="-"),OR(S429&lt;U429,S429="-"),U429&lt;W429,OR(W429&lt;Y429,Y429="-"),OR(Y429&lt;AA429,Y429="-"),OR(AA429&lt;AC429,AA429="-"),AC429&lt;AE429,OR(AE429&lt;AG429,AG429="-"),OR(AG429&lt;AI429,AG429="-"),OR(AI429&lt;AK429,AI429="-"),AK429&lt;AM429,AM429&lt;AO429,AO429&lt;AQ429,AQ429&lt;AS429,AS429&lt;AU429,OR(AU429&lt;AW429,AW429="-"),OR(AW429&lt;AY429,AW429="-"))</f>
        <v>1</v>
      </c>
      <c r="BC429" s="109">
        <f t="shared" ref="BC429:BC430" si="3803">_xlfn.AGGREGATE(9,6,CH429:CS429)-_xlfn.AGGREGATE(9,6,BV429:CG429)+12</f>
        <v>257</v>
      </c>
      <c r="BD429" s="11" t="s">
        <v>23</v>
      </c>
      <c r="BE429" s="9" t="s">
        <v>23</v>
      </c>
      <c r="BF429" s="119" t="s">
        <v>23</v>
      </c>
      <c r="BG429" s="51" t="s">
        <v>23</v>
      </c>
      <c r="BH429" s="51" t="s">
        <v>23</v>
      </c>
      <c r="BJ429" s="111" t="s">
        <v>1287</v>
      </c>
      <c r="BK429" s="112" t="s">
        <v>1287</v>
      </c>
      <c r="BL429" s="112" t="s">
        <v>1287</v>
      </c>
      <c r="BM429" s="112" t="s">
        <v>1287</v>
      </c>
      <c r="BN429" s="112" t="s">
        <v>1287</v>
      </c>
      <c r="BO429" s="112" t="s">
        <v>1287</v>
      </c>
      <c r="BP429" s="112" t="s">
        <v>1287</v>
      </c>
      <c r="BQ429" s="112" t="s">
        <v>1287</v>
      </c>
      <c r="BR429" s="112" t="s">
        <v>1287</v>
      </c>
      <c r="BS429" s="112" t="s">
        <v>1287</v>
      </c>
      <c r="BT429" s="112" t="s">
        <v>1287</v>
      </c>
      <c r="BU429" s="112" t="s">
        <v>1287</v>
      </c>
      <c r="BV429" s="111">
        <f t="shared" ref="BV429:BV430" si="3804">E429</f>
        <v>139</v>
      </c>
      <c r="BW429" s="113">
        <f t="shared" ref="BW429:BW430" si="3805">I429</f>
        <v>179</v>
      </c>
      <c r="BX429" s="114">
        <f t="shared" ref="BX429:BX430" si="3806">M429</f>
        <v>183</v>
      </c>
      <c r="BY429" s="113" t="str">
        <f t="shared" ref="BY429:BY430" si="3807">Q429</f>
        <v>-</v>
      </c>
      <c r="BZ429" s="114">
        <f t="shared" ref="BZ429:BZ430" si="3808">U429</f>
        <v>223</v>
      </c>
      <c r="CA429" s="113" t="str">
        <f t="shared" ref="CA429:CA430" si="3809">Y429</f>
        <v>-</v>
      </c>
      <c r="CB429" s="114">
        <f t="shared" ref="CB429:CB430" si="3810">AC429</f>
        <v>264</v>
      </c>
      <c r="CC429" s="113">
        <f t="shared" ref="CC429:CC430" si="3811">AG429</f>
        <v>296</v>
      </c>
      <c r="CD429" s="114">
        <f t="shared" ref="CD429:CD430" si="3812">AK429</f>
        <v>302</v>
      </c>
      <c r="CE429" s="113">
        <f t="shared" ref="CE429:CE430" si="3813">AO429</f>
        <v>343</v>
      </c>
      <c r="CF429" s="114">
        <f t="shared" ref="CF429:CF430" si="3814">AS429</f>
        <v>378</v>
      </c>
      <c r="CG429" s="113">
        <f t="shared" ref="CG429:CG430" si="3815">AW429</f>
        <v>404</v>
      </c>
      <c r="CH429" s="111">
        <f t="shared" ref="CH429:CH430" si="3816">G429</f>
        <v>178</v>
      </c>
      <c r="CI429" s="113">
        <f t="shared" ref="CI429:CI430" si="3817">K429</f>
        <v>182</v>
      </c>
      <c r="CJ429" s="114">
        <f t="shared" ref="CJ429:CJ430" si="3818">O429</f>
        <v>210</v>
      </c>
      <c r="CK429" s="114" t="str">
        <f t="shared" ref="CK429:CK430" si="3819">S429</f>
        <v>-</v>
      </c>
      <c r="CL429" s="114">
        <f t="shared" ref="CL429:CL430" si="3820">W429</f>
        <v>257</v>
      </c>
      <c r="CM429" s="114" t="str">
        <f t="shared" ref="CM429:CM430" si="3821">AA429</f>
        <v>-</v>
      </c>
      <c r="CN429" s="114">
        <f t="shared" ref="CN429:CN430" si="3822">AE429</f>
        <v>292</v>
      </c>
      <c r="CO429" s="114">
        <f t="shared" ref="CO429:CO430" si="3823">AI429</f>
        <v>298</v>
      </c>
      <c r="CP429" s="114">
        <f t="shared" ref="CP429:CP430" si="3824">AM429</f>
        <v>335</v>
      </c>
      <c r="CQ429" s="114">
        <f t="shared" ref="CQ429:CQ430" si="3825">AQ429</f>
        <v>372</v>
      </c>
      <c r="CR429" s="114">
        <f t="shared" ref="CR429:CR430" si="3826">AU429</f>
        <v>403</v>
      </c>
      <c r="CS429" s="114">
        <f t="shared" ref="CS429:CS430" si="3827">AY429</f>
        <v>429</v>
      </c>
      <c r="CT429" s="109">
        <f t="shared" ref="CT429:CT430" si="3828">M429-K429</f>
        <v>1</v>
      </c>
    </row>
    <row r="430" spans="1:1029" s="12" customFormat="1" x14ac:dyDescent="0.2">
      <c r="A430" s="9" t="str">
        <f t="shared" si="3801"/>
        <v>pacr_human_6P9Y</v>
      </c>
      <c r="B430" s="9" t="s">
        <v>408</v>
      </c>
      <c r="C430" s="9" t="s">
        <v>1645</v>
      </c>
      <c r="D430" s="9" t="str">
        <f>IFERROR(MID(VLOOKUP($B430,Seqs!$A:$B,2,0),E430,1),"")</f>
        <v>Y</v>
      </c>
      <c r="E430" s="9">
        <v>149</v>
      </c>
      <c r="F430" s="9" t="str">
        <f>IFERROR(MID(VLOOKUP($B430,Seqs!$A:$B,2,0),G430,1),"")</f>
        <v>F</v>
      </c>
      <c r="G430" s="9">
        <v>178</v>
      </c>
      <c r="H430" s="9" t="str">
        <f>IFERROR(MID(VLOOKUP($B430,Seqs!$A:$B,2,0),I430,1),"")</f>
        <v/>
      </c>
      <c r="I430" s="109" t="s">
        <v>23</v>
      </c>
      <c r="J430" s="9" t="str">
        <f>IFERROR(MID(VLOOKUP($B430,Seqs!$A:$B,2,0),K430,1),"")</f>
        <v/>
      </c>
      <c r="K430" s="109" t="s">
        <v>23</v>
      </c>
      <c r="L430" s="9" t="str">
        <f>IFERROR(MID(VLOOKUP($B430,Seqs!$A:$B,2,0),M430,1),"")</f>
        <v>C</v>
      </c>
      <c r="M430" s="109">
        <v>183</v>
      </c>
      <c r="N430" s="9" t="str">
        <f>IFERROR(MID(VLOOKUP($B430,Seqs!$A:$B,2,0),O430,1),"")</f>
        <v>Y</v>
      </c>
      <c r="O430" s="9">
        <v>211</v>
      </c>
      <c r="P430" s="9" t="str">
        <f>IFERROR(MID(VLOOKUP($B430,Seqs!$A:$B,2,0),Q430,1),"")</f>
        <v/>
      </c>
      <c r="Q430" s="9" t="s">
        <v>23</v>
      </c>
      <c r="R430" s="9" t="str">
        <f>IFERROR(MID(VLOOKUP($B430,Seqs!$A:$B,2,0),S430,1),"")</f>
        <v/>
      </c>
      <c r="S430" s="9" t="s">
        <v>23</v>
      </c>
      <c r="T430" s="9" t="str">
        <f>IFERROR(MID(VLOOKUP($B430,Seqs!$A:$B,2,0),U430,1),"")</f>
        <v>T</v>
      </c>
      <c r="U430" s="9">
        <v>223</v>
      </c>
      <c r="V430" s="9" t="str">
        <f>IFERROR(MID(VLOOKUP($B430,Seqs!$A:$B,2,0),W430,1),"")</f>
        <v>V</v>
      </c>
      <c r="W430" s="9">
        <v>256</v>
      </c>
      <c r="X430" s="9" t="str">
        <f>IFERROR(MID(VLOOKUP($B430,Seqs!$A:$B,2,0),Y430,1),"")</f>
        <v/>
      </c>
      <c r="Y430" s="9" t="s">
        <v>23</v>
      </c>
      <c r="Z430" s="9" t="str">
        <f>IFERROR(MID(VLOOKUP($B430,Seqs!$A:$B,2,0),AA430,1),"")</f>
        <v/>
      </c>
      <c r="AA430" s="9" t="s">
        <v>23</v>
      </c>
      <c r="AB430" s="9" t="str">
        <f>IFERROR(MID(VLOOKUP($B430,Seqs!$A:$B,2,0),AC430,1),"")</f>
        <v>R</v>
      </c>
      <c r="AC430" s="9">
        <v>264</v>
      </c>
      <c r="AD430" s="9" t="str">
        <f>IFERROR(MID(VLOOKUP($B430,Seqs!$A:$B,2,0),AE430,1),"")</f>
        <v>F</v>
      </c>
      <c r="AE430" s="9">
        <v>291</v>
      </c>
      <c r="AF430" s="9" t="str">
        <f>IFERROR(MID(VLOOKUP($B430,Seqs!$A:$B,2,0),AG430,1),"")</f>
        <v>C</v>
      </c>
      <c r="AG430" s="9">
        <v>296</v>
      </c>
      <c r="AH430" s="9" t="str">
        <f>IFERROR(MID(VLOOKUP($B430,Seqs!$A:$B,2,0),AI430,1),"")</f>
        <v>D</v>
      </c>
      <c r="AI430" s="9">
        <v>298</v>
      </c>
      <c r="AJ430" s="9" t="str">
        <f>IFERROR(MID(VLOOKUP($B430,Seqs!$A:$B,2,0),AK430,1),"")</f>
        <v>S</v>
      </c>
      <c r="AK430" s="9">
        <v>302</v>
      </c>
      <c r="AL430" s="9" t="str">
        <f>IFERROR(MID(VLOOKUP($B430,Seqs!$A:$B,2,0),AM430,1),"")</f>
        <v>S</v>
      </c>
      <c r="AM430" s="9">
        <v>337</v>
      </c>
      <c r="AN430" s="9" t="str">
        <f>IFERROR(MID(VLOOKUP($B430,Seqs!$A:$B,2,0),AO430,1),"")</f>
        <v>S</v>
      </c>
      <c r="AO430" s="9">
        <v>346</v>
      </c>
      <c r="AP430" s="9" t="str">
        <f>IFERROR(MID(VLOOKUP($B430,Seqs!$A:$B,2,0),AQ430,1),"")</f>
        <v>A</v>
      </c>
      <c r="AQ430" s="9">
        <v>370</v>
      </c>
      <c r="AR430" s="9" t="str">
        <f>IFERROR(MID(VLOOKUP($B430,Seqs!$A:$B,2,0),AS430,1),"")</f>
        <v>K</v>
      </c>
      <c r="AS430" s="9">
        <v>378</v>
      </c>
      <c r="AT430" s="9" t="str">
        <f>IFERROR(MID(VLOOKUP($B430,Seqs!$A:$B,2,0),AU430,1),"")</f>
        <v>L</v>
      </c>
      <c r="AU430" s="9">
        <v>403</v>
      </c>
      <c r="AV430" s="9" t="str">
        <f>IFERROR(MID(VLOOKUP($B430,Seqs!$A:$B,2,0),AW430,1),"")</f>
        <v>N</v>
      </c>
      <c r="AW430" s="9">
        <v>404</v>
      </c>
      <c r="AX430" s="9" t="str">
        <f>IFERROR(MID(VLOOKUP($B430,Seqs!$A:$B,2,0),AY430,1),"")</f>
        <v>W</v>
      </c>
      <c r="AY430" s="9">
        <v>418</v>
      </c>
      <c r="AZ430" s="110" t="str">
        <f>VLOOKUP(B430,Classification!A:D,2,0)</f>
        <v>B1</v>
      </c>
      <c r="BA430" s="98" t="str">
        <f>VLOOKUP(B430,Classification!A:D,4,0)</f>
        <v>VIPandPACAP</v>
      </c>
      <c r="BB430" s="36" t="b">
        <f t="shared" si="3802"/>
        <v>1</v>
      </c>
      <c r="BC430" s="109">
        <f t="shared" si="3803"/>
        <v>229</v>
      </c>
      <c r="BD430" s="11" t="s">
        <v>1375</v>
      </c>
      <c r="BE430" s="9" t="s">
        <v>1291</v>
      </c>
      <c r="BF430" s="119">
        <v>3.01</v>
      </c>
      <c r="BG430" s="51" t="s">
        <v>1422</v>
      </c>
      <c r="BH430" s="51" t="s">
        <v>1422</v>
      </c>
      <c r="BJ430" s="111" t="s">
        <v>1287</v>
      </c>
      <c r="BK430" s="112" t="s">
        <v>1287</v>
      </c>
      <c r="BL430" s="112" t="s">
        <v>1287</v>
      </c>
      <c r="BM430" s="112" t="s">
        <v>1287</v>
      </c>
      <c r="BN430" s="112" t="s">
        <v>1287</v>
      </c>
      <c r="BO430" s="112" t="s">
        <v>1287</v>
      </c>
      <c r="BP430" s="112" t="s">
        <v>1287</v>
      </c>
      <c r="BQ430" s="112" t="s">
        <v>1287</v>
      </c>
      <c r="BR430" s="112" t="s">
        <v>1287</v>
      </c>
      <c r="BS430" s="112" t="s">
        <v>1287</v>
      </c>
      <c r="BT430" s="112" t="s">
        <v>1287</v>
      </c>
      <c r="BU430" s="112" t="s">
        <v>1287</v>
      </c>
      <c r="BV430" s="111">
        <f t="shared" si="3804"/>
        <v>149</v>
      </c>
      <c r="BW430" s="113" t="str">
        <f t="shared" si="3805"/>
        <v>-</v>
      </c>
      <c r="BX430" s="114">
        <f t="shared" si="3806"/>
        <v>183</v>
      </c>
      <c r="BY430" s="113" t="str">
        <f t="shared" si="3807"/>
        <v>-</v>
      </c>
      <c r="BZ430" s="114">
        <f t="shared" si="3808"/>
        <v>223</v>
      </c>
      <c r="CA430" s="113" t="str">
        <f t="shared" si="3809"/>
        <v>-</v>
      </c>
      <c r="CB430" s="114">
        <f t="shared" si="3810"/>
        <v>264</v>
      </c>
      <c r="CC430" s="113">
        <f t="shared" si="3811"/>
        <v>296</v>
      </c>
      <c r="CD430" s="114">
        <f t="shared" si="3812"/>
        <v>302</v>
      </c>
      <c r="CE430" s="113">
        <f t="shared" si="3813"/>
        <v>346</v>
      </c>
      <c r="CF430" s="114">
        <f t="shared" si="3814"/>
        <v>378</v>
      </c>
      <c r="CG430" s="113">
        <f t="shared" si="3815"/>
        <v>404</v>
      </c>
      <c r="CH430" s="111">
        <f t="shared" si="3816"/>
        <v>178</v>
      </c>
      <c r="CI430" s="113" t="str">
        <f t="shared" si="3817"/>
        <v>-</v>
      </c>
      <c r="CJ430" s="114">
        <f t="shared" si="3818"/>
        <v>211</v>
      </c>
      <c r="CK430" s="114" t="str">
        <f t="shared" si="3819"/>
        <v>-</v>
      </c>
      <c r="CL430" s="114">
        <f t="shared" si="3820"/>
        <v>256</v>
      </c>
      <c r="CM430" s="114" t="str">
        <f t="shared" si="3821"/>
        <v>-</v>
      </c>
      <c r="CN430" s="114">
        <f t="shared" si="3822"/>
        <v>291</v>
      </c>
      <c r="CO430" s="114">
        <f t="shared" si="3823"/>
        <v>298</v>
      </c>
      <c r="CP430" s="114">
        <f t="shared" si="3824"/>
        <v>337</v>
      </c>
      <c r="CQ430" s="114">
        <f t="shared" si="3825"/>
        <v>370</v>
      </c>
      <c r="CR430" s="114">
        <f t="shared" si="3826"/>
        <v>403</v>
      </c>
      <c r="CS430" s="114">
        <f t="shared" si="3827"/>
        <v>418</v>
      </c>
      <c r="CT430" s="109" t="e">
        <f t="shared" si="3828"/>
        <v>#VALUE!</v>
      </c>
    </row>
    <row r="431" spans="1:1029" s="12" customFormat="1" x14ac:dyDescent="0.2">
      <c r="A431" s="9" t="str">
        <f t="shared" ref="A431" si="3829">CONCATENATE(B431,"_",C431)</f>
        <v>pacr_human_6LPB</v>
      </c>
      <c r="B431" s="9" t="s">
        <v>408</v>
      </c>
      <c r="C431" s="9" t="s">
        <v>1677</v>
      </c>
      <c r="D431" s="9" t="str">
        <f>IFERROR(MID(VLOOKUP($B431,Seqs!$A:$B,2,0),E431,1),"")</f>
        <v>Q</v>
      </c>
      <c r="E431" s="9">
        <v>146</v>
      </c>
      <c r="F431" s="9" t="str">
        <f>IFERROR(MID(VLOOKUP($B431,Seqs!$A:$B,2,0),G431,1),"")</f>
        <v>C</v>
      </c>
      <c r="G431" s="9">
        <v>176</v>
      </c>
      <c r="H431" s="9" t="str">
        <f>IFERROR(MID(VLOOKUP($B431,Seqs!$A:$B,2,0),I431,1),"")</f>
        <v/>
      </c>
      <c r="I431" s="109" t="s">
        <v>23</v>
      </c>
      <c r="J431" s="9" t="str">
        <f>IFERROR(MID(VLOOKUP($B431,Seqs!$A:$B,2,0),K431,1),"")</f>
        <v/>
      </c>
      <c r="K431" s="109" t="s">
        <v>23</v>
      </c>
      <c r="L431" s="9" t="str">
        <f>IFERROR(MID(VLOOKUP($B431,Seqs!$A:$B,2,0),M431,1),"")</f>
        <v>T</v>
      </c>
      <c r="M431" s="109">
        <v>184</v>
      </c>
      <c r="N431" s="9" t="str">
        <f>IFERROR(MID(VLOOKUP($B431,Seqs!$A:$B,2,0),O431,1),"")</f>
        <v>Y</v>
      </c>
      <c r="O431" s="9">
        <v>211</v>
      </c>
      <c r="P431" s="9" t="str">
        <f>IFERROR(MID(VLOOKUP($B431,Seqs!$A:$B,2,0),Q431,1),"")</f>
        <v/>
      </c>
      <c r="Q431" s="9" t="s">
        <v>23</v>
      </c>
      <c r="R431" s="9" t="str">
        <f>IFERROR(MID(VLOOKUP($B431,Seqs!$A:$B,2,0),S431,1),"")</f>
        <v/>
      </c>
      <c r="S431" s="9" t="s">
        <v>23</v>
      </c>
      <c r="T431" s="9" t="str">
        <f>IFERROR(MID(VLOOKUP($B431,Seqs!$A:$B,2,0),U431,1),"")</f>
        <v>T</v>
      </c>
      <c r="U431" s="9">
        <v>223</v>
      </c>
      <c r="V431" s="9" t="str">
        <f>IFERROR(MID(VLOOKUP($B431,Seqs!$A:$B,2,0),W431,1),"")</f>
        <v>E</v>
      </c>
      <c r="W431" s="9">
        <v>257</v>
      </c>
      <c r="X431" s="9" t="str">
        <f>IFERROR(MID(VLOOKUP($B431,Seqs!$A:$B,2,0),Y431,1),"")</f>
        <v/>
      </c>
      <c r="Y431" s="9" t="s">
        <v>23</v>
      </c>
      <c r="Z431" s="9" t="str">
        <f>IFERROR(MID(VLOOKUP($B431,Seqs!$A:$B,2,0),AA431,1),"")</f>
        <v/>
      </c>
      <c r="AA431" s="9" t="s">
        <v>23</v>
      </c>
      <c r="AB431" s="9" t="str">
        <f>IFERROR(MID(VLOOKUP($B431,Seqs!$A:$B,2,0),AC431,1),"")</f>
        <v>E</v>
      </c>
      <c r="AC431" s="9">
        <v>262</v>
      </c>
      <c r="AD431" s="9" t="str">
        <f>IFERROR(MID(VLOOKUP($B431,Seqs!$A:$B,2,0),AE431,1),"")</f>
        <v>Y</v>
      </c>
      <c r="AE431" s="9">
        <v>290</v>
      </c>
      <c r="AF431" s="9" t="str">
        <f>IFERROR(MID(VLOOKUP($B431,Seqs!$A:$B,2,0),AG431,1),"")</f>
        <v>C</v>
      </c>
      <c r="AG431" s="9">
        <v>296</v>
      </c>
      <c r="AH431" s="9" t="str">
        <f>IFERROR(MID(VLOOKUP($B431,Seqs!$A:$B,2,0),AI431,1),"")</f>
        <v>D</v>
      </c>
      <c r="AI431" s="9">
        <v>298</v>
      </c>
      <c r="AJ431" s="9" t="str">
        <f>IFERROR(MID(VLOOKUP($B431,Seqs!$A:$B,2,0),AK431,1),"")</f>
        <v>S</v>
      </c>
      <c r="AK431" s="9">
        <v>302</v>
      </c>
      <c r="AL431" s="9" t="str">
        <f>IFERROR(MID(VLOOKUP($B431,Seqs!$A:$B,2,0),AM431,1),"")</f>
        <v>Q</v>
      </c>
      <c r="AM431" s="9">
        <v>336</v>
      </c>
      <c r="AN431" s="9" t="str">
        <f>IFERROR(MID(VLOOKUP($B431,Seqs!$A:$B,2,0),AO431,1),"")</f>
        <v>I</v>
      </c>
      <c r="AO431" s="9">
        <v>347</v>
      </c>
      <c r="AP431" s="9" t="str">
        <f>IFERROR(MID(VLOOKUP($B431,Seqs!$A:$B,2,0),AQ431,1),"")</f>
        <v>V</v>
      </c>
      <c r="AQ431" s="9">
        <v>368</v>
      </c>
      <c r="AR431" s="9" t="str">
        <f>IFERROR(MID(VLOOKUP($B431,Seqs!$A:$B,2,0),AS431,1),"")</f>
        <v>S</v>
      </c>
      <c r="AS431" s="9">
        <v>377</v>
      </c>
      <c r="AT431" s="9" t="str">
        <f>IFERROR(MID(VLOOKUP($B431,Seqs!$A:$B,2,0),AU431,1),"")</f>
        <v>F</v>
      </c>
      <c r="AU431" s="9">
        <v>402</v>
      </c>
      <c r="AV431" s="9" t="str">
        <f>IFERROR(MID(VLOOKUP($B431,Seqs!$A:$B,2,0),AW431,1),"")</f>
        <v>G</v>
      </c>
      <c r="AW431" s="9">
        <v>405</v>
      </c>
      <c r="AX431" s="9" t="str">
        <f>IFERROR(MID(VLOOKUP($B431,Seqs!$A:$B,2,0),AY431,1),"")</f>
        <v>K</v>
      </c>
      <c r="AY431" s="9">
        <v>414</v>
      </c>
      <c r="AZ431" s="110" t="str">
        <f>VLOOKUP(B431,Classification!A:D,2,0)</f>
        <v>B1</v>
      </c>
      <c r="BA431" s="98" t="str">
        <f>VLOOKUP(B431,Classification!A:D,4,0)</f>
        <v>VIPandPACAP</v>
      </c>
      <c r="BB431" s="36" t="b">
        <f t="shared" ref="BB431" si="3830">AND(E431&lt;G431,OR(G431&lt;I431,I431="-"),OR(I431&lt;K431,I431="-"),OR(K431&lt;M431,K431="-"),M431&lt;O431,OR(O431&lt;Q431,Q431="-"),OR(Q431&lt;S431,Q431="-"),OR(S431&lt;U431,S431="-"),U431&lt;W431,OR(W431&lt;Y431,Y431="-"),OR(Y431&lt;AA431,Y431="-"),OR(AA431&lt;AC431,AA431="-"),AC431&lt;AE431,OR(AE431&lt;AG431,AG431="-"),OR(AG431&lt;AI431,AG431="-"),OR(AI431&lt;AK431,AI431="-"),AK431&lt;AM431,AM431&lt;AO431,AO431&lt;AQ431,AQ431&lt;AS431,AS431&lt;AU431,OR(AU431&lt;AW431,AW431="-"),OR(AW431&lt;AY431,AW431="-"))</f>
        <v>1</v>
      </c>
      <c r="BC431" s="109">
        <f t="shared" ref="BC431" si="3831">_xlfn.AGGREGATE(9,6,CH431:CS431)-_xlfn.AGGREGATE(9,6,BV431:CG431)+12</f>
        <v>222</v>
      </c>
      <c r="BD431" s="11" t="s">
        <v>23</v>
      </c>
      <c r="BE431" s="9" t="s">
        <v>1291</v>
      </c>
      <c r="BF431" s="119">
        <v>3.9</v>
      </c>
      <c r="BG431" s="51" t="s">
        <v>1422</v>
      </c>
      <c r="BH431" s="51" t="s">
        <v>1422</v>
      </c>
      <c r="BJ431" s="111" t="s">
        <v>1287</v>
      </c>
      <c r="BK431" s="112" t="s">
        <v>1287</v>
      </c>
      <c r="BL431" s="112" t="s">
        <v>1287</v>
      </c>
      <c r="BM431" s="112" t="s">
        <v>1287</v>
      </c>
      <c r="BN431" s="112" t="s">
        <v>1287</v>
      </c>
      <c r="BO431" s="112" t="s">
        <v>1287</v>
      </c>
      <c r="BP431" s="112" t="s">
        <v>1287</v>
      </c>
      <c r="BQ431" s="112" t="s">
        <v>1287</v>
      </c>
      <c r="BR431" s="112" t="s">
        <v>1287</v>
      </c>
      <c r="BS431" s="112" t="s">
        <v>1287</v>
      </c>
      <c r="BT431" s="112" t="s">
        <v>1287</v>
      </c>
      <c r="BU431" s="112" t="s">
        <v>1287</v>
      </c>
      <c r="BV431" s="111">
        <f t="shared" ref="BV431" si="3832">E431</f>
        <v>146</v>
      </c>
      <c r="BW431" s="113" t="str">
        <f t="shared" ref="BW431" si="3833">I431</f>
        <v>-</v>
      </c>
      <c r="BX431" s="114">
        <f t="shared" ref="BX431" si="3834">M431</f>
        <v>184</v>
      </c>
      <c r="BY431" s="113" t="str">
        <f t="shared" ref="BY431" si="3835">Q431</f>
        <v>-</v>
      </c>
      <c r="BZ431" s="114">
        <f t="shared" ref="BZ431" si="3836">U431</f>
        <v>223</v>
      </c>
      <c r="CA431" s="113" t="str">
        <f t="shared" ref="CA431" si="3837">Y431</f>
        <v>-</v>
      </c>
      <c r="CB431" s="114">
        <f t="shared" ref="CB431" si="3838">AC431</f>
        <v>262</v>
      </c>
      <c r="CC431" s="113">
        <f t="shared" ref="CC431" si="3839">AG431</f>
        <v>296</v>
      </c>
      <c r="CD431" s="114">
        <f t="shared" ref="CD431" si="3840">AK431</f>
        <v>302</v>
      </c>
      <c r="CE431" s="113">
        <f t="shared" ref="CE431" si="3841">AO431</f>
        <v>347</v>
      </c>
      <c r="CF431" s="114">
        <f t="shared" ref="CF431" si="3842">AS431</f>
        <v>377</v>
      </c>
      <c r="CG431" s="113">
        <f t="shared" ref="CG431" si="3843">AW431</f>
        <v>405</v>
      </c>
      <c r="CH431" s="111">
        <f t="shared" ref="CH431" si="3844">G431</f>
        <v>176</v>
      </c>
      <c r="CI431" s="113" t="str">
        <f t="shared" ref="CI431" si="3845">K431</f>
        <v>-</v>
      </c>
      <c r="CJ431" s="114">
        <f t="shared" ref="CJ431" si="3846">O431</f>
        <v>211</v>
      </c>
      <c r="CK431" s="114" t="str">
        <f t="shared" ref="CK431" si="3847">S431</f>
        <v>-</v>
      </c>
      <c r="CL431" s="114">
        <f t="shared" ref="CL431" si="3848">W431</f>
        <v>257</v>
      </c>
      <c r="CM431" s="114" t="str">
        <f t="shared" ref="CM431" si="3849">AA431</f>
        <v>-</v>
      </c>
      <c r="CN431" s="114">
        <f t="shared" ref="CN431" si="3850">AE431</f>
        <v>290</v>
      </c>
      <c r="CO431" s="114">
        <f t="shared" ref="CO431" si="3851">AI431</f>
        <v>298</v>
      </c>
      <c r="CP431" s="114">
        <f t="shared" ref="CP431" si="3852">AM431</f>
        <v>336</v>
      </c>
      <c r="CQ431" s="114">
        <f t="shared" ref="CQ431" si="3853">AQ431</f>
        <v>368</v>
      </c>
      <c r="CR431" s="114">
        <f t="shared" ref="CR431" si="3854">AU431</f>
        <v>402</v>
      </c>
      <c r="CS431" s="114">
        <f t="shared" ref="CS431" si="3855">AY431</f>
        <v>414</v>
      </c>
      <c r="CT431" s="109" t="e">
        <f t="shared" ref="CT431" si="3856">M431-K431</f>
        <v>#VALUE!</v>
      </c>
    </row>
    <row r="432" spans="1:1029" x14ac:dyDescent="0.2">
      <c r="A432" s="3" t="str">
        <f t="shared" ref="A432" si="3857">CONCATENATE(B432,"_",C432)</f>
        <v>pth1r_human__wt</v>
      </c>
      <c r="B432" s="3" t="s">
        <v>409</v>
      </c>
      <c r="C432" s="3" t="s">
        <v>100</v>
      </c>
      <c r="D432" s="3" t="str">
        <f>IFERROR(MID(VLOOKUP($B432,Seqs!$A:$B,2,0),E432,1),"")</f>
        <v>F</v>
      </c>
      <c r="E432" s="105">
        <v>173</v>
      </c>
      <c r="F432" s="3" t="str">
        <f>IFERROR(MID(VLOOKUP($B432,Seqs!$A:$B,2,0),G432,1),"")</f>
        <v>F</v>
      </c>
      <c r="G432" s="3">
        <v>212</v>
      </c>
      <c r="H432" s="3" t="str">
        <f>IFERROR(MID(VLOOKUP($B432,Seqs!$A:$B,2,0),I432,1),"")</f>
        <v>R</v>
      </c>
      <c r="I432" s="23">
        <v>213</v>
      </c>
      <c r="J432" s="3" t="str">
        <f>IFERROR(MID(VLOOKUP($B432,Seqs!$A:$B,2,0),K432,1),"")</f>
        <v>H</v>
      </c>
      <c r="K432" s="23">
        <v>216</v>
      </c>
      <c r="L432" s="3" t="str">
        <f>IFERROR(MID(VLOOKUP($B432,Seqs!$A:$B,2,0),M432,1),"")</f>
        <v>C</v>
      </c>
      <c r="M432" s="23">
        <v>217</v>
      </c>
      <c r="N432" s="3" t="str">
        <f>IFERROR(MID(VLOOKUP($B432,Seqs!$A:$B,2,0),O432,1),"")</f>
        <v>T</v>
      </c>
      <c r="O432" s="3">
        <v>249</v>
      </c>
      <c r="P432" s="3" t="str">
        <f>IFERROR(MID(VLOOKUP($B432,Seqs!$A:$B,2,0),Q432,1),"")</f>
        <v/>
      </c>
      <c r="Q432" s="3" t="s">
        <v>23</v>
      </c>
      <c r="R432" s="3" t="str">
        <f>IFERROR(MID(VLOOKUP($B432,Seqs!$A:$B,2,0),S432,1),"")</f>
        <v/>
      </c>
      <c r="S432" s="3" t="s">
        <v>23</v>
      </c>
      <c r="T432" s="3" t="str">
        <f>IFERROR(MID(VLOOKUP($B432,Seqs!$A:$B,2,0),U432,1),"")</f>
        <v>G</v>
      </c>
      <c r="U432" s="3">
        <v>277</v>
      </c>
      <c r="V432" s="3" t="str">
        <f>IFERROR(MID(VLOOKUP($B432,Seqs!$A:$B,2,0),W432,1),"")</f>
        <v>M</v>
      </c>
      <c r="W432" s="3">
        <v>312</v>
      </c>
      <c r="X432" s="3" t="str">
        <f>IFERROR(MID(VLOOKUP($B432,Seqs!$A:$B,2,0),Y432,1),"")</f>
        <v/>
      </c>
      <c r="Y432" s="3" t="s">
        <v>23</v>
      </c>
      <c r="Z432" s="3" t="str">
        <f>IFERROR(MID(VLOOKUP($B432,Seqs!$A:$B,2,0),AA432,1),"")</f>
        <v/>
      </c>
      <c r="AA432" s="3" t="s">
        <v>23</v>
      </c>
      <c r="AB432" s="3" t="str">
        <f>IFERROR(MID(VLOOKUP($B432,Seqs!$A:$B,2,0),AC432,1),"")</f>
        <v>S</v>
      </c>
      <c r="AC432" s="3">
        <v>316</v>
      </c>
      <c r="AD432" s="3" t="str">
        <f>IFERROR(MID(VLOOKUP($B432,Seqs!$A:$B,2,0),AE432,1),"")</f>
        <v>A</v>
      </c>
      <c r="AE432" s="3">
        <v>347</v>
      </c>
      <c r="AF432" s="3" t="str">
        <f>IFERROR(MID(VLOOKUP($B432,Seqs!$A:$B,2,0),AG432,1),"")</f>
        <v>C</v>
      </c>
      <c r="AG432" s="3">
        <v>351</v>
      </c>
      <c r="AH432" s="3" t="str">
        <f>IFERROR(MID(VLOOKUP($B432,Seqs!$A:$B,2,0),AI432,1),"")</f>
        <v>D</v>
      </c>
      <c r="AI432" s="3">
        <v>353</v>
      </c>
      <c r="AJ432" s="3" t="str">
        <f>IFERROR(MID(VLOOKUP($B432,Seqs!$A:$B,2,0),AK432,1),"")</f>
        <v>G</v>
      </c>
      <c r="AK432" s="105">
        <v>357</v>
      </c>
      <c r="AL432" s="3" t="str">
        <f>IFERROR(MID(VLOOKUP($B432,Seqs!$A:$B,2,0),AM432,1),"")</f>
        <v>L</v>
      </c>
      <c r="AM432" s="3">
        <v>389</v>
      </c>
      <c r="AN432" s="3" t="str">
        <f>IFERROR(MID(VLOOKUP($B432,Seqs!$A:$B,2,0),AO432,1),"")</f>
        <v>D</v>
      </c>
      <c r="AO432" s="3">
        <v>398</v>
      </c>
      <c r="AP432" s="3" t="str">
        <f>IFERROR(MID(VLOOKUP($B432,Seqs!$A:$B,2,0),AQ432,1),"")</f>
        <v>T</v>
      </c>
      <c r="AQ432" s="3">
        <v>427</v>
      </c>
      <c r="AR432" s="3" t="str">
        <f>IFERROR(MID(VLOOKUP($B432,Seqs!$A:$B,2,0),AS432,1),"")</f>
        <v>G</v>
      </c>
      <c r="AS432" s="3">
        <v>434</v>
      </c>
      <c r="AT432" s="3" t="str">
        <f>IFERROR(MID(VLOOKUP($B432,Seqs!$A:$B,2,0),AU432,1),"")</f>
        <v>C</v>
      </c>
      <c r="AU432" s="3">
        <v>462</v>
      </c>
      <c r="AV432" s="3" t="str">
        <f>IFERROR(MID(VLOOKUP($B432,Seqs!$A:$B,2,0),AW432,1),"")</f>
        <v>N</v>
      </c>
      <c r="AW432" s="3">
        <v>463</v>
      </c>
      <c r="AX432" s="3" t="str">
        <f>IFERROR(MID(VLOOKUP($B432,Seqs!$A:$B,2,0),AY432,1),"")</f>
        <v>R</v>
      </c>
      <c r="AY432" s="3">
        <v>488</v>
      </c>
      <c r="AZ432" s="77" t="str">
        <f>VLOOKUP(B432,Classification!A:D,2,0)</f>
        <v>B1</v>
      </c>
      <c r="BA432" s="94" t="str">
        <f>VLOOKUP(B432,Classification!A:D,4,0)</f>
        <v>Parathyroidhormone</v>
      </c>
      <c r="BB432" s="27" t="b">
        <f t="shared" ref="BB432" si="3858">AND(E432&lt;G432,OR(G432&lt;I432,I432="-"),OR(I432&lt;K432,I432="-"),OR(K432&lt;M432,K432="-"),M432&lt;O432,OR(O432&lt;Q432,Q432="-"),OR(Q432&lt;S432,Q432="-"),OR(S432&lt;U432,S432="-"),U432&lt;W432,OR(W432&lt;Y432,Y432="-"),OR(Y432&lt;AA432,Y432="-"),OR(AA432&lt;AC432,AA432="-"),AC432&lt;AE432,OR(AE432&lt;AG432,AG432="-"),OR(AG432&lt;AI432,AG432="-"),OR(AI432&lt;AK432,AI432="-"),AK432&lt;AM432,AM432&lt;AO432,AO432&lt;AQ432,AQ432&lt;AS432,AS432&lt;AU432,OR(AU432&lt;AW432,AW432="-"),OR(AW432&lt;AY432,AW432="-"))</f>
        <v>1</v>
      </c>
      <c r="BC432" s="23">
        <f t="shared" ref="BC432" si="3859">_xlfn.AGGREGATE(9,6,CH432:CS432)-_xlfn.AGGREGATE(9,6,BV432:CG432)+12</f>
        <v>268</v>
      </c>
      <c r="BD432" s="4" t="s">
        <v>23</v>
      </c>
      <c r="BE432" s="3" t="s">
        <v>23</v>
      </c>
      <c r="BF432" s="118" t="s">
        <v>23</v>
      </c>
      <c r="BG432" s="49" t="s">
        <v>23</v>
      </c>
      <c r="BH432" s="49" t="s">
        <v>23</v>
      </c>
      <c r="BI432" s="1"/>
      <c r="BJ432" s="70" t="s">
        <v>1287</v>
      </c>
      <c r="BK432" s="57" t="s">
        <v>1287</v>
      </c>
      <c r="BL432" s="57" t="s">
        <v>1287</v>
      </c>
      <c r="BM432" s="57" t="s">
        <v>1287</v>
      </c>
      <c r="BN432" s="57" t="s">
        <v>1287</v>
      </c>
      <c r="BO432" s="57" t="s">
        <v>1287</v>
      </c>
      <c r="BP432" s="57" t="s">
        <v>1287</v>
      </c>
      <c r="BQ432" s="57" t="s">
        <v>1287</v>
      </c>
      <c r="BR432" s="57" t="s">
        <v>1287</v>
      </c>
      <c r="BS432" s="57" t="s">
        <v>1287</v>
      </c>
      <c r="BT432" s="57" t="s">
        <v>1287</v>
      </c>
      <c r="BU432" s="57" t="s">
        <v>1287</v>
      </c>
      <c r="BV432" s="70">
        <f t="shared" ref="BV432" si="3860">E432</f>
        <v>173</v>
      </c>
      <c r="BW432" s="71">
        <f t="shared" ref="BW432" si="3861">I432</f>
        <v>213</v>
      </c>
      <c r="BX432" s="72">
        <f t="shared" ref="BX432" si="3862">M432</f>
        <v>217</v>
      </c>
      <c r="BY432" s="71" t="str">
        <f t="shared" ref="BY432" si="3863">Q432</f>
        <v>-</v>
      </c>
      <c r="BZ432" s="72">
        <f t="shared" ref="BZ432" si="3864">U432</f>
        <v>277</v>
      </c>
      <c r="CA432" s="71" t="str">
        <f t="shared" ref="CA432" si="3865">Y432</f>
        <v>-</v>
      </c>
      <c r="CB432" s="72">
        <f t="shared" ref="CB432" si="3866">AC432</f>
        <v>316</v>
      </c>
      <c r="CC432" s="71">
        <f t="shared" ref="CC432" si="3867">AG432</f>
        <v>351</v>
      </c>
      <c r="CD432" s="72">
        <f t="shared" ref="CD432" si="3868">AK432</f>
        <v>357</v>
      </c>
      <c r="CE432" s="71">
        <f t="shared" ref="CE432" si="3869">AO432</f>
        <v>398</v>
      </c>
      <c r="CF432" s="72">
        <f t="shared" ref="CF432" si="3870">AS432</f>
        <v>434</v>
      </c>
      <c r="CG432" s="71">
        <f t="shared" ref="CG432" si="3871">AW432</f>
        <v>463</v>
      </c>
      <c r="CH432" s="70">
        <f t="shared" ref="CH432" si="3872">G432</f>
        <v>212</v>
      </c>
      <c r="CI432" s="71">
        <f t="shared" ref="CI432" si="3873">K432</f>
        <v>216</v>
      </c>
      <c r="CJ432" s="72">
        <f t="shared" ref="CJ432" si="3874">O432</f>
        <v>249</v>
      </c>
      <c r="CK432" s="72" t="str">
        <f t="shared" ref="CK432" si="3875">S432</f>
        <v>-</v>
      </c>
      <c r="CL432" s="72">
        <f t="shared" ref="CL432" si="3876">W432</f>
        <v>312</v>
      </c>
      <c r="CM432" s="72" t="str">
        <f t="shared" ref="CM432" si="3877">AA432</f>
        <v>-</v>
      </c>
      <c r="CN432" s="72">
        <f t="shared" ref="CN432" si="3878">AE432</f>
        <v>347</v>
      </c>
      <c r="CO432" s="72">
        <f t="shared" ref="CO432" si="3879">AI432</f>
        <v>353</v>
      </c>
      <c r="CP432" s="72">
        <f t="shared" ref="CP432" si="3880">AM432</f>
        <v>389</v>
      </c>
      <c r="CQ432" s="72">
        <f t="shared" ref="CQ432" si="3881">AQ432</f>
        <v>427</v>
      </c>
      <c r="CR432" s="72">
        <f t="shared" ref="CR432" si="3882">AU432</f>
        <v>462</v>
      </c>
      <c r="CS432" s="72">
        <f t="shared" ref="CS432" si="3883">AY432</f>
        <v>488</v>
      </c>
      <c r="CT432" s="23">
        <f t="shared" ref="CT432" si="3884">M432-K432</f>
        <v>1</v>
      </c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</row>
    <row r="433" spans="1:1030" x14ac:dyDescent="0.2">
      <c r="A433" s="3" t="str">
        <f t="shared" ref="A433" si="3885">CONCATENATE(B433,"_",C433)</f>
        <v>pth1r_human_6FJ3</v>
      </c>
      <c r="B433" s="3" t="s">
        <v>409</v>
      </c>
      <c r="C433" s="3" t="s">
        <v>1527</v>
      </c>
      <c r="D433" s="3" t="str">
        <f>IFERROR(MID(VLOOKUP($B433,Seqs!$A:$B,2,0),E433,1),"")</f>
        <v>R</v>
      </c>
      <c r="E433" s="3">
        <v>179</v>
      </c>
      <c r="F433" s="3" t="str">
        <f>IFERROR(MID(VLOOKUP($B433,Seqs!$A:$B,2,0),G433,1),"")</f>
        <v>F</v>
      </c>
      <c r="G433" s="3">
        <v>212</v>
      </c>
      <c r="H433" s="3" t="str">
        <f>IFERROR(MID(VLOOKUP($B433,Seqs!$A:$B,2,0),I433,1),"")</f>
        <v>R</v>
      </c>
      <c r="I433" s="23">
        <v>213</v>
      </c>
      <c r="J433" s="3" t="str">
        <f>IFERROR(MID(VLOOKUP($B433,Seqs!$A:$B,2,0),K433,1),"")</f>
        <v>H</v>
      </c>
      <c r="K433" s="23">
        <v>216</v>
      </c>
      <c r="L433" s="3" t="str">
        <f>IFERROR(MID(VLOOKUP($B433,Seqs!$A:$B,2,0),M433,1),"")</f>
        <v>C</v>
      </c>
      <c r="M433" s="23">
        <v>217</v>
      </c>
      <c r="N433" s="3" t="str">
        <f>IFERROR(MID(VLOOKUP($B433,Seqs!$A:$B,2,0),O433,1),"")</f>
        <v>Y</v>
      </c>
      <c r="O433" s="3">
        <v>245</v>
      </c>
      <c r="P433" s="3" t="str">
        <f>IFERROR(MID(VLOOKUP($B433,Seqs!$A:$B,2,0),Q433,1),"")</f>
        <v/>
      </c>
      <c r="Q433" s="3" t="s">
        <v>23</v>
      </c>
      <c r="R433" s="3" t="str">
        <f>IFERROR(MID(VLOOKUP($B433,Seqs!$A:$B,2,0),S433,1),"")</f>
        <v/>
      </c>
      <c r="S433" s="3" t="s">
        <v>23</v>
      </c>
      <c r="T433" s="3" t="str">
        <f>IFERROR(MID(VLOOKUP($B433,Seqs!$A:$B,2,0),U433,1),"")</f>
        <v>Y</v>
      </c>
      <c r="U433" s="3">
        <v>278</v>
      </c>
      <c r="V433" s="3" t="str">
        <f>IFERROR(MID(VLOOKUP($B433,Seqs!$A:$B,2,0),W433,1),"")</f>
        <v>M</v>
      </c>
      <c r="W433" s="3">
        <v>312</v>
      </c>
      <c r="X433" s="3" t="str">
        <f>IFERROR(MID(VLOOKUP($B433,Seqs!$A:$B,2,0),Y433,1),"")</f>
        <v/>
      </c>
      <c r="Y433" s="3" t="s">
        <v>23</v>
      </c>
      <c r="Z433" s="3" t="str">
        <f>IFERROR(MID(VLOOKUP($B433,Seqs!$A:$B,2,0),AA433,1),"")</f>
        <v/>
      </c>
      <c r="AA433" s="3" t="s">
        <v>23</v>
      </c>
      <c r="AB433" s="3" t="str">
        <f>IFERROR(MID(VLOOKUP($B433,Seqs!$A:$B,2,0),AC433,1),"")</f>
        <v>S</v>
      </c>
      <c r="AC433" s="3">
        <v>316</v>
      </c>
      <c r="AD433" s="3" t="str">
        <f>IFERROR(MID(VLOOKUP($B433,Seqs!$A:$B,2,0),AE433,1),"")</f>
        <v>A</v>
      </c>
      <c r="AE433" s="3">
        <v>347</v>
      </c>
      <c r="AF433" s="3" t="str">
        <f>IFERROR(MID(VLOOKUP($B433,Seqs!$A:$B,2,0),AG433,1),"")</f>
        <v>C</v>
      </c>
      <c r="AG433" s="3">
        <v>351</v>
      </c>
      <c r="AH433" s="3" t="str">
        <f>IFERROR(MID(VLOOKUP($B433,Seqs!$A:$B,2,0),AI433,1),"")</f>
        <v>D</v>
      </c>
      <c r="AI433" s="3">
        <v>353</v>
      </c>
      <c r="AJ433" s="3" t="str">
        <f>IFERROR(MID(VLOOKUP($B433,Seqs!$A:$B,2,0),AK433,1),"")</f>
        <v>G</v>
      </c>
      <c r="AK433" s="3">
        <v>357</v>
      </c>
      <c r="AL433" s="3" t="str">
        <f>IFERROR(MID(VLOOKUP($B433,Seqs!$A:$B,2,0),AM433,1),"")</f>
        <v>R</v>
      </c>
      <c r="AM433" s="3">
        <v>383</v>
      </c>
      <c r="AN433" s="3" t="str">
        <f>IFERROR(MID(VLOOKUP($B433,Seqs!$A:$B,2,0),AO433,1),"")</f>
        <v>D</v>
      </c>
      <c r="AO433" s="3">
        <v>398</v>
      </c>
      <c r="AP433" s="3" t="str">
        <f>IFERROR(MID(VLOOKUP($B433,Seqs!$A:$B,2,0),AQ433,1),"")</f>
        <v>T</v>
      </c>
      <c r="AQ433" s="3">
        <v>427</v>
      </c>
      <c r="AR433" s="3" t="str">
        <f>IFERROR(MID(VLOOKUP($B433,Seqs!$A:$B,2,0),AS433,1),"")</f>
        <v>G</v>
      </c>
      <c r="AS433" s="3">
        <v>434</v>
      </c>
      <c r="AT433" s="3" t="str">
        <f>IFERROR(MID(VLOOKUP($B433,Seqs!$A:$B,2,0),AU433,1),"")</f>
        <v>C</v>
      </c>
      <c r="AU433" s="3">
        <v>462</v>
      </c>
      <c r="AV433" s="3" t="str">
        <f>IFERROR(MID(VLOOKUP($B433,Seqs!$A:$B,2,0),AW433,1),"")</f>
        <v>N</v>
      </c>
      <c r="AW433" s="3">
        <v>463</v>
      </c>
      <c r="AX433" s="3" t="str">
        <f>IFERROR(MID(VLOOKUP($B433,Seqs!$A:$B,2,0),AY433,1),"")</f>
        <v>W</v>
      </c>
      <c r="AY433" s="3">
        <v>477</v>
      </c>
      <c r="AZ433" s="77" t="str">
        <f>VLOOKUP(B433,Classification!A:D,2,0)</f>
        <v>B1</v>
      </c>
      <c r="BA433" s="94" t="str">
        <f>VLOOKUP(B433,Classification!A:D,4,0)</f>
        <v>Parathyroidhormone</v>
      </c>
      <c r="BB433" s="27" t="b">
        <f t="shared" ref="BB433" si="3886">AND(E433&lt;G433,OR(G433&lt;I433,I433="-"),OR(I433&lt;K433,I433="-"),OR(K433&lt;M433,K433="-"),M433&lt;O433,OR(O433&lt;Q433,Q433="-"),OR(Q433&lt;S433,Q433="-"),OR(S433&lt;U433,S433="-"),U433&lt;W433,OR(W433&lt;Y433,Y433="-"),OR(Y433&lt;AA433,Y433="-"),OR(AA433&lt;AC433,AA433="-"),AC433&lt;AE433,OR(AE433&lt;AG433,AG433="-"),OR(AG433&lt;AI433,AG433="-"),OR(AI433&lt;AK433,AI433="-"),AK433&lt;AM433,AM433&lt;AO433,AO433&lt;AQ433,AQ433&lt;AS433,AS433&lt;AU433,OR(AU433&lt;AW433,AW433="-"),OR(AW433&lt;AY433,AW433="-"))</f>
        <v>1</v>
      </c>
      <c r="BC433" s="23">
        <f t="shared" ref="BC433" si="3887">_xlfn.AGGREGATE(9,6,CH433:CS433)-_xlfn.AGGREGATE(9,6,BV433:CG433)+12</f>
        <v>240</v>
      </c>
      <c r="BD433" s="4" t="s">
        <v>1376</v>
      </c>
      <c r="BE433" s="3" t="s">
        <v>1374</v>
      </c>
      <c r="BF433" s="118">
        <v>2.5</v>
      </c>
      <c r="BG433" s="49" t="s">
        <v>1</v>
      </c>
      <c r="BH433" s="49" t="s">
        <v>1</v>
      </c>
      <c r="BI433" s="1"/>
      <c r="BJ433" s="70" t="s">
        <v>1287</v>
      </c>
      <c r="BK433" s="57" t="s">
        <v>1287</v>
      </c>
      <c r="BL433" s="57" t="s">
        <v>1287</v>
      </c>
      <c r="BM433" s="57" t="s">
        <v>1287</v>
      </c>
      <c r="BN433" s="57" t="s">
        <v>1287</v>
      </c>
      <c r="BO433" s="57" t="s">
        <v>1287</v>
      </c>
      <c r="BP433" s="57" t="s">
        <v>1287</v>
      </c>
      <c r="BQ433" s="57" t="s">
        <v>1287</v>
      </c>
      <c r="BR433" s="57" t="s">
        <v>1287</v>
      </c>
      <c r="BS433" s="57" t="s">
        <v>1287</v>
      </c>
      <c r="BT433" s="57" t="s">
        <v>1287</v>
      </c>
      <c r="BU433" s="57" t="s">
        <v>1287</v>
      </c>
      <c r="BV433" s="70">
        <f t="shared" ref="BV433" si="3888">E433</f>
        <v>179</v>
      </c>
      <c r="BW433" s="71">
        <f t="shared" ref="BW433" si="3889">I433</f>
        <v>213</v>
      </c>
      <c r="BX433" s="72">
        <f t="shared" ref="BX433" si="3890">M433</f>
        <v>217</v>
      </c>
      <c r="BY433" s="71" t="str">
        <f t="shared" ref="BY433" si="3891">Q433</f>
        <v>-</v>
      </c>
      <c r="BZ433" s="72">
        <f t="shared" ref="BZ433" si="3892">U433</f>
        <v>278</v>
      </c>
      <c r="CA433" s="71" t="str">
        <f t="shared" ref="CA433" si="3893">Y433</f>
        <v>-</v>
      </c>
      <c r="CB433" s="72">
        <f t="shared" ref="CB433" si="3894">AC433</f>
        <v>316</v>
      </c>
      <c r="CC433" s="71">
        <f t="shared" ref="CC433" si="3895">AG433</f>
        <v>351</v>
      </c>
      <c r="CD433" s="72">
        <f t="shared" ref="CD433" si="3896">AK433</f>
        <v>357</v>
      </c>
      <c r="CE433" s="71">
        <f t="shared" ref="CE433" si="3897">AO433</f>
        <v>398</v>
      </c>
      <c r="CF433" s="72">
        <f t="shared" ref="CF433" si="3898">AS433</f>
        <v>434</v>
      </c>
      <c r="CG433" s="71">
        <f t="shared" ref="CG433" si="3899">AW433</f>
        <v>463</v>
      </c>
      <c r="CH433" s="70">
        <f t="shared" ref="CH433" si="3900">G433</f>
        <v>212</v>
      </c>
      <c r="CI433" s="71">
        <f t="shared" ref="CI433" si="3901">K433</f>
        <v>216</v>
      </c>
      <c r="CJ433" s="72">
        <f t="shared" ref="CJ433" si="3902">O433</f>
        <v>245</v>
      </c>
      <c r="CK433" s="72" t="str">
        <f t="shared" ref="CK433" si="3903">S433</f>
        <v>-</v>
      </c>
      <c r="CL433" s="72">
        <f t="shared" ref="CL433" si="3904">W433</f>
        <v>312</v>
      </c>
      <c r="CM433" s="72" t="str">
        <f t="shared" ref="CM433" si="3905">AA433</f>
        <v>-</v>
      </c>
      <c r="CN433" s="72">
        <f t="shared" ref="CN433" si="3906">AE433</f>
        <v>347</v>
      </c>
      <c r="CO433" s="72">
        <f t="shared" ref="CO433" si="3907">AI433</f>
        <v>353</v>
      </c>
      <c r="CP433" s="72">
        <f t="shared" ref="CP433" si="3908">AM433</f>
        <v>383</v>
      </c>
      <c r="CQ433" s="72">
        <f t="shared" ref="CQ433" si="3909">AQ433</f>
        <v>427</v>
      </c>
      <c r="CR433" s="72">
        <f t="shared" ref="CR433" si="3910">AU433</f>
        <v>462</v>
      </c>
      <c r="CS433" s="72">
        <f t="shared" ref="CS433" si="3911">AY433</f>
        <v>477</v>
      </c>
      <c r="CT433" s="23">
        <f t="shared" ref="CT433" si="3912">M433-K433</f>
        <v>1</v>
      </c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</row>
    <row r="434" spans="1:1030" s="12" customFormat="1" x14ac:dyDescent="0.2">
      <c r="A434" s="9" t="str">
        <f t="shared" ref="A434" si="3913">CONCATENATE(B434,"_",C434)</f>
        <v>pth1r_human_6NBF</v>
      </c>
      <c r="B434" s="9" t="s">
        <v>409</v>
      </c>
      <c r="C434" s="9" t="s">
        <v>1573</v>
      </c>
      <c r="D434" s="9" t="str">
        <f>IFERROR(MID(VLOOKUP($B434,Seqs!$A:$B,2,0),E434,1),"")</f>
        <v>T</v>
      </c>
      <c r="E434" s="9">
        <v>178</v>
      </c>
      <c r="F434" s="9" t="str">
        <f>IFERROR(MID(VLOOKUP($B434,Seqs!$A:$B,2,0),G434,1),"")</f>
        <v>F</v>
      </c>
      <c r="G434" s="9">
        <v>212</v>
      </c>
      <c r="H434" s="9" t="str">
        <f>IFERROR(MID(VLOOKUP($B434,Seqs!$A:$B,2,0),I434,1),"")</f>
        <v>R</v>
      </c>
      <c r="I434" s="109">
        <v>213</v>
      </c>
      <c r="J434" s="9" t="str">
        <f>IFERROR(MID(VLOOKUP($B434,Seqs!$A:$B,2,0),K434,1),"")</f>
        <v>H</v>
      </c>
      <c r="K434" s="109">
        <v>216</v>
      </c>
      <c r="L434" s="9" t="str">
        <f>IFERROR(MID(VLOOKUP($B434,Seqs!$A:$B,2,0),M434,1),"")</f>
        <v>C</v>
      </c>
      <c r="M434" s="109">
        <v>217</v>
      </c>
      <c r="N434" s="9" t="str">
        <f>IFERROR(MID(VLOOKUP($B434,Seqs!$A:$B,2,0),O434,1),"")</f>
        <v>S</v>
      </c>
      <c r="O434" s="9">
        <v>246</v>
      </c>
      <c r="P434" s="9" t="str">
        <f>IFERROR(MID(VLOOKUP($B434,Seqs!$A:$B,2,0),Q434,1),"")</f>
        <v/>
      </c>
      <c r="Q434" s="9" t="s">
        <v>23</v>
      </c>
      <c r="R434" s="9" t="str">
        <f>IFERROR(MID(VLOOKUP($B434,Seqs!$A:$B,2,0),S434,1),"")</f>
        <v/>
      </c>
      <c r="S434" s="9" t="s">
        <v>23</v>
      </c>
      <c r="T434" s="9" t="str">
        <f>IFERROR(MID(VLOOKUP($B434,Seqs!$A:$B,2,0),U434,1),"")</f>
        <v>Y</v>
      </c>
      <c r="U434" s="9">
        <v>278</v>
      </c>
      <c r="V434" s="9" t="str">
        <f>IFERROR(MID(VLOOKUP($B434,Seqs!$A:$B,2,0),W434,1),"")</f>
        <v>M</v>
      </c>
      <c r="W434" s="9">
        <v>312</v>
      </c>
      <c r="X434" s="9" t="str">
        <f>IFERROR(MID(VLOOKUP($B434,Seqs!$A:$B,2,0),Y434,1),"")</f>
        <v/>
      </c>
      <c r="Y434" s="9" t="s">
        <v>23</v>
      </c>
      <c r="Z434" s="9" t="str">
        <f>IFERROR(MID(VLOOKUP($B434,Seqs!$A:$B,2,0),AA434,1),"")</f>
        <v/>
      </c>
      <c r="AA434" s="9" t="s">
        <v>23</v>
      </c>
      <c r="AB434" s="9" t="str">
        <f>IFERROR(MID(VLOOKUP($B434,Seqs!$A:$B,2,0),AC434,1),"")</f>
        <v>S</v>
      </c>
      <c r="AC434" s="9">
        <v>316</v>
      </c>
      <c r="AD434" s="9" t="str">
        <f>IFERROR(MID(VLOOKUP($B434,Seqs!$A:$B,2,0),AE434,1),"")</f>
        <v>L</v>
      </c>
      <c r="AE434" s="9">
        <v>346</v>
      </c>
      <c r="AF434" s="9" t="str">
        <f>IFERROR(MID(VLOOKUP($B434,Seqs!$A:$B,2,0),AG434,1),"")</f>
        <v>C</v>
      </c>
      <c r="AG434" s="9">
        <v>351</v>
      </c>
      <c r="AH434" s="9" t="str">
        <f>IFERROR(MID(VLOOKUP($B434,Seqs!$A:$B,2,0),AI434,1),"")</f>
        <v>D</v>
      </c>
      <c r="AI434" s="9">
        <v>353</v>
      </c>
      <c r="AJ434" s="9" t="str">
        <f>IFERROR(MID(VLOOKUP($B434,Seqs!$A:$B,2,0),AK434,1),"")</f>
        <v>G</v>
      </c>
      <c r="AK434" s="9">
        <v>357</v>
      </c>
      <c r="AL434" s="9" t="str">
        <f>IFERROR(MID(VLOOKUP($B434,Seqs!$A:$B,2,0),AM434,1),"")</f>
        <v>N</v>
      </c>
      <c r="AM434" s="9">
        <v>393</v>
      </c>
      <c r="AN434" s="9" t="str">
        <f>IFERROR(MID(VLOOKUP($B434,Seqs!$A:$B,2,0),AO434,1),"")</f>
        <v>T</v>
      </c>
      <c r="AO434" s="9">
        <v>399</v>
      </c>
      <c r="AP434" s="9" t="str">
        <f>IFERROR(MID(VLOOKUP($B434,Seqs!$A:$B,2,0),AQ434,1),"")</f>
        <v>F</v>
      </c>
      <c r="AQ434" s="9">
        <v>424</v>
      </c>
      <c r="AR434" s="9" t="str">
        <f>IFERROR(MID(VLOOKUP($B434,Seqs!$A:$B,2,0),AS434,1),"")</f>
        <v>G</v>
      </c>
      <c r="AS434" s="9">
        <v>434</v>
      </c>
      <c r="AT434" s="9" t="str">
        <f>IFERROR(MID(VLOOKUP($B434,Seqs!$A:$B,2,0),AU434,1),"")</f>
        <v>C</v>
      </c>
      <c r="AU434" s="9">
        <v>462</v>
      </c>
      <c r="AV434" s="9" t="str">
        <f>IFERROR(MID(VLOOKUP($B434,Seqs!$A:$B,2,0),AW434,1),"")</f>
        <v>N</v>
      </c>
      <c r="AW434" s="9">
        <v>463</v>
      </c>
      <c r="AX434" s="9" t="str">
        <f>IFERROR(MID(VLOOKUP($B434,Seqs!$A:$B,2,0),AY434,1),"")</f>
        <v>L</v>
      </c>
      <c r="AY434" s="9">
        <v>481</v>
      </c>
      <c r="AZ434" s="110" t="str">
        <f>VLOOKUP(B434,Classification!A:D,2,0)</f>
        <v>B1</v>
      </c>
      <c r="BA434" s="98" t="str">
        <f>VLOOKUP(B434,Classification!A:D,4,0)</f>
        <v>Parathyroidhormone</v>
      </c>
      <c r="BB434" s="36" t="b">
        <f t="shared" ref="BB434" si="3914">AND(E434&lt;G434,OR(G434&lt;I434,I434="-"),OR(I434&lt;K434,I434="-"),OR(K434&lt;M434,K434="-"),M434&lt;O434,OR(O434&lt;Q434,Q434="-"),OR(Q434&lt;S434,Q434="-"),OR(S434&lt;U434,S434="-"),U434&lt;W434,OR(W434&lt;Y434,Y434="-"),OR(Y434&lt;AA434,Y434="-"),OR(AA434&lt;AC434,AA434="-"),AC434&lt;AE434,OR(AE434&lt;AG434,AG434="-"),OR(AG434&lt;AI434,AG434="-"),OR(AI434&lt;AK434,AI434="-"),AK434&lt;AM434,AM434&lt;AO434,AO434&lt;AQ434,AQ434&lt;AS434,AS434&lt;AU434,OR(AU434&lt;AW434,AW434="-"),OR(AW434&lt;AY434,AW434="-"))</f>
        <v>1</v>
      </c>
      <c r="BC434" s="109">
        <f t="shared" ref="BC434" si="3915">_xlfn.AGGREGATE(9,6,CH434:CS434)-_xlfn.AGGREGATE(9,6,BV434:CG434)+12</f>
        <v>251</v>
      </c>
      <c r="BD434" s="11" t="s">
        <v>23</v>
      </c>
      <c r="BE434" s="9" t="s">
        <v>1291</v>
      </c>
      <c r="BF434" s="119">
        <v>3</v>
      </c>
      <c r="BG434" s="51" t="s">
        <v>1422</v>
      </c>
      <c r="BH434" s="51" t="s">
        <v>1422</v>
      </c>
      <c r="BJ434" s="111" t="s">
        <v>1287</v>
      </c>
      <c r="BK434" s="112" t="s">
        <v>1287</v>
      </c>
      <c r="BL434" s="112" t="s">
        <v>1287</v>
      </c>
      <c r="BM434" s="112" t="s">
        <v>1287</v>
      </c>
      <c r="BN434" s="112" t="s">
        <v>1287</v>
      </c>
      <c r="BO434" s="112" t="s">
        <v>1287</v>
      </c>
      <c r="BP434" s="112" t="s">
        <v>1287</v>
      </c>
      <c r="BQ434" s="112" t="s">
        <v>1287</v>
      </c>
      <c r="BR434" s="112" t="s">
        <v>1287</v>
      </c>
      <c r="BS434" s="112" t="s">
        <v>1287</v>
      </c>
      <c r="BT434" s="112" t="s">
        <v>1287</v>
      </c>
      <c r="BU434" s="112" t="s">
        <v>1287</v>
      </c>
      <c r="BV434" s="111">
        <f t="shared" ref="BV434" si="3916">E434</f>
        <v>178</v>
      </c>
      <c r="BW434" s="113">
        <f t="shared" ref="BW434" si="3917">I434</f>
        <v>213</v>
      </c>
      <c r="BX434" s="114">
        <f t="shared" ref="BX434" si="3918">M434</f>
        <v>217</v>
      </c>
      <c r="BY434" s="113" t="str">
        <f t="shared" ref="BY434" si="3919">Q434</f>
        <v>-</v>
      </c>
      <c r="BZ434" s="114">
        <f t="shared" ref="BZ434" si="3920">U434</f>
        <v>278</v>
      </c>
      <c r="CA434" s="113" t="str">
        <f t="shared" ref="CA434" si="3921">Y434</f>
        <v>-</v>
      </c>
      <c r="CB434" s="114">
        <f t="shared" ref="CB434" si="3922">AC434</f>
        <v>316</v>
      </c>
      <c r="CC434" s="113">
        <f t="shared" ref="CC434" si="3923">AG434</f>
        <v>351</v>
      </c>
      <c r="CD434" s="114">
        <f t="shared" ref="CD434" si="3924">AK434</f>
        <v>357</v>
      </c>
      <c r="CE434" s="113">
        <f t="shared" ref="CE434" si="3925">AO434</f>
        <v>399</v>
      </c>
      <c r="CF434" s="114">
        <f t="shared" ref="CF434" si="3926">AS434</f>
        <v>434</v>
      </c>
      <c r="CG434" s="113">
        <f t="shared" ref="CG434" si="3927">AW434</f>
        <v>463</v>
      </c>
      <c r="CH434" s="111">
        <f t="shared" ref="CH434" si="3928">G434</f>
        <v>212</v>
      </c>
      <c r="CI434" s="113">
        <f t="shared" ref="CI434" si="3929">K434</f>
        <v>216</v>
      </c>
      <c r="CJ434" s="114">
        <f t="shared" ref="CJ434" si="3930">O434</f>
        <v>246</v>
      </c>
      <c r="CK434" s="114" t="str">
        <f t="shared" ref="CK434" si="3931">S434</f>
        <v>-</v>
      </c>
      <c r="CL434" s="114">
        <f t="shared" ref="CL434" si="3932">W434</f>
        <v>312</v>
      </c>
      <c r="CM434" s="114" t="str">
        <f t="shared" ref="CM434" si="3933">AA434</f>
        <v>-</v>
      </c>
      <c r="CN434" s="114">
        <f t="shared" ref="CN434" si="3934">AE434</f>
        <v>346</v>
      </c>
      <c r="CO434" s="114">
        <f t="shared" ref="CO434" si="3935">AI434</f>
        <v>353</v>
      </c>
      <c r="CP434" s="114">
        <f t="shared" ref="CP434" si="3936">AM434</f>
        <v>393</v>
      </c>
      <c r="CQ434" s="114">
        <f t="shared" ref="CQ434" si="3937">AQ434</f>
        <v>424</v>
      </c>
      <c r="CR434" s="114">
        <f t="shared" ref="CR434" si="3938">AU434</f>
        <v>462</v>
      </c>
      <c r="CS434" s="114">
        <f t="shared" ref="CS434" si="3939">AY434</f>
        <v>481</v>
      </c>
      <c r="CT434" s="109">
        <f t="shared" ref="CT434" si="3940">M434-K434</f>
        <v>1</v>
      </c>
    </row>
    <row r="435" spans="1:1030" s="12" customFormat="1" x14ac:dyDescent="0.2">
      <c r="A435" s="9" t="str">
        <f t="shared" ref="A435" si="3941">CONCATENATE(B435,"_",C435)</f>
        <v>pth1r_human_6NBH</v>
      </c>
      <c r="B435" s="9" t="s">
        <v>409</v>
      </c>
      <c r="C435" s="9" t="s">
        <v>1574</v>
      </c>
      <c r="D435" s="9" t="str">
        <f>IFERROR(MID(VLOOKUP($B435,Seqs!$A:$B,2,0),E435,1),"")</f>
        <v>T</v>
      </c>
      <c r="E435" s="9">
        <v>178</v>
      </c>
      <c r="F435" s="9" t="str">
        <f>IFERROR(MID(VLOOKUP($B435,Seqs!$A:$B,2,0),G435,1),"")</f>
        <v>F</v>
      </c>
      <c r="G435" s="9">
        <v>212</v>
      </c>
      <c r="H435" s="9" t="str">
        <f>IFERROR(MID(VLOOKUP($B435,Seqs!$A:$B,2,0),I435,1),"")</f>
        <v>R</v>
      </c>
      <c r="I435" s="109">
        <v>213</v>
      </c>
      <c r="J435" s="9" t="str">
        <f>IFERROR(MID(VLOOKUP($B435,Seqs!$A:$B,2,0),K435,1),"")</f>
        <v>H</v>
      </c>
      <c r="K435" s="109">
        <v>216</v>
      </c>
      <c r="L435" s="9" t="str">
        <f>IFERROR(MID(VLOOKUP($B435,Seqs!$A:$B,2,0),M435,1),"")</f>
        <v>C</v>
      </c>
      <c r="M435" s="109">
        <v>217</v>
      </c>
      <c r="N435" s="9" t="str">
        <f>IFERROR(MID(VLOOKUP($B435,Seqs!$A:$B,2,0),O435,1),"")</f>
        <v>L</v>
      </c>
      <c r="O435" s="9">
        <v>250</v>
      </c>
      <c r="P435" s="9" t="str">
        <f>IFERROR(MID(VLOOKUP($B435,Seqs!$A:$B,2,0),Q435,1),"")</f>
        <v/>
      </c>
      <c r="Q435" s="9" t="s">
        <v>23</v>
      </c>
      <c r="R435" s="9" t="str">
        <f>IFERROR(MID(VLOOKUP($B435,Seqs!$A:$B,2,0),S435,1),"")</f>
        <v/>
      </c>
      <c r="S435" s="9" t="s">
        <v>23</v>
      </c>
      <c r="T435" s="9" t="str">
        <f>IFERROR(MID(VLOOKUP($B435,Seqs!$A:$B,2,0),U435,1),"")</f>
        <v>Y</v>
      </c>
      <c r="U435" s="9">
        <v>278</v>
      </c>
      <c r="V435" s="9" t="str">
        <f>IFERROR(MID(VLOOKUP($B435,Seqs!$A:$B,2,0),W435,1),"")</f>
        <v>M</v>
      </c>
      <c r="W435" s="9">
        <v>312</v>
      </c>
      <c r="X435" s="9" t="str">
        <f>IFERROR(MID(VLOOKUP($B435,Seqs!$A:$B,2,0),Y435,1),"")</f>
        <v/>
      </c>
      <c r="Y435" s="9" t="s">
        <v>23</v>
      </c>
      <c r="Z435" s="9" t="str">
        <f>IFERROR(MID(VLOOKUP($B435,Seqs!$A:$B,2,0),AA435,1),"")</f>
        <v/>
      </c>
      <c r="AA435" s="9" t="s">
        <v>23</v>
      </c>
      <c r="AB435" s="9" t="str">
        <f>IFERROR(MID(VLOOKUP($B435,Seqs!$A:$B,2,0),AC435,1),"")</f>
        <v>S</v>
      </c>
      <c r="AC435" s="9">
        <v>316</v>
      </c>
      <c r="AD435" s="9" t="str">
        <f>IFERROR(MID(VLOOKUP($B435,Seqs!$A:$B,2,0),AE435,1),"")</f>
        <v>A</v>
      </c>
      <c r="AE435" s="9">
        <v>347</v>
      </c>
      <c r="AF435" s="9" t="str">
        <f>IFERROR(MID(VLOOKUP($B435,Seqs!$A:$B,2,0),AG435,1),"")</f>
        <v>C</v>
      </c>
      <c r="AG435" s="9">
        <v>351</v>
      </c>
      <c r="AH435" s="9" t="str">
        <f>IFERROR(MID(VLOOKUP($B435,Seqs!$A:$B,2,0),AI435,1),"")</f>
        <v>D</v>
      </c>
      <c r="AI435" s="9">
        <v>353</v>
      </c>
      <c r="AJ435" s="9" t="str">
        <f>IFERROR(MID(VLOOKUP($B435,Seqs!$A:$B,2,0),AK435,1),"")</f>
        <v>G</v>
      </c>
      <c r="AK435" s="9">
        <v>357</v>
      </c>
      <c r="AL435" s="9" t="str">
        <f>IFERROR(MID(VLOOKUP($B435,Seqs!$A:$B,2,0),AM435,1),"")</f>
        <v>T</v>
      </c>
      <c r="AM435" s="9">
        <v>392</v>
      </c>
      <c r="AN435" s="9" t="str">
        <f>IFERROR(MID(VLOOKUP($B435,Seqs!$A:$B,2,0),AO435,1),"")</f>
        <v>T</v>
      </c>
      <c r="AO435" s="9">
        <v>399</v>
      </c>
      <c r="AP435" s="9" t="str">
        <f>IFERROR(MID(VLOOKUP($B435,Seqs!$A:$B,2,0),AQ435,1),"")</f>
        <v>F</v>
      </c>
      <c r="AQ435" s="9">
        <v>424</v>
      </c>
      <c r="AR435" s="9" t="str">
        <f>IFERROR(MID(VLOOKUP($B435,Seqs!$A:$B,2,0),AS435,1),"")</f>
        <v>G</v>
      </c>
      <c r="AS435" s="9">
        <v>434</v>
      </c>
      <c r="AT435" s="9" t="str">
        <f>IFERROR(MID(VLOOKUP($B435,Seqs!$A:$B,2,0),AU435,1),"")</f>
        <v>C</v>
      </c>
      <c r="AU435" s="9">
        <v>462</v>
      </c>
      <c r="AV435" s="9" t="str">
        <f>IFERROR(MID(VLOOKUP($B435,Seqs!$A:$B,2,0),AW435,1),"")</f>
        <v>N</v>
      </c>
      <c r="AW435" s="9">
        <v>463</v>
      </c>
      <c r="AX435" s="9" t="str">
        <f>IFERROR(MID(VLOOKUP($B435,Seqs!$A:$B,2,0),AY435,1),"")</f>
        <v>D</v>
      </c>
      <c r="AY435" s="9">
        <v>482</v>
      </c>
      <c r="AZ435" s="110" t="str">
        <f>VLOOKUP(B435,Classification!A:D,2,0)</f>
        <v>B1</v>
      </c>
      <c r="BA435" s="98" t="str">
        <f>VLOOKUP(B435,Classification!A:D,4,0)</f>
        <v>Parathyroidhormone</v>
      </c>
      <c r="BB435" s="36" t="b">
        <f t="shared" ref="BB435" si="3942">AND(E435&lt;G435,OR(G435&lt;I435,I435="-"),OR(I435&lt;K435,I435="-"),OR(K435&lt;M435,K435="-"),M435&lt;O435,OR(O435&lt;Q435,Q435="-"),OR(Q435&lt;S435,Q435="-"),OR(S435&lt;U435,S435="-"),U435&lt;W435,OR(W435&lt;Y435,Y435="-"),OR(Y435&lt;AA435,Y435="-"),OR(AA435&lt;AC435,AA435="-"),AC435&lt;AE435,OR(AE435&lt;AG435,AG435="-"),OR(AG435&lt;AI435,AG435="-"),OR(AI435&lt;AK435,AI435="-"),AK435&lt;AM435,AM435&lt;AO435,AO435&lt;AQ435,AQ435&lt;AS435,AS435&lt;AU435,OR(AU435&lt;AW435,AW435="-"),OR(AW435&lt;AY435,AW435="-"))</f>
        <v>1</v>
      </c>
      <c r="BC435" s="109">
        <f t="shared" ref="BC435" si="3943">_xlfn.AGGREGATE(9,6,CH435:CS435)-_xlfn.AGGREGATE(9,6,BV435:CG435)+12</f>
        <v>256</v>
      </c>
      <c r="BD435" s="11" t="s">
        <v>23</v>
      </c>
      <c r="BE435" s="9" t="s">
        <v>1291</v>
      </c>
      <c r="BF435" s="119">
        <v>3.5</v>
      </c>
      <c r="BG435" s="51" t="s">
        <v>1422</v>
      </c>
      <c r="BH435" s="51" t="s">
        <v>1422</v>
      </c>
      <c r="BJ435" s="111" t="s">
        <v>1287</v>
      </c>
      <c r="BK435" s="112" t="s">
        <v>1287</v>
      </c>
      <c r="BL435" s="112" t="s">
        <v>1287</v>
      </c>
      <c r="BM435" s="112" t="s">
        <v>1287</v>
      </c>
      <c r="BN435" s="112" t="s">
        <v>1287</v>
      </c>
      <c r="BO435" s="112" t="s">
        <v>1287</v>
      </c>
      <c r="BP435" s="112" t="s">
        <v>1287</v>
      </c>
      <c r="BQ435" s="112" t="s">
        <v>1287</v>
      </c>
      <c r="BR435" s="112" t="s">
        <v>1287</v>
      </c>
      <c r="BS435" s="112" t="s">
        <v>1287</v>
      </c>
      <c r="BT435" s="112" t="s">
        <v>1287</v>
      </c>
      <c r="BU435" s="112" t="s">
        <v>1287</v>
      </c>
      <c r="BV435" s="111">
        <f t="shared" ref="BV435" si="3944">E435</f>
        <v>178</v>
      </c>
      <c r="BW435" s="113">
        <f t="shared" ref="BW435" si="3945">I435</f>
        <v>213</v>
      </c>
      <c r="BX435" s="114">
        <f t="shared" ref="BX435" si="3946">M435</f>
        <v>217</v>
      </c>
      <c r="BY435" s="113" t="str">
        <f t="shared" ref="BY435" si="3947">Q435</f>
        <v>-</v>
      </c>
      <c r="BZ435" s="114">
        <f t="shared" ref="BZ435" si="3948">U435</f>
        <v>278</v>
      </c>
      <c r="CA435" s="113" t="str">
        <f t="shared" ref="CA435" si="3949">Y435</f>
        <v>-</v>
      </c>
      <c r="CB435" s="114">
        <f t="shared" ref="CB435" si="3950">AC435</f>
        <v>316</v>
      </c>
      <c r="CC435" s="113">
        <f t="shared" ref="CC435" si="3951">AG435</f>
        <v>351</v>
      </c>
      <c r="CD435" s="114">
        <f t="shared" ref="CD435" si="3952">AK435</f>
        <v>357</v>
      </c>
      <c r="CE435" s="113">
        <f t="shared" ref="CE435" si="3953">AO435</f>
        <v>399</v>
      </c>
      <c r="CF435" s="114">
        <f t="shared" ref="CF435" si="3954">AS435</f>
        <v>434</v>
      </c>
      <c r="CG435" s="113">
        <f t="shared" ref="CG435" si="3955">AW435</f>
        <v>463</v>
      </c>
      <c r="CH435" s="111">
        <f t="shared" ref="CH435" si="3956">G435</f>
        <v>212</v>
      </c>
      <c r="CI435" s="113">
        <f t="shared" ref="CI435" si="3957">K435</f>
        <v>216</v>
      </c>
      <c r="CJ435" s="114">
        <f t="shared" ref="CJ435" si="3958">O435</f>
        <v>250</v>
      </c>
      <c r="CK435" s="114" t="str">
        <f t="shared" ref="CK435" si="3959">S435</f>
        <v>-</v>
      </c>
      <c r="CL435" s="114">
        <f t="shared" ref="CL435" si="3960">W435</f>
        <v>312</v>
      </c>
      <c r="CM435" s="114" t="str">
        <f t="shared" ref="CM435" si="3961">AA435</f>
        <v>-</v>
      </c>
      <c r="CN435" s="114">
        <f t="shared" ref="CN435" si="3962">AE435</f>
        <v>347</v>
      </c>
      <c r="CO435" s="114">
        <f t="shared" ref="CO435" si="3963">AI435</f>
        <v>353</v>
      </c>
      <c r="CP435" s="114">
        <f t="shared" ref="CP435" si="3964">AM435</f>
        <v>392</v>
      </c>
      <c r="CQ435" s="114">
        <f t="shared" ref="CQ435" si="3965">AQ435</f>
        <v>424</v>
      </c>
      <c r="CR435" s="114">
        <f t="shared" ref="CR435" si="3966">AU435</f>
        <v>462</v>
      </c>
      <c r="CS435" s="114">
        <f t="shared" ref="CS435" si="3967">AY435</f>
        <v>482</v>
      </c>
      <c r="CT435" s="109">
        <f t="shared" ref="CT435" si="3968">M435-K435</f>
        <v>1</v>
      </c>
    </row>
    <row r="436" spans="1:1030" s="12" customFormat="1" x14ac:dyDescent="0.2">
      <c r="A436" s="9" t="str">
        <f t="shared" ref="A436" si="3969">CONCATENATE(B436,"_",C436)</f>
        <v>pth1r_human_6NBI</v>
      </c>
      <c r="B436" s="9" t="s">
        <v>409</v>
      </c>
      <c r="C436" s="9" t="s">
        <v>1575</v>
      </c>
      <c r="D436" s="9" t="str">
        <f>IFERROR(MID(VLOOKUP($B436,Seqs!$A:$B,2,0),E436,1),"")</f>
        <v>F</v>
      </c>
      <c r="E436" s="9">
        <v>173</v>
      </c>
      <c r="F436" s="9" t="str">
        <f>IFERROR(MID(VLOOKUP($B436,Seqs!$A:$B,2,0),G436,1),"")</f>
        <v>F</v>
      </c>
      <c r="G436" s="9">
        <v>212</v>
      </c>
      <c r="H436" s="9" t="str">
        <f>IFERROR(MID(VLOOKUP($B436,Seqs!$A:$B,2,0),I436,1),"")</f>
        <v>R</v>
      </c>
      <c r="I436" s="109">
        <v>213</v>
      </c>
      <c r="J436" s="9" t="str">
        <f>IFERROR(MID(VLOOKUP($B436,Seqs!$A:$B,2,0),K436,1),"")</f>
        <v>H</v>
      </c>
      <c r="K436" s="109">
        <v>216</v>
      </c>
      <c r="L436" s="9" t="str">
        <f>IFERROR(MID(VLOOKUP($B436,Seqs!$A:$B,2,0),M436,1),"")</f>
        <v>C</v>
      </c>
      <c r="M436" s="109">
        <v>217</v>
      </c>
      <c r="N436" s="9" t="str">
        <f>IFERROR(MID(VLOOKUP($B436,Seqs!$A:$B,2,0),O436,1),"")</f>
        <v>L</v>
      </c>
      <c r="O436" s="9">
        <v>250</v>
      </c>
      <c r="P436" s="9" t="str">
        <f>IFERROR(MID(VLOOKUP($B436,Seqs!$A:$B,2,0),Q436,1),"")</f>
        <v/>
      </c>
      <c r="Q436" s="9" t="s">
        <v>23</v>
      </c>
      <c r="R436" s="9" t="str">
        <f>IFERROR(MID(VLOOKUP($B436,Seqs!$A:$B,2,0),S436,1),"")</f>
        <v/>
      </c>
      <c r="S436" s="9" t="s">
        <v>23</v>
      </c>
      <c r="T436" s="9" t="str">
        <f>IFERROR(MID(VLOOKUP($B436,Seqs!$A:$B,2,0),U436,1),"")</f>
        <v>T</v>
      </c>
      <c r="U436" s="9">
        <v>273</v>
      </c>
      <c r="V436" s="9" t="str">
        <f>IFERROR(MID(VLOOKUP($B436,Seqs!$A:$B,2,0),W436,1),"")</f>
        <v>F</v>
      </c>
      <c r="W436" s="9">
        <v>311</v>
      </c>
      <c r="X436" s="9" t="str">
        <f>IFERROR(MID(VLOOKUP($B436,Seqs!$A:$B,2,0),Y436,1),"")</f>
        <v/>
      </c>
      <c r="Y436" s="9" t="s">
        <v>23</v>
      </c>
      <c r="Z436" s="9" t="str">
        <f>IFERROR(MID(VLOOKUP($B436,Seqs!$A:$B,2,0),AA436,1),"")</f>
        <v/>
      </c>
      <c r="AA436" s="9" t="s">
        <v>23</v>
      </c>
      <c r="AB436" s="9" t="str">
        <f>IFERROR(MID(VLOOKUP($B436,Seqs!$A:$B,2,0),AC436,1),"")</f>
        <v>S</v>
      </c>
      <c r="AC436" s="9">
        <v>316</v>
      </c>
      <c r="AD436" s="9" t="str">
        <f>IFERROR(MID(VLOOKUP($B436,Seqs!$A:$B,2,0),AE436,1),"")</f>
        <v>A</v>
      </c>
      <c r="AE436" s="9">
        <v>347</v>
      </c>
      <c r="AF436" s="9" t="str">
        <f>IFERROR(MID(VLOOKUP($B436,Seqs!$A:$B,2,0),AG436,1),"")</f>
        <v>C</v>
      </c>
      <c r="AG436" s="9">
        <v>351</v>
      </c>
      <c r="AH436" s="9" t="str">
        <f>IFERROR(MID(VLOOKUP($B436,Seqs!$A:$B,2,0),AI436,1),"")</f>
        <v>D</v>
      </c>
      <c r="AI436" s="9">
        <v>353</v>
      </c>
      <c r="AJ436" s="9" t="str">
        <f>IFERROR(MID(VLOOKUP($B436,Seqs!$A:$B,2,0),AK436,1),"")</f>
        <v>G</v>
      </c>
      <c r="AK436" s="9">
        <v>357</v>
      </c>
      <c r="AL436" s="9" t="str">
        <f>IFERROR(MID(VLOOKUP($B436,Seqs!$A:$B,2,0),AM436,1),"")</f>
        <v>A</v>
      </c>
      <c r="AM436" s="9">
        <v>394</v>
      </c>
      <c r="AN436" s="9" t="str">
        <f>IFERROR(MID(VLOOKUP($B436,Seqs!$A:$B,2,0),AO436,1),"")</f>
        <v>T</v>
      </c>
      <c r="AO436" s="9">
        <v>399</v>
      </c>
      <c r="AP436" s="9" t="str">
        <f>IFERROR(MID(VLOOKUP($B436,Seqs!$A:$B,2,0),AQ436,1),"")</f>
        <v>F</v>
      </c>
      <c r="AQ436" s="9">
        <v>424</v>
      </c>
      <c r="AR436" s="9" t="str">
        <f>IFERROR(MID(VLOOKUP($B436,Seqs!$A:$B,2,0),AS436,1),"")</f>
        <v>G</v>
      </c>
      <c r="AS436" s="9">
        <v>434</v>
      </c>
      <c r="AT436" s="9" t="str">
        <f>IFERROR(MID(VLOOKUP($B436,Seqs!$A:$B,2,0),AU436,1),"")</f>
        <v>C</v>
      </c>
      <c r="AU436" s="9">
        <v>462</v>
      </c>
      <c r="AV436" s="9" t="str">
        <f>IFERROR(MID(VLOOKUP($B436,Seqs!$A:$B,2,0),AW436,1),"")</f>
        <v>N</v>
      </c>
      <c r="AW436" s="9">
        <v>463</v>
      </c>
      <c r="AX436" s="9" t="str">
        <f>IFERROR(MID(VLOOKUP($B436,Seqs!$A:$B,2,0),AY436,1),"")</f>
        <v>D</v>
      </c>
      <c r="AY436" s="9">
        <v>482</v>
      </c>
      <c r="AZ436" s="110" t="str">
        <f>VLOOKUP(B436,Classification!A:D,2,0)</f>
        <v>B1</v>
      </c>
      <c r="BA436" s="98" t="str">
        <f>VLOOKUP(B436,Classification!A:D,4,0)</f>
        <v>Parathyroidhormone</v>
      </c>
      <c r="BB436" s="36" t="b">
        <f t="shared" ref="BB436" si="3970">AND(E436&lt;G436,OR(G436&lt;I436,I436="-"),OR(I436&lt;K436,I436="-"),OR(K436&lt;M436,K436="-"),M436&lt;O436,OR(O436&lt;Q436,Q436="-"),OR(Q436&lt;S436,Q436="-"),OR(S436&lt;U436,S436="-"),U436&lt;W436,OR(W436&lt;Y436,Y436="-"),OR(Y436&lt;AA436,Y436="-"),OR(AA436&lt;AC436,AA436="-"),AC436&lt;AE436,OR(AE436&lt;AG436,AG436="-"),OR(AG436&lt;AI436,AG436="-"),OR(AI436&lt;AK436,AI436="-"),AK436&lt;AM436,AM436&lt;AO436,AO436&lt;AQ436,AQ436&lt;AS436,AS436&lt;AU436,OR(AU436&lt;AW436,AW436="-"),OR(AW436&lt;AY436,AW436="-"))</f>
        <v>1</v>
      </c>
      <c r="BC436" s="109">
        <f t="shared" ref="BC436" si="3971">_xlfn.AGGREGATE(9,6,CH436:CS436)-_xlfn.AGGREGATE(9,6,BV436:CG436)+12</f>
        <v>267</v>
      </c>
      <c r="BD436" s="11" t="s">
        <v>1375</v>
      </c>
      <c r="BE436" s="9" t="s">
        <v>1291</v>
      </c>
      <c r="BF436" s="119">
        <v>4</v>
      </c>
      <c r="BG436" s="51" t="s">
        <v>1422</v>
      </c>
      <c r="BH436" s="51" t="s">
        <v>1422</v>
      </c>
      <c r="BJ436" s="111" t="s">
        <v>1287</v>
      </c>
      <c r="BK436" s="112" t="s">
        <v>1287</v>
      </c>
      <c r="BL436" s="112" t="s">
        <v>1287</v>
      </c>
      <c r="BM436" s="112" t="s">
        <v>1287</v>
      </c>
      <c r="BN436" s="112" t="s">
        <v>1287</v>
      </c>
      <c r="BO436" s="112" t="s">
        <v>1287</v>
      </c>
      <c r="BP436" s="112" t="s">
        <v>1287</v>
      </c>
      <c r="BQ436" s="112" t="s">
        <v>1287</v>
      </c>
      <c r="BR436" s="112" t="s">
        <v>1287</v>
      </c>
      <c r="BS436" s="112" t="s">
        <v>1287</v>
      </c>
      <c r="BT436" s="112" t="s">
        <v>1287</v>
      </c>
      <c r="BU436" s="112" t="s">
        <v>1287</v>
      </c>
      <c r="BV436" s="111">
        <f t="shared" ref="BV436" si="3972">E436</f>
        <v>173</v>
      </c>
      <c r="BW436" s="113">
        <f t="shared" ref="BW436" si="3973">I436</f>
        <v>213</v>
      </c>
      <c r="BX436" s="114">
        <f t="shared" ref="BX436" si="3974">M436</f>
        <v>217</v>
      </c>
      <c r="BY436" s="113" t="str">
        <f t="shared" ref="BY436" si="3975">Q436</f>
        <v>-</v>
      </c>
      <c r="BZ436" s="114">
        <f t="shared" ref="BZ436" si="3976">U436</f>
        <v>273</v>
      </c>
      <c r="CA436" s="113" t="str">
        <f t="shared" ref="CA436" si="3977">Y436</f>
        <v>-</v>
      </c>
      <c r="CB436" s="114">
        <f t="shared" ref="CB436" si="3978">AC436</f>
        <v>316</v>
      </c>
      <c r="CC436" s="113">
        <f t="shared" ref="CC436" si="3979">AG436</f>
        <v>351</v>
      </c>
      <c r="CD436" s="114">
        <f t="shared" ref="CD436" si="3980">AK436</f>
        <v>357</v>
      </c>
      <c r="CE436" s="113">
        <f t="shared" ref="CE436" si="3981">AO436</f>
        <v>399</v>
      </c>
      <c r="CF436" s="114">
        <f t="shared" ref="CF436" si="3982">AS436</f>
        <v>434</v>
      </c>
      <c r="CG436" s="113">
        <f t="shared" ref="CG436" si="3983">AW436</f>
        <v>463</v>
      </c>
      <c r="CH436" s="111">
        <f t="shared" ref="CH436" si="3984">G436</f>
        <v>212</v>
      </c>
      <c r="CI436" s="113">
        <f t="shared" ref="CI436" si="3985">K436</f>
        <v>216</v>
      </c>
      <c r="CJ436" s="114">
        <f t="shared" ref="CJ436" si="3986">O436</f>
        <v>250</v>
      </c>
      <c r="CK436" s="114" t="str">
        <f t="shared" ref="CK436" si="3987">S436</f>
        <v>-</v>
      </c>
      <c r="CL436" s="114">
        <f t="shared" ref="CL436" si="3988">W436</f>
        <v>311</v>
      </c>
      <c r="CM436" s="114" t="str">
        <f t="shared" ref="CM436" si="3989">AA436</f>
        <v>-</v>
      </c>
      <c r="CN436" s="114">
        <f t="shared" ref="CN436" si="3990">AE436</f>
        <v>347</v>
      </c>
      <c r="CO436" s="114">
        <f t="shared" ref="CO436" si="3991">AI436</f>
        <v>353</v>
      </c>
      <c r="CP436" s="114">
        <f t="shared" ref="CP436" si="3992">AM436</f>
        <v>394</v>
      </c>
      <c r="CQ436" s="114">
        <f t="shared" ref="CQ436" si="3993">AQ436</f>
        <v>424</v>
      </c>
      <c r="CR436" s="114">
        <f t="shared" ref="CR436" si="3994">AU436</f>
        <v>462</v>
      </c>
      <c r="CS436" s="114">
        <f t="shared" ref="CS436" si="3995">AY436</f>
        <v>482</v>
      </c>
      <c r="CT436" s="109">
        <f t="shared" ref="CT436" si="3996">M436-K436</f>
        <v>1</v>
      </c>
    </row>
    <row r="437" spans="1:1030" x14ac:dyDescent="0.2">
      <c r="A437" s="3" t="str">
        <f t="shared" si="3603"/>
        <v>grm1_human__wt</v>
      </c>
      <c r="B437" s="3" t="s">
        <v>40</v>
      </c>
      <c r="C437" s="3" t="s">
        <v>100</v>
      </c>
      <c r="D437" s="3" t="str">
        <f>IFERROR(MID(VLOOKUP($B437,Seqs!$A:$B,2,0),E437,1),"")</f>
        <v>I</v>
      </c>
      <c r="E437" s="3">
        <v>591</v>
      </c>
      <c r="F437" s="3" t="str">
        <f>IFERROR(MID(VLOOKUP($B437,Seqs!$A:$B,2,0),G437,1),"")</f>
        <v>Y</v>
      </c>
      <c r="G437" s="3">
        <v>617</v>
      </c>
      <c r="H437" s="3" t="str">
        <f>IFERROR(MID(VLOOKUP($B437,Seqs!$A:$B,2,0),I437,1),"")</f>
        <v>T</v>
      </c>
      <c r="I437" s="23">
        <v>620</v>
      </c>
      <c r="J437" s="3" t="str">
        <f>IFERROR(MID(VLOOKUP($B437,Seqs!$A:$B,2,0),K437,1),"")</f>
        <v>S</v>
      </c>
      <c r="K437" s="23">
        <v>626</v>
      </c>
      <c r="L437" s="3" t="str">
        <f>IFERROR(MID(VLOOKUP($B437,Seqs!$A:$B,2,0),M437,1),"")</f>
        <v>S</v>
      </c>
      <c r="M437" s="3">
        <v>627</v>
      </c>
      <c r="N437" s="3" t="str">
        <f>IFERROR(MID(VLOOKUP($B437,Seqs!$A:$B,2,0),O437,1),"")</f>
        <v>I</v>
      </c>
      <c r="O437" s="3">
        <v>649</v>
      </c>
      <c r="P437" s="3" t="str">
        <f>IFERROR(MID(VLOOKUP($B437,Seqs!$A:$B,2,0),Q437,1),"")</f>
        <v/>
      </c>
      <c r="Q437" s="3" t="s">
        <v>23</v>
      </c>
      <c r="R437" s="3" t="str">
        <f>IFERROR(MID(VLOOKUP($B437,Seqs!$A:$B,2,0),S437,1),"")</f>
        <v/>
      </c>
      <c r="S437" s="3" t="s">
        <v>23</v>
      </c>
      <c r="T437" s="3" t="str">
        <f>IFERROR(MID(VLOOKUP($B437,Seqs!$A:$B,2,0),U437,1),"")</f>
        <v>T</v>
      </c>
      <c r="U437" s="3">
        <v>654</v>
      </c>
      <c r="V437" s="3" t="str">
        <f>IFERROR(MID(VLOOKUP($B437,Seqs!$A:$B,2,0),W437,1),"")</f>
        <v>L</v>
      </c>
      <c r="W437" s="3">
        <v>686</v>
      </c>
      <c r="X437" s="3" t="str">
        <f>IFERROR(MID(VLOOKUP($B437,Seqs!$A:$B,2,0),Y437,1),"")</f>
        <v/>
      </c>
      <c r="Y437" s="3" t="s">
        <v>23</v>
      </c>
      <c r="Z437" s="3" t="str">
        <f>IFERROR(MID(VLOOKUP($B437,Seqs!$A:$B,2,0),AA437,1),"")</f>
        <v/>
      </c>
      <c r="AA437" s="3" t="s">
        <v>23</v>
      </c>
      <c r="AB437" s="3" t="str">
        <f>IFERROR(MID(VLOOKUP($B437,Seqs!$A:$B,2,0),AC437,1),"")</f>
        <v>S</v>
      </c>
      <c r="AC437" s="3">
        <v>702</v>
      </c>
      <c r="AD437" s="3" t="str">
        <f>IFERROR(MID(VLOOKUP($B437,Seqs!$A:$B,2,0),AE437,1),"")</f>
        <v>E</v>
      </c>
      <c r="AE437" s="3">
        <v>728</v>
      </c>
      <c r="AF437" s="3" t="str">
        <f>IFERROR(MID(VLOOKUP($B437,Seqs!$A:$B,2,0),AG437,1),"")</f>
        <v>C</v>
      </c>
      <c r="AG437" s="3">
        <v>746</v>
      </c>
      <c r="AH437" s="3" t="str">
        <f>IFERROR(MID(VLOOKUP($B437,Seqs!$A:$B,2,0),AI437,1),"")</f>
        <v>T</v>
      </c>
      <c r="AI437" s="3">
        <v>748</v>
      </c>
      <c r="AJ437" s="3" t="str">
        <f>IFERROR(MID(VLOOKUP($B437,Seqs!$A:$B,2,0),AK437,1),"")</f>
        <v>S</v>
      </c>
      <c r="AK437" s="3">
        <v>749</v>
      </c>
      <c r="AL437" s="3" t="str">
        <f>IFERROR(MID(VLOOKUP($B437,Seqs!$A:$B,2,0),AM437,1),"")</f>
        <v>T</v>
      </c>
      <c r="AM437" s="3">
        <v>774</v>
      </c>
      <c r="AN437" s="3" t="str">
        <f>IFERROR(MID(VLOOKUP($B437,Seqs!$A:$B,2,0),AO437,1),"")</f>
        <v>E</v>
      </c>
      <c r="AO437" s="3">
        <v>783</v>
      </c>
      <c r="AP437" s="3" t="str">
        <f>IFERROR(MID(VLOOKUP($B437,Seqs!$A:$B,2,0),AQ437,1),"")</f>
        <v>G</v>
      </c>
      <c r="AQ437" s="3">
        <v>807</v>
      </c>
      <c r="AR437" s="3" t="str">
        <f>IFERROR(MID(VLOOKUP($B437,Seqs!$A:$B,2,0),AS437,1),"")</f>
        <v>Y</v>
      </c>
      <c r="AS437" s="3">
        <v>810</v>
      </c>
      <c r="AT437" s="3" t="str">
        <f>IFERROR(MID(VLOOKUP($B437,Seqs!$A:$B,2,0),AU437,1),"")</f>
        <v>K</v>
      </c>
      <c r="AU437" s="3">
        <v>841</v>
      </c>
      <c r="AV437" s="3" t="str">
        <f>IFERROR(MID(VLOOKUP($B437,Seqs!$A:$B,2,0),AW437,1),"")</f>
        <v>P</v>
      </c>
      <c r="AW437" s="3">
        <v>842</v>
      </c>
      <c r="AX437" s="3" t="str">
        <f>IFERROR(MID(VLOOKUP($B437,Seqs!$A:$B,2,0),AY437,1),"")</f>
        <v>S</v>
      </c>
      <c r="AY437" s="3">
        <v>853</v>
      </c>
      <c r="AZ437" s="77" t="str">
        <f>VLOOKUP(B437,Classification!A:D,2,0)</f>
        <v>C</v>
      </c>
      <c r="BA437" s="94" t="str">
        <f>VLOOKUP(B437,Classification!A:D,4,0)</f>
        <v>Metabotropicglutamate</v>
      </c>
      <c r="BB437" s="27" t="b">
        <f t="shared" si="3604"/>
        <v>1</v>
      </c>
      <c r="BC437" s="23">
        <f t="shared" si="3549"/>
        <v>217</v>
      </c>
      <c r="BD437" s="56" t="s">
        <v>23</v>
      </c>
      <c r="BE437" s="3" t="s">
        <v>23</v>
      </c>
      <c r="BF437" s="118" t="s">
        <v>23</v>
      </c>
      <c r="BG437" s="49" t="s">
        <v>1372</v>
      </c>
      <c r="BH437" s="49" t="s">
        <v>1377</v>
      </c>
      <c r="BI437" s="3" t="s">
        <v>1163</v>
      </c>
      <c r="BJ437" s="70" t="s">
        <v>1287</v>
      </c>
      <c r="BK437" s="57" t="s">
        <v>1287</v>
      </c>
      <c r="BL437" s="57" t="s">
        <v>1287</v>
      </c>
      <c r="BM437" s="57" t="s">
        <v>1287</v>
      </c>
      <c r="BN437" s="57" t="s">
        <v>1287</v>
      </c>
      <c r="BO437" s="57" t="s">
        <v>1287</v>
      </c>
      <c r="BP437" s="57" t="s">
        <v>1287</v>
      </c>
      <c r="BQ437" s="57" t="s">
        <v>1287</v>
      </c>
      <c r="BR437" s="57" t="s">
        <v>1287</v>
      </c>
      <c r="BS437" s="57" t="s">
        <v>1287</v>
      </c>
      <c r="BT437" s="57" t="s">
        <v>1287</v>
      </c>
      <c r="BU437" s="57" t="s">
        <v>1287</v>
      </c>
      <c r="BV437" s="70">
        <f t="shared" si="3550"/>
        <v>591</v>
      </c>
      <c r="BW437" s="71">
        <f t="shared" si="3551"/>
        <v>620</v>
      </c>
      <c r="BX437" s="72">
        <f t="shared" si="3552"/>
        <v>627</v>
      </c>
      <c r="BY437" s="71" t="str">
        <f t="shared" si="3553"/>
        <v>-</v>
      </c>
      <c r="BZ437" s="72">
        <f t="shared" si="3554"/>
        <v>654</v>
      </c>
      <c r="CA437" s="71" t="str">
        <f t="shared" si="3555"/>
        <v>-</v>
      </c>
      <c r="CB437" s="72">
        <f t="shared" si="3556"/>
        <v>702</v>
      </c>
      <c r="CC437" s="71">
        <f t="shared" si="3557"/>
        <v>746</v>
      </c>
      <c r="CD437" s="72">
        <f t="shared" si="3558"/>
        <v>749</v>
      </c>
      <c r="CE437" s="71">
        <f t="shared" si="3559"/>
        <v>783</v>
      </c>
      <c r="CF437" s="72">
        <f t="shared" si="3560"/>
        <v>810</v>
      </c>
      <c r="CG437" s="71">
        <f t="shared" si="3561"/>
        <v>842</v>
      </c>
      <c r="CH437" s="70">
        <f t="shared" si="3562"/>
        <v>617</v>
      </c>
      <c r="CI437" s="71">
        <f t="shared" si="3563"/>
        <v>626</v>
      </c>
      <c r="CJ437" s="72">
        <f t="shared" si="3564"/>
        <v>649</v>
      </c>
      <c r="CK437" s="72" t="str">
        <f t="shared" si="3565"/>
        <v>-</v>
      </c>
      <c r="CL437" s="72">
        <f t="shared" si="3566"/>
        <v>686</v>
      </c>
      <c r="CM437" s="72" t="str">
        <f t="shared" si="3567"/>
        <v>-</v>
      </c>
      <c r="CN437" s="72">
        <f t="shared" si="3568"/>
        <v>728</v>
      </c>
      <c r="CO437" s="72">
        <f t="shared" si="3569"/>
        <v>748</v>
      </c>
      <c r="CP437" s="72">
        <f t="shared" si="3570"/>
        <v>774</v>
      </c>
      <c r="CQ437" s="72">
        <f t="shared" si="3571"/>
        <v>807</v>
      </c>
      <c r="CR437" s="72">
        <f t="shared" si="3572"/>
        <v>841</v>
      </c>
      <c r="CS437" s="72">
        <f t="shared" si="3573"/>
        <v>853</v>
      </c>
      <c r="CT437" s="23">
        <f t="shared" si="3574"/>
        <v>1</v>
      </c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</row>
    <row r="438" spans="1:1030" x14ac:dyDescent="0.2">
      <c r="A438" s="3" t="str">
        <f t="shared" si="3603"/>
        <v>grm1_human_4OR2</v>
      </c>
      <c r="B438" s="3" t="s">
        <v>40</v>
      </c>
      <c r="C438" s="3" t="s">
        <v>96</v>
      </c>
      <c r="D438" s="3" t="str">
        <f>IFERROR(MID(VLOOKUP($B438,Seqs!$A:$B,2,0),E438,1),"")</f>
        <v>I</v>
      </c>
      <c r="E438" s="3">
        <v>591</v>
      </c>
      <c r="F438" s="3" t="str">
        <f>IFERROR(MID(VLOOKUP($B438,Seqs!$A:$B,2,0),G438,1),"")</f>
        <v>Y</v>
      </c>
      <c r="G438" s="3">
        <v>617</v>
      </c>
      <c r="H438" s="3" t="str">
        <f>IFERROR(MID(VLOOKUP($B438,Seqs!$A:$B,2,0),I438,1),"")</f>
        <v>T</v>
      </c>
      <c r="I438" s="23">
        <v>620</v>
      </c>
      <c r="J438" s="3" t="str">
        <f>IFERROR(MID(VLOOKUP($B438,Seqs!$A:$B,2,0),K438,1),"")</f>
        <v>S</v>
      </c>
      <c r="K438" s="23">
        <v>626</v>
      </c>
      <c r="L438" s="3" t="str">
        <f>IFERROR(MID(VLOOKUP($B438,Seqs!$A:$B,2,0),M438,1),"")</f>
        <v>S</v>
      </c>
      <c r="M438" s="3">
        <v>627</v>
      </c>
      <c r="N438" s="3" t="str">
        <f>IFERROR(MID(VLOOKUP($B438,Seqs!$A:$B,2,0),O438,1),"")</f>
        <v>I</v>
      </c>
      <c r="O438" s="3">
        <v>649</v>
      </c>
      <c r="P438" s="3" t="str">
        <f>IFERROR(MID(VLOOKUP($B438,Seqs!$A:$B,2,0),Q438,1),"")</f>
        <v/>
      </c>
      <c r="Q438" s="3" t="s">
        <v>23</v>
      </c>
      <c r="R438" s="3" t="str">
        <f>IFERROR(MID(VLOOKUP($B438,Seqs!$A:$B,2,0),S438,1),"")</f>
        <v/>
      </c>
      <c r="S438" s="3" t="s">
        <v>23</v>
      </c>
      <c r="T438" s="3" t="str">
        <f>IFERROR(MID(VLOOKUP($B438,Seqs!$A:$B,2,0),U438,1),"")</f>
        <v>T</v>
      </c>
      <c r="U438" s="3">
        <v>654</v>
      </c>
      <c r="V438" s="3" t="str">
        <f>IFERROR(MID(VLOOKUP($B438,Seqs!$A:$B,2,0),W438,1),"")</f>
        <v>L</v>
      </c>
      <c r="W438" s="3">
        <v>686</v>
      </c>
      <c r="X438" s="3" t="str">
        <f>IFERROR(MID(VLOOKUP($B438,Seqs!$A:$B,2,0),Y438,1),"")</f>
        <v/>
      </c>
      <c r="Y438" s="3" t="s">
        <v>23</v>
      </c>
      <c r="Z438" s="3" t="str">
        <f>IFERROR(MID(VLOOKUP($B438,Seqs!$A:$B,2,0),AA438,1),"")</f>
        <v/>
      </c>
      <c r="AA438" s="3" t="s">
        <v>23</v>
      </c>
      <c r="AB438" s="3" t="str">
        <f>IFERROR(MID(VLOOKUP($B438,Seqs!$A:$B,2,0),AC438,1),"")</f>
        <v>S</v>
      </c>
      <c r="AC438" s="9">
        <v>702</v>
      </c>
      <c r="AD438" s="3" t="str">
        <f>IFERROR(MID(VLOOKUP($B438,Seqs!$A:$B,2,0),AE438,1),"")</f>
        <v>E</v>
      </c>
      <c r="AE438" s="3">
        <v>728</v>
      </c>
      <c r="AF438" s="3" t="str">
        <f>IFERROR(MID(VLOOKUP($B438,Seqs!$A:$B,2,0),AG438,1),"")</f>
        <v>C</v>
      </c>
      <c r="AG438" s="3">
        <v>746</v>
      </c>
      <c r="AH438" s="3" t="str">
        <f>IFERROR(MID(VLOOKUP($B438,Seqs!$A:$B,2,0),AI438,1),"")</f>
        <v>T</v>
      </c>
      <c r="AI438" s="3">
        <v>748</v>
      </c>
      <c r="AJ438" s="3" t="str">
        <f>IFERROR(MID(VLOOKUP($B438,Seqs!$A:$B,2,0),AK438,1),"")</f>
        <v>S</v>
      </c>
      <c r="AK438" s="105">
        <v>749</v>
      </c>
      <c r="AL438" s="3" t="str">
        <f>IFERROR(MID(VLOOKUP($B438,Seqs!$A:$B,2,0),AM438,1),"")</f>
        <v>T</v>
      </c>
      <c r="AM438" s="3">
        <v>774</v>
      </c>
      <c r="AN438" s="3" t="str">
        <f>IFERROR(MID(VLOOKUP($B438,Seqs!$A:$B,2,0),AO438,1),"")</f>
        <v>E</v>
      </c>
      <c r="AO438" s="3">
        <v>783</v>
      </c>
      <c r="AP438" s="3" t="str">
        <f>IFERROR(MID(VLOOKUP($B438,Seqs!$A:$B,2,0),AQ438,1),"")</f>
        <v>G</v>
      </c>
      <c r="AQ438" s="3">
        <v>807</v>
      </c>
      <c r="AR438" s="3" t="str">
        <f>IFERROR(MID(VLOOKUP($B438,Seqs!$A:$B,2,0),AS438,1),"")</f>
        <v>Y</v>
      </c>
      <c r="AS438" s="105">
        <v>810</v>
      </c>
      <c r="AT438" s="3" t="str">
        <f>IFERROR(MID(VLOOKUP($B438,Seqs!$A:$B,2,0),AU438,1),"")</f>
        <v>K</v>
      </c>
      <c r="AU438" s="3">
        <v>841</v>
      </c>
      <c r="AV438" s="3" t="str">
        <f>IFERROR(MID(VLOOKUP($B438,Seqs!$A:$B,2,0),AW438,1),"")</f>
        <v/>
      </c>
      <c r="AW438" s="3" t="s">
        <v>23</v>
      </c>
      <c r="AX438" s="3" t="str">
        <f>IFERROR(MID(VLOOKUP($B438,Seqs!$A:$B,2,0),AY438,1),"")</f>
        <v/>
      </c>
      <c r="AY438" s="3" t="s">
        <v>23</v>
      </c>
      <c r="AZ438" s="77" t="str">
        <f>VLOOKUP(B438,Classification!A:D,2,0)</f>
        <v>C</v>
      </c>
      <c r="BA438" s="94" t="str">
        <f>VLOOKUP(B438,Classification!A:D,4,0)</f>
        <v>Metabotropicglutamate</v>
      </c>
      <c r="BB438" s="27" t="b">
        <f t="shared" si="3604"/>
        <v>1</v>
      </c>
      <c r="BC438" s="23">
        <f t="shared" si="3549"/>
        <v>206</v>
      </c>
      <c r="BD438" s="2" t="s">
        <v>1376</v>
      </c>
      <c r="BE438" s="3" t="s">
        <v>1374</v>
      </c>
      <c r="BF438" s="118">
        <v>2.8</v>
      </c>
      <c r="BG438" s="49" t="s">
        <v>1377</v>
      </c>
      <c r="BH438" s="49" t="s">
        <v>1377</v>
      </c>
      <c r="BJ438" s="70" t="s">
        <v>1287</v>
      </c>
      <c r="BK438" s="57" t="s">
        <v>1287</v>
      </c>
      <c r="BL438" s="57" t="s">
        <v>1287</v>
      </c>
      <c r="BM438" s="57" t="s">
        <v>1287</v>
      </c>
      <c r="BN438" s="57" t="s">
        <v>1287</v>
      </c>
      <c r="BO438" s="57" t="s">
        <v>1287</v>
      </c>
      <c r="BP438" s="57" t="s">
        <v>1287</v>
      </c>
      <c r="BQ438" s="57" t="s">
        <v>1287</v>
      </c>
      <c r="BR438" s="57" t="s">
        <v>1287</v>
      </c>
      <c r="BS438" s="57" t="s">
        <v>1287</v>
      </c>
      <c r="BT438" s="57" t="s">
        <v>1287</v>
      </c>
      <c r="BU438" s="57" t="s">
        <v>1287</v>
      </c>
      <c r="BV438" s="70">
        <f t="shared" si="3550"/>
        <v>591</v>
      </c>
      <c r="BW438" s="71">
        <f t="shared" si="3551"/>
        <v>620</v>
      </c>
      <c r="BX438" s="72">
        <f t="shared" si="3552"/>
        <v>627</v>
      </c>
      <c r="BY438" s="71" t="str">
        <f t="shared" si="3553"/>
        <v>-</v>
      </c>
      <c r="BZ438" s="72">
        <f t="shared" si="3554"/>
        <v>654</v>
      </c>
      <c r="CA438" s="71" t="str">
        <f t="shared" si="3555"/>
        <v>-</v>
      </c>
      <c r="CB438" s="72">
        <f t="shared" si="3556"/>
        <v>702</v>
      </c>
      <c r="CC438" s="71">
        <f t="shared" si="3557"/>
        <v>746</v>
      </c>
      <c r="CD438" s="72">
        <f t="shared" si="3558"/>
        <v>749</v>
      </c>
      <c r="CE438" s="71">
        <f t="shared" si="3559"/>
        <v>783</v>
      </c>
      <c r="CF438" s="72">
        <f t="shared" si="3560"/>
        <v>810</v>
      </c>
      <c r="CG438" s="71" t="str">
        <f t="shared" si="3561"/>
        <v>-</v>
      </c>
      <c r="CH438" s="70">
        <f t="shared" si="3562"/>
        <v>617</v>
      </c>
      <c r="CI438" s="71">
        <f t="shared" si="3563"/>
        <v>626</v>
      </c>
      <c r="CJ438" s="72">
        <f t="shared" si="3564"/>
        <v>649</v>
      </c>
      <c r="CK438" s="72" t="str">
        <f t="shared" si="3565"/>
        <v>-</v>
      </c>
      <c r="CL438" s="72">
        <f t="shared" si="3566"/>
        <v>686</v>
      </c>
      <c r="CM438" s="72" t="str">
        <f t="shared" si="3567"/>
        <v>-</v>
      </c>
      <c r="CN438" s="72">
        <f t="shared" si="3568"/>
        <v>728</v>
      </c>
      <c r="CO438" s="72">
        <f t="shared" si="3569"/>
        <v>748</v>
      </c>
      <c r="CP438" s="72">
        <f t="shared" si="3570"/>
        <v>774</v>
      </c>
      <c r="CQ438" s="72">
        <f t="shared" si="3571"/>
        <v>807</v>
      </c>
      <c r="CR438" s="72">
        <f t="shared" si="3572"/>
        <v>841</v>
      </c>
      <c r="CS438" s="72" t="str">
        <f t="shared" si="3573"/>
        <v>-</v>
      </c>
      <c r="CT438" s="23">
        <f t="shared" si="3574"/>
        <v>1</v>
      </c>
    </row>
    <row r="439" spans="1:1030" x14ac:dyDescent="0.2">
      <c r="A439" s="3" t="str">
        <f t="shared" si="3603"/>
        <v>grm5_human__wt</v>
      </c>
      <c r="B439" s="3" t="s">
        <v>41</v>
      </c>
      <c r="C439" s="3" t="s">
        <v>100</v>
      </c>
      <c r="D439" s="3" t="str">
        <f>IFERROR(MID(VLOOKUP($B439,Seqs!$A:$B,2,0),E439,1),"")</f>
        <v>P</v>
      </c>
      <c r="E439" s="3">
        <v>578</v>
      </c>
      <c r="F439" s="3" t="str">
        <f>IFERROR(MID(VLOOKUP($B439,Seqs!$A:$B,2,0),G439,1),"")</f>
        <v>Y</v>
      </c>
      <c r="G439" s="3">
        <v>604</v>
      </c>
      <c r="H439" s="3" t="str">
        <f>IFERROR(MID(VLOOKUP($B439,Seqs!$A:$B,2,0),I439,1),"")</f>
        <v>T</v>
      </c>
      <c r="I439" s="23">
        <v>607</v>
      </c>
      <c r="J439" s="3" t="str">
        <f>IFERROR(MID(VLOOKUP($B439,Seqs!$A:$B,2,0),K439,1),"")</f>
        <v>S</v>
      </c>
      <c r="K439" s="23">
        <v>613</v>
      </c>
      <c r="L439" s="3" t="str">
        <f>IFERROR(MID(VLOOKUP($B439,Seqs!$A:$B,2,0),M439,1),"")</f>
        <v>S</v>
      </c>
      <c r="M439" s="3">
        <v>614</v>
      </c>
      <c r="N439" s="3" t="str">
        <f>IFERROR(MID(VLOOKUP($B439,Seqs!$A:$B,2,0),O439,1),"")</f>
        <v>I</v>
      </c>
      <c r="O439" s="3">
        <v>636</v>
      </c>
      <c r="P439" s="3" t="str">
        <f>IFERROR(MID(VLOOKUP($B439,Seqs!$A:$B,2,0),Q439,1),"")</f>
        <v/>
      </c>
      <c r="Q439" s="3" t="s">
        <v>23</v>
      </c>
      <c r="R439" s="3" t="str">
        <f>IFERROR(MID(VLOOKUP($B439,Seqs!$A:$B,2,0),S439,1),"")</f>
        <v/>
      </c>
      <c r="S439" s="3" t="s">
        <v>23</v>
      </c>
      <c r="T439" s="3" t="str">
        <f>IFERROR(MID(VLOOKUP($B439,Seqs!$A:$B,2,0),U439,1),"")</f>
        <v>K</v>
      </c>
      <c r="U439" s="105">
        <v>640</v>
      </c>
      <c r="V439" s="3" t="str">
        <f>IFERROR(MID(VLOOKUP($B439,Seqs!$A:$B,2,0),W439,1),"")</f>
        <v>L</v>
      </c>
      <c r="W439" s="3">
        <v>673</v>
      </c>
      <c r="X439" s="3" t="str">
        <f>IFERROR(MID(VLOOKUP($B439,Seqs!$A:$B,2,0),Y439,1),"")</f>
        <v/>
      </c>
      <c r="Y439" s="3" t="s">
        <v>23</v>
      </c>
      <c r="Z439" s="3" t="str">
        <f>IFERROR(MID(VLOOKUP($B439,Seqs!$A:$B,2,0),AA439,1),"")</f>
        <v/>
      </c>
      <c r="AA439" s="3" t="s">
        <v>23</v>
      </c>
      <c r="AB439" s="3" t="str">
        <f>IFERROR(MID(VLOOKUP($B439,Seqs!$A:$B,2,0),AC439,1),"")</f>
        <v>S</v>
      </c>
      <c r="AC439" s="9">
        <v>689</v>
      </c>
      <c r="AD439" s="3" t="str">
        <f>IFERROR(MID(VLOOKUP($B439,Seqs!$A:$B,2,0),AE439,1),"")</f>
        <v>E</v>
      </c>
      <c r="AE439" s="3">
        <v>715</v>
      </c>
      <c r="AF439" s="3" t="str">
        <f>IFERROR(MID(VLOOKUP($B439,Seqs!$A:$B,2,0),AG439,1),"")</f>
        <v>C</v>
      </c>
      <c r="AG439" s="3">
        <v>733</v>
      </c>
      <c r="AH439" s="3" t="str">
        <f>IFERROR(MID(VLOOKUP($B439,Seqs!$A:$B,2,0),AI439,1),"")</f>
        <v>T</v>
      </c>
      <c r="AI439" s="3">
        <v>735</v>
      </c>
      <c r="AJ439" s="3" t="str">
        <f>IFERROR(MID(VLOOKUP($B439,Seqs!$A:$B,2,0),AK439,1),"")</f>
        <v>T</v>
      </c>
      <c r="AK439" s="105">
        <v>736</v>
      </c>
      <c r="AL439" s="3" t="str">
        <f>IFERROR(MID(VLOOKUP($B439,Seqs!$A:$B,2,0),AM439,1),"")</f>
        <v>T</v>
      </c>
      <c r="AM439" s="3">
        <v>761</v>
      </c>
      <c r="AN439" s="3" t="str">
        <f>IFERROR(MID(VLOOKUP($B439,Seqs!$A:$B,2,0),AO439,1),"")</f>
        <v>E</v>
      </c>
      <c r="AO439" s="3">
        <v>770</v>
      </c>
      <c r="AP439" s="3" t="str">
        <f>IFERROR(MID(VLOOKUP($B439,Seqs!$A:$B,2,0),AQ439,1),"")</f>
        <v>G</v>
      </c>
      <c r="AQ439" s="3">
        <v>794</v>
      </c>
      <c r="AR439" s="3" t="str">
        <f>IFERROR(MID(VLOOKUP($B439,Seqs!$A:$B,2,0),AS439,1),"")</f>
        <v>Y</v>
      </c>
      <c r="AS439" s="105">
        <v>797</v>
      </c>
      <c r="AT439" s="3" t="str">
        <f>IFERROR(MID(VLOOKUP($B439,Seqs!$A:$B,2,0),AU439,1),"")</f>
        <v>K</v>
      </c>
      <c r="AU439" s="3">
        <v>828</v>
      </c>
      <c r="AV439" s="3" t="str">
        <f>IFERROR(MID(VLOOKUP($B439,Seqs!$A:$B,2,0),AW439,1),"")</f>
        <v>P</v>
      </c>
      <c r="AW439" s="3">
        <v>829</v>
      </c>
      <c r="AX439" s="3" t="str">
        <f>IFERROR(MID(VLOOKUP($B439,Seqs!$A:$B,2,0),AY439,1),"")</f>
        <v>S</v>
      </c>
      <c r="AY439" s="3">
        <v>840</v>
      </c>
      <c r="AZ439" s="77" t="str">
        <f>VLOOKUP(B439,Classification!A:D,2,0)</f>
        <v>C</v>
      </c>
      <c r="BA439" s="94" t="str">
        <f>VLOOKUP(B439,Classification!A:D,4,0)</f>
        <v>Metabotropicglutamate</v>
      </c>
      <c r="BB439" s="27" t="b">
        <f t="shared" si="3604"/>
        <v>1</v>
      </c>
      <c r="BC439" s="23">
        <f t="shared" si="3549"/>
        <v>218</v>
      </c>
      <c r="BD439" s="56" t="s">
        <v>23</v>
      </c>
      <c r="BE439" s="3" t="s">
        <v>23</v>
      </c>
      <c r="BF439" s="118" t="s">
        <v>23</v>
      </c>
      <c r="BG439" s="49" t="s">
        <v>1372</v>
      </c>
      <c r="BH439" s="49" t="s">
        <v>1377</v>
      </c>
      <c r="BJ439" s="70" t="s">
        <v>1287</v>
      </c>
      <c r="BK439" s="57" t="s">
        <v>1287</v>
      </c>
      <c r="BL439" s="57" t="s">
        <v>1287</v>
      </c>
      <c r="BM439" s="57" t="s">
        <v>1287</v>
      </c>
      <c r="BN439" s="57" t="s">
        <v>1287</v>
      </c>
      <c r="BO439" s="57" t="s">
        <v>1287</v>
      </c>
      <c r="BP439" s="57" t="s">
        <v>1287</v>
      </c>
      <c r="BQ439" s="57" t="s">
        <v>1287</v>
      </c>
      <c r="BR439" s="57" t="s">
        <v>1287</v>
      </c>
      <c r="BS439" s="57" t="s">
        <v>1287</v>
      </c>
      <c r="BT439" s="57" t="s">
        <v>1287</v>
      </c>
      <c r="BU439" s="57" t="s">
        <v>1287</v>
      </c>
      <c r="BV439" s="70">
        <f t="shared" si="3550"/>
        <v>578</v>
      </c>
      <c r="BW439" s="71">
        <f t="shared" si="3551"/>
        <v>607</v>
      </c>
      <c r="BX439" s="72">
        <f t="shared" si="3552"/>
        <v>614</v>
      </c>
      <c r="BY439" s="71" t="str">
        <f t="shared" si="3553"/>
        <v>-</v>
      </c>
      <c r="BZ439" s="72">
        <f t="shared" si="3554"/>
        <v>640</v>
      </c>
      <c r="CA439" s="71" t="str">
        <f t="shared" si="3555"/>
        <v>-</v>
      </c>
      <c r="CB439" s="72">
        <f t="shared" si="3556"/>
        <v>689</v>
      </c>
      <c r="CC439" s="71">
        <f t="shared" si="3557"/>
        <v>733</v>
      </c>
      <c r="CD439" s="72">
        <f t="shared" si="3558"/>
        <v>736</v>
      </c>
      <c r="CE439" s="71">
        <f t="shared" si="3559"/>
        <v>770</v>
      </c>
      <c r="CF439" s="72">
        <f t="shared" si="3560"/>
        <v>797</v>
      </c>
      <c r="CG439" s="71">
        <f t="shared" si="3561"/>
        <v>829</v>
      </c>
      <c r="CH439" s="70">
        <f t="shared" si="3562"/>
        <v>604</v>
      </c>
      <c r="CI439" s="71">
        <f t="shared" si="3563"/>
        <v>613</v>
      </c>
      <c r="CJ439" s="72">
        <f t="shared" si="3564"/>
        <v>636</v>
      </c>
      <c r="CK439" s="72" t="str">
        <f t="shared" si="3565"/>
        <v>-</v>
      </c>
      <c r="CL439" s="72">
        <f t="shared" si="3566"/>
        <v>673</v>
      </c>
      <c r="CM439" s="72" t="str">
        <f t="shared" si="3567"/>
        <v>-</v>
      </c>
      <c r="CN439" s="72">
        <f t="shared" si="3568"/>
        <v>715</v>
      </c>
      <c r="CO439" s="72">
        <f t="shared" si="3569"/>
        <v>735</v>
      </c>
      <c r="CP439" s="72">
        <f t="shared" si="3570"/>
        <v>761</v>
      </c>
      <c r="CQ439" s="72">
        <f t="shared" si="3571"/>
        <v>794</v>
      </c>
      <c r="CR439" s="72">
        <f t="shared" si="3572"/>
        <v>828</v>
      </c>
      <c r="CS439" s="72">
        <f t="shared" si="3573"/>
        <v>840</v>
      </c>
      <c r="CT439" s="23">
        <f t="shared" si="3574"/>
        <v>1</v>
      </c>
    </row>
    <row r="440" spans="1:1030" x14ac:dyDescent="0.2">
      <c r="A440" s="3" t="str">
        <f t="shared" si="3603"/>
        <v>grm5_human_4OO9</v>
      </c>
      <c r="B440" s="3" t="s">
        <v>41</v>
      </c>
      <c r="C440" s="3" t="s">
        <v>57</v>
      </c>
      <c r="D440" s="3" t="str">
        <f>IFERROR(MID(VLOOKUP($B440,Seqs!$A:$B,2,0),E440,1),"")</f>
        <v>P</v>
      </c>
      <c r="E440" s="3">
        <v>578</v>
      </c>
      <c r="F440" s="3" t="str">
        <f>IFERROR(MID(VLOOKUP($B440,Seqs!$A:$B,2,0),G440,1),"")</f>
        <v>Y</v>
      </c>
      <c r="G440" s="3">
        <v>604</v>
      </c>
      <c r="H440" s="3" t="str">
        <f>IFERROR(MID(VLOOKUP($B440,Seqs!$A:$B,2,0),I440,1),"")</f>
        <v>T</v>
      </c>
      <c r="I440" s="23">
        <v>607</v>
      </c>
      <c r="J440" s="3" t="str">
        <f>IFERROR(MID(VLOOKUP($B440,Seqs!$A:$B,2,0),K440,1),"")</f>
        <v>S</v>
      </c>
      <c r="K440" s="23">
        <v>613</v>
      </c>
      <c r="L440" s="3" t="str">
        <f>IFERROR(MID(VLOOKUP($B440,Seqs!$A:$B,2,0),M440,1),"")</f>
        <v>S</v>
      </c>
      <c r="M440" s="3">
        <v>614</v>
      </c>
      <c r="N440" s="3" t="str">
        <f>IFERROR(MID(VLOOKUP($B440,Seqs!$A:$B,2,0),O440,1),"")</f>
        <v>I</v>
      </c>
      <c r="O440" s="3">
        <v>636</v>
      </c>
      <c r="P440" s="3" t="str">
        <f>IFERROR(MID(VLOOKUP($B440,Seqs!$A:$B,2,0),Q440,1),"")</f>
        <v/>
      </c>
      <c r="Q440" s="3" t="s">
        <v>23</v>
      </c>
      <c r="R440" s="3" t="str">
        <f>IFERROR(MID(VLOOKUP($B440,Seqs!$A:$B,2,0),S440,1),"")</f>
        <v/>
      </c>
      <c r="S440" s="3" t="s">
        <v>23</v>
      </c>
      <c r="T440" s="3" t="str">
        <f>IFERROR(MID(VLOOKUP($B440,Seqs!$A:$B,2,0),U440,1),"")</f>
        <v>Q</v>
      </c>
      <c r="U440" s="3">
        <v>641</v>
      </c>
      <c r="V440" s="3" t="str">
        <f>IFERROR(MID(VLOOKUP($B440,Seqs!$A:$B,2,0),W440,1),"")</f>
        <v>K</v>
      </c>
      <c r="W440" s="3">
        <v>678</v>
      </c>
      <c r="X440" s="3" t="str">
        <f>IFERROR(MID(VLOOKUP($B440,Seqs!$A:$B,2,0),Y440,1),"")</f>
        <v/>
      </c>
      <c r="Y440" s="3" t="s">
        <v>23</v>
      </c>
      <c r="Z440" s="3" t="str">
        <f>IFERROR(MID(VLOOKUP($B440,Seqs!$A:$B,2,0),AA440,1),"")</f>
        <v/>
      </c>
      <c r="AA440" s="3" t="s">
        <v>23</v>
      </c>
      <c r="AB440" s="3" t="str">
        <f>IFERROR(MID(VLOOKUP($B440,Seqs!$A:$B,2,0),AC440,1),"")</f>
        <v>S</v>
      </c>
      <c r="AC440" s="9">
        <v>689</v>
      </c>
      <c r="AD440" s="3" t="str">
        <f>IFERROR(MID(VLOOKUP($B440,Seqs!$A:$B,2,0),AE440,1),"")</f>
        <v>E</v>
      </c>
      <c r="AE440" s="3">
        <v>715</v>
      </c>
      <c r="AF440" s="3" t="str">
        <f>IFERROR(MID(VLOOKUP($B440,Seqs!$A:$B,2,0),AG440,1),"")</f>
        <v>C</v>
      </c>
      <c r="AG440" s="3">
        <v>733</v>
      </c>
      <c r="AH440" s="3" t="str">
        <f>IFERROR(MID(VLOOKUP($B440,Seqs!$A:$B,2,0),AI440,1),"")</f>
        <v>T</v>
      </c>
      <c r="AI440" s="3">
        <v>735</v>
      </c>
      <c r="AJ440" s="3" t="str">
        <f>IFERROR(MID(VLOOKUP($B440,Seqs!$A:$B,2,0),AK440,1),"")</f>
        <v>N</v>
      </c>
      <c r="AK440" s="3">
        <v>737</v>
      </c>
      <c r="AL440" s="3" t="str">
        <f>IFERROR(MID(VLOOKUP($B440,Seqs!$A:$B,2,0),AM440,1),"")</f>
        <v>T</v>
      </c>
      <c r="AM440" s="3">
        <v>761</v>
      </c>
      <c r="AN440" s="3" t="str">
        <f>IFERROR(MID(VLOOKUP($B440,Seqs!$A:$B,2,0),AO440,1),"")</f>
        <v>E</v>
      </c>
      <c r="AO440" s="3">
        <v>770</v>
      </c>
      <c r="AP440" s="3" t="str">
        <f>IFERROR(MID(VLOOKUP($B440,Seqs!$A:$B,2,0),AQ440,1),"")</f>
        <v>G</v>
      </c>
      <c r="AQ440" s="3">
        <v>794</v>
      </c>
      <c r="AR440" s="3" t="str">
        <f>IFERROR(MID(VLOOKUP($B440,Seqs!$A:$B,2,0),AS440,1),"")</f>
        <v>Y</v>
      </c>
      <c r="AS440" s="105">
        <v>797</v>
      </c>
      <c r="AT440" s="3" t="str">
        <f>IFERROR(MID(VLOOKUP($B440,Seqs!$A:$B,2,0),AU440,1),"")</f>
        <v>K</v>
      </c>
      <c r="AU440" s="3">
        <v>828</v>
      </c>
      <c r="AV440" s="3" t="str">
        <f>IFERROR(MID(VLOOKUP($B440,Seqs!$A:$B,2,0),AW440,1),"")</f>
        <v>P</v>
      </c>
      <c r="AW440" s="3">
        <v>829</v>
      </c>
      <c r="AX440" s="3" t="str">
        <f>IFERROR(MID(VLOOKUP($B440,Seqs!$A:$B,2,0),AY440,1),"")</f>
        <v>N</v>
      </c>
      <c r="AY440" s="3">
        <v>832</v>
      </c>
      <c r="AZ440" s="77" t="str">
        <f>VLOOKUP(B440,Classification!A:D,2,0)</f>
        <v>C</v>
      </c>
      <c r="BA440" s="94" t="str">
        <f>VLOOKUP(B440,Classification!A:D,4,0)</f>
        <v>Metabotropicglutamate</v>
      </c>
      <c r="BB440" s="27" t="b">
        <f t="shared" si="3604"/>
        <v>1</v>
      </c>
      <c r="BC440" s="23">
        <f t="shared" si="3549"/>
        <v>213</v>
      </c>
      <c r="BD440" s="106" t="s">
        <v>1376</v>
      </c>
      <c r="BE440" s="3" t="s">
        <v>1374</v>
      </c>
      <c r="BF440" s="118">
        <v>2.6</v>
      </c>
      <c r="BG440" s="49" t="s">
        <v>1377</v>
      </c>
      <c r="BH440" s="49" t="s">
        <v>1377</v>
      </c>
      <c r="BJ440" s="70" t="s">
        <v>1287</v>
      </c>
      <c r="BK440" s="57" t="s">
        <v>1287</v>
      </c>
      <c r="BL440" s="57" t="s">
        <v>1287</v>
      </c>
      <c r="BM440" s="57" t="s">
        <v>1287</v>
      </c>
      <c r="BN440" s="57" t="s">
        <v>1287</v>
      </c>
      <c r="BO440" s="57" t="s">
        <v>1287</v>
      </c>
      <c r="BP440" s="57" t="s">
        <v>1287</v>
      </c>
      <c r="BQ440" s="57" t="s">
        <v>1287</v>
      </c>
      <c r="BR440" s="57" t="s">
        <v>1287</v>
      </c>
      <c r="BS440" s="57" t="s">
        <v>1287</v>
      </c>
      <c r="BT440" s="57" t="s">
        <v>1287</v>
      </c>
      <c r="BU440" s="57" t="s">
        <v>1287</v>
      </c>
      <c r="BV440" s="70">
        <f t="shared" si="3550"/>
        <v>578</v>
      </c>
      <c r="BW440" s="71">
        <f t="shared" si="3551"/>
        <v>607</v>
      </c>
      <c r="BX440" s="72">
        <f t="shared" si="3552"/>
        <v>614</v>
      </c>
      <c r="BY440" s="71" t="str">
        <f t="shared" si="3553"/>
        <v>-</v>
      </c>
      <c r="BZ440" s="72">
        <f t="shared" si="3554"/>
        <v>641</v>
      </c>
      <c r="CA440" s="71" t="str">
        <f t="shared" si="3555"/>
        <v>-</v>
      </c>
      <c r="CB440" s="72">
        <f t="shared" si="3556"/>
        <v>689</v>
      </c>
      <c r="CC440" s="71">
        <f t="shared" si="3557"/>
        <v>733</v>
      </c>
      <c r="CD440" s="72">
        <f t="shared" si="3558"/>
        <v>737</v>
      </c>
      <c r="CE440" s="71">
        <f t="shared" si="3559"/>
        <v>770</v>
      </c>
      <c r="CF440" s="72">
        <f t="shared" si="3560"/>
        <v>797</v>
      </c>
      <c r="CG440" s="71">
        <f t="shared" si="3561"/>
        <v>829</v>
      </c>
      <c r="CH440" s="70">
        <f t="shared" si="3562"/>
        <v>604</v>
      </c>
      <c r="CI440" s="71">
        <f t="shared" si="3563"/>
        <v>613</v>
      </c>
      <c r="CJ440" s="72">
        <f t="shared" si="3564"/>
        <v>636</v>
      </c>
      <c r="CK440" s="72" t="str">
        <f t="shared" si="3565"/>
        <v>-</v>
      </c>
      <c r="CL440" s="72">
        <f t="shared" si="3566"/>
        <v>678</v>
      </c>
      <c r="CM440" s="72" t="str">
        <f t="shared" si="3567"/>
        <v>-</v>
      </c>
      <c r="CN440" s="72">
        <f t="shared" si="3568"/>
        <v>715</v>
      </c>
      <c r="CO440" s="72">
        <f t="shared" si="3569"/>
        <v>735</v>
      </c>
      <c r="CP440" s="72">
        <f t="shared" si="3570"/>
        <v>761</v>
      </c>
      <c r="CQ440" s="72">
        <f t="shared" si="3571"/>
        <v>794</v>
      </c>
      <c r="CR440" s="72">
        <f t="shared" si="3572"/>
        <v>828</v>
      </c>
      <c r="CS440" s="72">
        <f t="shared" si="3573"/>
        <v>832</v>
      </c>
      <c r="CT440" s="23">
        <f t="shared" si="3574"/>
        <v>1</v>
      </c>
    </row>
    <row r="441" spans="1:1030" x14ac:dyDescent="0.2">
      <c r="A441" s="3" t="str">
        <f t="shared" si="3603"/>
        <v>grm5_human_5CGC</v>
      </c>
      <c r="B441" s="3" t="s">
        <v>41</v>
      </c>
      <c r="C441" s="3" t="s">
        <v>58</v>
      </c>
      <c r="D441" s="3" t="str">
        <f>IFERROR(MID(VLOOKUP($B441,Seqs!$A:$B,2,0),E441,1),"")</f>
        <v>P</v>
      </c>
      <c r="E441" s="3">
        <v>578</v>
      </c>
      <c r="F441" s="3" t="str">
        <f>IFERROR(MID(VLOOKUP($B441,Seqs!$A:$B,2,0),G441,1),"")</f>
        <v>Y</v>
      </c>
      <c r="G441" s="3">
        <v>604</v>
      </c>
      <c r="H441" s="3" t="str">
        <f>IFERROR(MID(VLOOKUP($B441,Seqs!$A:$B,2,0),I441,1),"")</f>
        <v>T</v>
      </c>
      <c r="I441" s="23">
        <v>607</v>
      </c>
      <c r="J441" s="3" t="str">
        <f>IFERROR(MID(VLOOKUP($B441,Seqs!$A:$B,2,0),K441,1),"")</f>
        <v>S</v>
      </c>
      <c r="K441" s="23">
        <v>613</v>
      </c>
      <c r="L441" s="3" t="str">
        <f>IFERROR(MID(VLOOKUP($B441,Seqs!$A:$B,2,0),M441,1),"")</f>
        <v>S</v>
      </c>
      <c r="M441" s="3">
        <v>614</v>
      </c>
      <c r="N441" s="3" t="str">
        <f>IFERROR(MID(VLOOKUP($B441,Seqs!$A:$B,2,0),O441,1),"")</f>
        <v>I</v>
      </c>
      <c r="O441" s="3">
        <v>636</v>
      </c>
      <c r="P441" s="3" t="str">
        <f>IFERROR(MID(VLOOKUP($B441,Seqs!$A:$B,2,0),Q441,1),"")</f>
        <v/>
      </c>
      <c r="Q441" s="3" t="s">
        <v>23</v>
      </c>
      <c r="R441" s="3" t="str">
        <f>IFERROR(MID(VLOOKUP($B441,Seqs!$A:$B,2,0),S441,1),"")</f>
        <v/>
      </c>
      <c r="S441" s="3" t="s">
        <v>23</v>
      </c>
      <c r="T441" s="3" t="str">
        <f>IFERROR(MID(VLOOKUP($B441,Seqs!$A:$B,2,0),U441,1),"")</f>
        <v>K</v>
      </c>
      <c r="U441" s="105">
        <v>640</v>
      </c>
      <c r="V441" s="3" t="str">
        <f>IFERROR(MID(VLOOKUP($B441,Seqs!$A:$B,2,0),W441,1),"")</f>
        <v>K</v>
      </c>
      <c r="W441" s="3">
        <v>678</v>
      </c>
      <c r="X441" s="3" t="str">
        <f>IFERROR(MID(VLOOKUP($B441,Seqs!$A:$B,2,0),Y441,1),"")</f>
        <v/>
      </c>
      <c r="Y441" s="3" t="s">
        <v>23</v>
      </c>
      <c r="Z441" s="3" t="str">
        <f>IFERROR(MID(VLOOKUP($B441,Seqs!$A:$B,2,0),AA441,1),"")</f>
        <v/>
      </c>
      <c r="AA441" s="3" t="s">
        <v>23</v>
      </c>
      <c r="AB441" s="3" t="str">
        <f>IFERROR(MID(VLOOKUP($B441,Seqs!$A:$B,2,0),AC441,1),"")</f>
        <v>S</v>
      </c>
      <c r="AC441" s="9">
        <v>689</v>
      </c>
      <c r="AD441" s="3" t="str">
        <f>IFERROR(MID(VLOOKUP($B441,Seqs!$A:$B,2,0),AE441,1),"")</f>
        <v>E</v>
      </c>
      <c r="AE441" s="3">
        <v>715</v>
      </c>
      <c r="AF441" s="3" t="str">
        <f>IFERROR(MID(VLOOKUP($B441,Seqs!$A:$B,2,0),AG441,1),"")</f>
        <v>C</v>
      </c>
      <c r="AG441" s="3">
        <v>733</v>
      </c>
      <c r="AH441" s="3" t="str">
        <f>IFERROR(MID(VLOOKUP($B441,Seqs!$A:$B,2,0),AI441,1),"")</f>
        <v>T</v>
      </c>
      <c r="AI441" s="3">
        <v>735</v>
      </c>
      <c r="AJ441" s="3" t="str">
        <f>IFERROR(MID(VLOOKUP($B441,Seqs!$A:$B,2,0),AK441,1),"")</f>
        <v>N</v>
      </c>
      <c r="AK441" s="3">
        <v>737</v>
      </c>
      <c r="AL441" s="3" t="str">
        <f>IFERROR(MID(VLOOKUP($B441,Seqs!$A:$B,2,0),AM441,1),"")</f>
        <v>T</v>
      </c>
      <c r="AM441" s="3">
        <v>761</v>
      </c>
      <c r="AN441" s="3" t="str">
        <f>IFERROR(MID(VLOOKUP($B441,Seqs!$A:$B,2,0),AO441,1),"")</f>
        <v>E</v>
      </c>
      <c r="AO441" s="3">
        <v>770</v>
      </c>
      <c r="AP441" s="3" t="str">
        <f>IFERROR(MID(VLOOKUP($B441,Seqs!$A:$B,2,0),AQ441,1),"")</f>
        <v>G</v>
      </c>
      <c r="AQ441" s="3">
        <v>794</v>
      </c>
      <c r="AR441" s="3" t="str">
        <f>IFERROR(MID(VLOOKUP($B441,Seqs!$A:$B,2,0),AS441,1),"")</f>
        <v>Y</v>
      </c>
      <c r="AS441" s="105">
        <v>797</v>
      </c>
      <c r="AT441" s="3" t="str">
        <f>IFERROR(MID(VLOOKUP($B441,Seqs!$A:$B,2,0),AU441,1),"")</f>
        <v>K</v>
      </c>
      <c r="AU441" s="3">
        <v>828</v>
      </c>
      <c r="AV441" s="3" t="str">
        <f>IFERROR(MID(VLOOKUP($B441,Seqs!$A:$B,2,0),AW441,1),"")</f>
        <v>P</v>
      </c>
      <c r="AW441" s="3">
        <v>829</v>
      </c>
      <c r="AX441" s="3" t="str">
        <f>IFERROR(MID(VLOOKUP($B441,Seqs!$A:$B,2,0),AY441,1),"")</f>
        <v>N</v>
      </c>
      <c r="AY441" s="3">
        <v>832</v>
      </c>
      <c r="AZ441" s="77" t="str">
        <f>VLOOKUP(B441,Classification!A:D,2,0)</f>
        <v>C</v>
      </c>
      <c r="BA441" s="94" t="str">
        <f>VLOOKUP(B441,Classification!A:D,4,0)</f>
        <v>Metabotropicglutamate</v>
      </c>
      <c r="BB441" s="27" t="b">
        <f t="shared" si="3604"/>
        <v>1</v>
      </c>
      <c r="BC441" s="23">
        <f t="shared" si="3549"/>
        <v>214</v>
      </c>
      <c r="BD441" s="4" t="s">
        <v>23</v>
      </c>
      <c r="BE441" s="3" t="s">
        <v>1374</v>
      </c>
      <c r="BF441" s="118">
        <v>3.1</v>
      </c>
      <c r="BG441" s="49" t="s">
        <v>1377</v>
      </c>
      <c r="BH441" s="49" t="s">
        <v>1377</v>
      </c>
      <c r="BJ441" s="70" t="s">
        <v>1287</v>
      </c>
      <c r="BK441" s="57" t="s">
        <v>1287</v>
      </c>
      <c r="BL441" s="57" t="s">
        <v>1287</v>
      </c>
      <c r="BM441" s="57" t="s">
        <v>1287</v>
      </c>
      <c r="BN441" s="57" t="s">
        <v>1287</v>
      </c>
      <c r="BO441" s="57" t="s">
        <v>1287</v>
      </c>
      <c r="BP441" s="57" t="s">
        <v>1287</v>
      </c>
      <c r="BQ441" s="57" t="s">
        <v>1287</v>
      </c>
      <c r="BR441" s="57" t="s">
        <v>1287</v>
      </c>
      <c r="BS441" s="57" t="s">
        <v>1287</v>
      </c>
      <c r="BT441" s="57" t="s">
        <v>1287</v>
      </c>
      <c r="BU441" s="57" t="s">
        <v>1287</v>
      </c>
      <c r="BV441" s="70">
        <f t="shared" si="3550"/>
        <v>578</v>
      </c>
      <c r="BW441" s="71">
        <f t="shared" si="3551"/>
        <v>607</v>
      </c>
      <c r="BX441" s="72">
        <f t="shared" si="3552"/>
        <v>614</v>
      </c>
      <c r="BY441" s="71" t="str">
        <f t="shared" si="3553"/>
        <v>-</v>
      </c>
      <c r="BZ441" s="72">
        <f t="shared" si="3554"/>
        <v>640</v>
      </c>
      <c r="CA441" s="71" t="str">
        <f t="shared" si="3555"/>
        <v>-</v>
      </c>
      <c r="CB441" s="72">
        <f t="shared" si="3556"/>
        <v>689</v>
      </c>
      <c r="CC441" s="71">
        <f t="shared" si="3557"/>
        <v>733</v>
      </c>
      <c r="CD441" s="72">
        <f t="shared" si="3558"/>
        <v>737</v>
      </c>
      <c r="CE441" s="71">
        <f t="shared" si="3559"/>
        <v>770</v>
      </c>
      <c r="CF441" s="72">
        <f t="shared" si="3560"/>
        <v>797</v>
      </c>
      <c r="CG441" s="71">
        <f t="shared" si="3561"/>
        <v>829</v>
      </c>
      <c r="CH441" s="70">
        <f t="shared" si="3562"/>
        <v>604</v>
      </c>
      <c r="CI441" s="71">
        <f t="shared" si="3563"/>
        <v>613</v>
      </c>
      <c r="CJ441" s="72">
        <f t="shared" si="3564"/>
        <v>636</v>
      </c>
      <c r="CK441" s="72" t="str">
        <f t="shared" si="3565"/>
        <v>-</v>
      </c>
      <c r="CL441" s="72">
        <f t="shared" si="3566"/>
        <v>678</v>
      </c>
      <c r="CM441" s="72" t="str">
        <f t="shared" si="3567"/>
        <v>-</v>
      </c>
      <c r="CN441" s="72">
        <f t="shared" si="3568"/>
        <v>715</v>
      </c>
      <c r="CO441" s="72">
        <f t="shared" si="3569"/>
        <v>735</v>
      </c>
      <c r="CP441" s="72">
        <f t="shared" si="3570"/>
        <v>761</v>
      </c>
      <c r="CQ441" s="72">
        <f t="shared" si="3571"/>
        <v>794</v>
      </c>
      <c r="CR441" s="72">
        <f t="shared" si="3572"/>
        <v>828</v>
      </c>
      <c r="CS441" s="72">
        <f t="shared" si="3573"/>
        <v>832</v>
      </c>
      <c r="CT441" s="23">
        <f t="shared" si="3574"/>
        <v>1</v>
      </c>
    </row>
    <row r="442" spans="1:1030" x14ac:dyDescent="0.2">
      <c r="A442" s="3" t="str">
        <f t="shared" si="3603"/>
        <v>grm5_human_5CGD</v>
      </c>
      <c r="B442" s="3" t="s">
        <v>41</v>
      </c>
      <c r="C442" s="3" t="s">
        <v>59</v>
      </c>
      <c r="D442" s="3" t="str">
        <f>IFERROR(MID(VLOOKUP($B442,Seqs!$A:$B,2,0),E442,1),"")</f>
        <v>P</v>
      </c>
      <c r="E442" s="3">
        <v>578</v>
      </c>
      <c r="F442" s="3" t="str">
        <f>IFERROR(MID(VLOOKUP($B442,Seqs!$A:$B,2,0),G442,1),"")</f>
        <v>Y</v>
      </c>
      <c r="G442" s="3">
        <v>604</v>
      </c>
      <c r="H442" s="3" t="str">
        <f>IFERROR(MID(VLOOKUP($B442,Seqs!$A:$B,2,0),I442,1),"")</f>
        <v>T</v>
      </c>
      <c r="I442" s="23">
        <v>607</v>
      </c>
      <c r="J442" s="3" t="str">
        <f>IFERROR(MID(VLOOKUP($B442,Seqs!$A:$B,2,0),K442,1),"")</f>
        <v>S</v>
      </c>
      <c r="K442" s="23">
        <v>613</v>
      </c>
      <c r="L442" s="3" t="str">
        <f>IFERROR(MID(VLOOKUP($B442,Seqs!$A:$B,2,0),M442,1),"")</f>
        <v>S</v>
      </c>
      <c r="M442" s="3">
        <v>614</v>
      </c>
      <c r="N442" s="3" t="str">
        <f>IFERROR(MID(VLOOKUP($B442,Seqs!$A:$B,2,0),O442,1),"")</f>
        <v>I</v>
      </c>
      <c r="O442" s="3">
        <v>636</v>
      </c>
      <c r="P442" s="3" t="str">
        <f>IFERROR(MID(VLOOKUP($B442,Seqs!$A:$B,2,0),Q442,1),"")</f>
        <v/>
      </c>
      <c r="Q442" s="3" t="s">
        <v>23</v>
      </c>
      <c r="R442" s="3" t="str">
        <f>IFERROR(MID(VLOOKUP($B442,Seqs!$A:$B,2,0),S442,1),"")</f>
        <v/>
      </c>
      <c r="S442" s="3" t="s">
        <v>23</v>
      </c>
      <c r="T442" s="3" t="str">
        <f>IFERROR(MID(VLOOKUP($B442,Seqs!$A:$B,2,0),U442,1),"")</f>
        <v>Q</v>
      </c>
      <c r="U442" s="3">
        <v>641</v>
      </c>
      <c r="V442" s="3" t="str">
        <f>IFERROR(MID(VLOOKUP($B442,Seqs!$A:$B,2,0),W442,1),"")</f>
        <v>K</v>
      </c>
      <c r="W442" s="3">
        <v>678</v>
      </c>
      <c r="X442" s="3" t="str">
        <f>IFERROR(MID(VLOOKUP($B442,Seqs!$A:$B,2,0),Y442,1),"")</f>
        <v/>
      </c>
      <c r="Y442" s="3" t="s">
        <v>23</v>
      </c>
      <c r="Z442" s="3" t="str">
        <f>IFERROR(MID(VLOOKUP($B442,Seqs!$A:$B,2,0),AA442,1),"")</f>
        <v/>
      </c>
      <c r="AA442" s="3" t="s">
        <v>23</v>
      </c>
      <c r="AB442" s="3" t="str">
        <f>IFERROR(MID(VLOOKUP($B442,Seqs!$A:$B,2,0),AC442,1),"")</f>
        <v>S</v>
      </c>
      <c r="AC442" s="9">
        <v>689</v>
      </c>
      <c r="AD442" s="3" t="str">
        <f>IFERROR(MID(VLOOKUP($B442,Seqs!$A:$B,2,0),AE442,1),"")</f>
        <v>E</v>
      </c>
      <c r="AE442" s="3">
        <v>715</v>
      </c>
      <c r="AF442" s="3" t="str">
        <f>IFERROR(MID(VLOOKUP($B442,Seqs!$A:$B,2,0),AG442,1),"")</f>
        <v>C</v>
      </c>
      <c r="AG442" s="3">
        <v>733</v>
      </c>
      <c r="AH442" s="3" t="str">
        <f>IFERROR(MID(VLOOKUP($B442,Seqs!$A:$B,2,0),AI442,1),"")</f>
        <v>T</v>
      </c>
      <c r="AI442" s="3">
        <v>735</v>
      </c>
      <c r="AJ442" s="3" t="str">
        <f>IFERROR(MID(VLOOKUP($B442,Seqs!$A:$B,2,0),AK442,1),"")</f>
        <v>N</v>
      </c>
      <c r="AK442" s="3">
        <v>737</v>
      </c>
      <c r="AL442" s="3" t="str">
        <f>IFERROR(MID(VLOOKUP($B442,Seqs!$A:$B,2,0),AM442,1),"")</f>
        <v>T</v>
      </c>
      <c r="AM442" s="3">
        <v>761</v>
      </c>
      <c r="AN442" s="3" t="str">
        <f>IFERROR(MID(VLOOKUP($B442,Seqs!$A:$B,2,0),AO442,1),"")</f>
        <v>E</v>
      </c>
      <c r="AO442" s="3">
        <v>770</v>
      </c>
      <c r="AP442" s="3" t="str">
        <f>IFERROR(MID(VLOOKUP($B442,Seqs!$A:$B,2,0),AQ442,1),"")</f>
        <v>G</v>
      </c>
      <c r="AQ442" s="3">
        <v>794</v>
      </c>
      <c r="AR442" s="3" t="str">
        <f>IFERROR(MID(VLOOKUP($B442,Seqs!$A:$B,2,0),AS442,1),"")</f>
        <v>Y</v>
      </c>
      <c r="AS442" s="105">
        <v>797</v>
      </c>
      <c r="AT442" s="3" t="str">
        <f>IFERROR(MID(VLOOKUP($B442,Seqs!$A:$B,2,0),AU442,1),"")</f>
        <v>K</v>
      </c>
      <c r="AU442" s="3">
        <v>828</v>
      </c>
      <c r="AV442" s="3" t="str">
        <f>IFERROR(MID(VLOOKUP($B442,Seqs!$A:$B,2,0),AW442,1),"")</f>
        <v>P</v>
      </c>
      <c r="AW442" s="3">
        <v>829</v>
      </c>
      <c r="AX442" s="3" t="str">
        <f>IFERROR(MID(VLOOKUP($B442,Seqs!$A:$B,2,0),AY442,1),"")</f>
        <v>R</v>
      </c>
      <c r="AY442" s="3">
        <v>831</v>
      </c>
      <c r="AZ442" s="77" t="str">
        <f>VLOOKUP(B442,Classification!A:D,2,0)</f>
        <v>C</v>
      </c>
      <c r="BA442" s="94" t="str">
        <f>VLOOKUP(B442,Classification!A:D,4,0)</f>
        <v>Metabotropicglutamate</v>
      </c>
      <c r="BB442" s="27" t="b">
        <f t="shared" si="3604"/>
        <v>1</v>
      </c>
      <c r="BC442" s="23">
        <f t="shared" si="3549"/>
        <v>212</v>
      </c>
      <c r="BD442" s="4" t="s">
        <v>23</v>
      </c>
      <c r="BE442" s="3" t="s">
        <v>1374</v>
      </c>
      <c r="BF442" s="118">
        <v>2.6</v>
      </c>
      <c r="BG442" s="49" t="s">
        <v>1377</v>
      </c>
      <c r="BH442" s="49" t="s">
        <v>1377</v>
      </c>
      <c r="BJ442" s="70" t="s">
        <v>1287</v>
      </c>
      <c r="BK442" s="57" t="s">
        <v>1287</v>
      </c>
      <c r="BL442" s="57" t="s">
        <v>1287</v>
      </c>
      <c r="BM442" s="57" t="s">
        <v>1287</v>
      </c>
      <c r="BN442" s="57" t="s">
        <v>1287</v>
      </c>
      <c r="BO442" s="57" t="s">
        <v>1287</v>
      </c>
      <c r="BP442" s="57" t="s">
        <v>1287</v>
      </c>
      <c r="BQ442" s="57" t="s">
        <v>1287</v>
      </c>
      <c r="BR442" s="57" t="s">
        <v>1287</v>
      </c>
      <c r="BS442" s="57" t="s">
        <v>1287</v>
      </c>
      <c r="BT442" s="57" t="s">
        <v>1287</v>
      </c>
      <c r="BU442" s="57" t="s">
        <v>1287</v>
      </c>
      <c r="BV442" s="70">
        <f t="shared" si="3550"/>
        <v>578</v>
      </c>
      <c r="BW442" s="71">
        <f t="shared" si="3551"/>
        <v>607</v>
      </c>
      <c r="BX442" s="72">
        <f t="shared" si="3552"/>
        <v>614</v>
      </c>
      <c r="BY442" s="71" t="str">
        <f t="shared" si="3553"/>
        <v>-</v>
      </c>
      <c r="BZ442" s="72">
        <f t="shared" si="3554"/>
        <v>641</v>
      </c>
      <c r="CA442" s="71" t="str">
        <f t="shared" si="3555"/>
        <v>-</v>
      </c>
      <c r="CB442" s="72">
        <f t="shared" si="3556"/>
        <v>689</v>
      </c>
      <c r="CC442" s="71">
        <f t="shared" si="3557"/>
        <v>733</v>
      </c>
      <c r="CD442" s="72">
        <f t="shared" si="3558"/>
        <v>737</v>
      </c>
      <c r="CE442" s="71">
        <f t="shared" si="3559"/>
        <v>770</v>
      </c>
      <c r="CF442" s="72">
        <f t="shared" si="3560"/>
        <v>797</v>
      </c>
      <c r="CG442" s="71">
        <f t="shared" si="3561"/>
        <v>829</v>
      </c>
      <c r="CH442" s="70">
        <f t="shared" si="3562"/>
        <v>604</v>
      </c>
      <c r="CI442" s="71">
        <f t="shared" si="3563"/>
        <v>613</v>
      </c>
      <c r="CJ442" s="72">
        <f t="shared" si="3564"/>
        <v>636</v>
      </c>
      <c r="CK442" s="72" t="str">
        <f t="shared" si="3565"/>
        <v>-</v>
      </c>
      <c r="CL442" s="72">
        <f t="shared" si="3566"/>
        <v>678</v>
      </c>
      <c r="CM442" s="72" t="str">
        <f t="shared" si="3567"/>
        <v>-</v>
      </c>
      <c r="CN442" s="72">
        <f t="shared" si="3568"/>
        <v>715</v>
      </c>
      <c r="CO442" s="72">
        <f t="shared" si="3569"/>
        <v>735</v>
      </c>
      <c r="CP442" s="72">
        <f t="shared" si="3570"/>
        <v>761</v>
      </c>
      <c r="CQ442" s="72">
        <f t="shared" si="3571"/>
        <v>794</v>
      </c>
      <c r="CR442" s="72">
        <f t="shared" si="3572"/>
        <v>828</v>
      </c>
      <c r="CS442" s="72">
        <f t="shared" si="3573"/>
        <v>831</v>
      </c>
      <c r="CT442" s="23">
        <f t="shared" si="3574"/>
        <v>1</v>
      </c>
      <c r="AMP442" s="3"/>
    </row>
    <row r="443" spans="1:1030" x14ac:dyDescent="0.2">
      <c r="A443" s="3" t="str">
        <f>CONCATENATE(B443,"_",C443)</f>
        <v>grm5_human_6FFH</v>
      </c>
      <c r="B443" s="3" t="s">
        <v>41</v>
      </c>
      <c r="C443" s="3" t="s">
        <v>1474</v>
      </c>
      <c r="D443" s="3" t="str">
        <f>IFERROR(MID(VLOOKUP($B443,Seqs!$A:$B,2,0),E443,1),"")</f>
        <v>P</v>
      </c>
      <c r="E443" s="3">
        <v>578</v>
      </c>
      <c r="F443" s="3" t="str">
        <f>IFERROR(MID(VLOOKUP($B443,Seqs!$A:$B,2,0),G443,1),"")</f>
        <v>Y</v>
      </c>
      <c r="G443" s="3">
        <v>604</v>
      </c>
      <c r="H443" s="3" t="str">
        <f>IFERROR(MID(VLOOKUP($B443,Seqs!$A:$B,2,0),I443,1),"")</f>
        <v>T</v>
      </c>
      <c r="I443" s="23">
        <v>607</v>
      </c>
      <c r="J443" s="3" t="str">
        <f>IFERROR(MID(VLOOKUP($B443,Seqs!$A:$B,2,0),K443,1),"")</f>
        <v>S</v>
      </c>
      <c r="K443" s="23">
        <v>613</v>
      </c>
      <c r="L443" s="3" t="str">
        <f>IFERROR(MID(VLOOKUP($B443,Seqs!$A:$B,2,0),M443,1),"")</f>
        <v>S</v>
      </c>
      <c r="M443" s="3">
        <v>614</v>
      </c>
      <c r="N443" s="3" t="str">
        <f>IFERROR(MID(VLOOKUP($B443,Seqs!$A:$B,2,0),O443,1),"")</f>
        <v>I</v>
      </c>
      <c r="O443" s="3">
        <v>636</v>
      </c>
      <c r="P443" s="3" t="str">
        <f>IFERROR(MID(VLOOKUP($B443,Seqs!$A:$B,2,0),Q443,1),"")</f>
        <v/>
      </c>
      <c r="Q443" s="3" t="s">
        <v>23</v>
      </c>
      <c r="R443" s="3" t="str">
        <f>IFERROR(MID(VLOOKUP($B443,Seqs!$A:$B,2,0),S443,1),"")</f>
        <v/>
      </c>
      <c r="S443" s="3" t="s">
        <v>23</v>
      </c>
      <c r="T443" s="3" t="str">
        <f>IFERROR(MID(VLOOKUP($B443,Seqs!$A:$B,2,0),U443,1),"")</f>
        <v>K</v>
      </c>
      <c r="U443" s="3">
        <v>640</v>
      </c>
      <c r="V443" s="3" t="str">
        <f>IFERROR(MID(VLOOKUP($B443,Seqs!$A:$B,2,0),W443,1),"")</f>
        <v>K</v>
      </c>
      <c r="W443" s="3">
        <v>678</v>
      </c>
      <c r="X443" s="3" t="str">
        <f>IFERROR(MID(VLOOKUP($B443,Seqs!$A:$B,2,0),Y443,1),"")</f>
        <v/>
      </c>
      <c r="Y443" s="3" t="s">
        <v>23</v>
      </c>
      <c r="Z443" s="3" t="str">
        <f>IFERROR(MID(VLOOKUP($B443,Seqs!$A:$B,2,0),AA443,1),"")</f>
        <v/>
      </c>
      <c r="AA443" s="3" t="s">
        <v>23</v>
      </c>
      <c r="AB443" s="3" t="str">
        <f>IFERROR(MID(VLOOKUP($B443,Seqs!$A:$B,2,0),AC443,1),"")</f>
        <v/>
      </c>
      <c r="AC443" s="3">
        <v>1689</v>
      </c>
      <c r="AD443" s="3" t="str">
        <f>IFERROR(MID(VLOOKUP($B443,Seqs!$A:$B,2,0),AE443,1),"")</f>
        <v/>
      </c>
      <c r="AE443" s="3">
        <v>1715</v>
      </c>
      <c r="AF443" s="3" t="str">
        <f>IFERROR(MID(VLOOKUP($B443,Seqs!$A:$B,2,0),AG443,1),"")</f>
        <v/>
      </c>
      <c r="AG443" s="3">
        <v>1733</v>
      </c>
      <c r="AH443" s="3" t="str">
        <f>IFERROR(MID(VLOOKUP($B443,Seqs!$A:$B,2,0),AI443,1),"")</f>
        <v/>
      </c>
      <c r="AI443" s="3">
        <v>1735</v>
      </c>
      <c r="AJ443" s="3" t="str">
        <f>IFERROR(MID(VLOOKUP($B443,Seqs!$A:$B,2,0),AK443,1),"")</f>
        <v/>
      </c>
      <c r="AK443" s="3">
        <v>1736</v>
      </c>
      <c r="AL443" s="3" t="str">
        <f>IFERROR(MID(VLOOKUP($B443,Seqs!$A:$B,2,0),AM443,1),"")</f>
        <v/>
      </c>
      <c r="AM443" s="3">
        <v>1761</v>
      </c>
      <c r="AN443" s="3" t="str">
        <f>IFERROR(MID(VLOOKUP($B443,Seqs!$A:$B,2,0),AO443,1),"")</f>
        <v/>
      </c>
      <c r="AO443" s="3">
        <v>1770</v>
      </c>
      <c r="AP443" s="3" t="str">
        <f>IFERROR(MID(VLOOKUP($B443,Seqs!$A:$B,2,0),AQ443,1),"")</f>
        <v/>
      </c>
      <c r="AQ443" s="3">
        <v>1794</v>
      </c>
      <c r="AR443" s="3" t="str">
        <f>IFERROR(MID(VLOOKUP($B443,Seqs!$A:$B,2,0),AS443,1),"")</f>
        <v/>
      </c>
      <c r="AS443" s="3">
        <v>1797</v>
      </c>
      <c r="AT443" s="3" t="str">
        <f>IFERROR(MID(VLOOKUP($B443,Seqs!$A:$B,2,0),AU443,1),"")</f>
        <v/>
      </c>
      <c r="AU443" s="3">
        <v>1828</v>
      </c>
      <c r="AV443" s="3" t="str">
        <f>IFERROR(MID(VLOOKUP($B443,Seqs!$A:$B,2,0),AW443,1),"")</f>
        <v/>
      </c>
      <c r="AW443" s="3">
        <v>1829</v>
      </c>
      <c r="AX443" s="3" t="str">
        <f>IFERROR(MID(VLOOKUP($B443,Seqs!$A:$B,2,0),AY443,1),"")</f>
        <v/>
      </c>
      <c r="AY443" s="3">
        <v>1832</v>
      </c>
      <c r="AZ443" s="77" t="str">
        <f>VLOOKUP(B443,Classification!A:D,2,0)</f>
        <v>C</v>
      </c>
      <c r="BA443" s="94" t="str">
        <f>VLOOKUP(B443,Classification!A:D,4,0)</f>
        <v>Metabotropicglutamate</v>
      </c>
      <c r="BB443" s="27" t="b">
        <f>AND(E443&lt;G443,OR(G443&lt;I443,I443="-"),OR(I443&lt;K443,I443="-"),OR(K443&lt;M443,K443="-"),M443&lt;O443,OR(O443&lt;Q443,Q443="-"),OR(Q443&lt;S443,Q443="-"),OR(S443&lt;U443,S443="-"),U443&lt;W443,OR(W443&lt;Y443,Y443="-"),OR(Y443&lt;AA443,Y443="-"),OR(AA443&lt;AC443,AA443="-"),AC443&lt;AE443,OR(AE443&lt;AG443,AG443="-"),OR(AG443&lt;AI443,AG443="-"),OR(AI443&lt;AK443,AI443="-"),AK443&lt;AM443,AM443&lt;AO443,AO443&lt;AQ443,AQ443&lt;AS443,AS443&lt;AU443,OR(AU443&lt;AW443,AW443="-"),OR(AW443&lt;AY443,AW443="-"))</f>
        <v>1</v>
      </c>
      <c r="BC443" s="23">
        <f>_xlfn.AGGREGATE(9,6,CH443:CS443)-_xlfn.AGGREGATE(9,6,BV443:CG443)+12</f>
        <v>215</v>
      </c>
      <c r="BD443" s="4" t="s">
        <v>23</v>
      </c>
      <c r="BE443" s="3" t="s">
        <v>1374</v>
      </c>
      <c r="BF443" s="118">
        <v>2.65</v>
      </c>
      <c r="BG443" s="49" t="s">
        <v>1</v>
      </c>
      <c r="BH443" s="49" t="s">
        <v>1</v>
      </c>
      <c r="BJ443" s="70" t="s">
        <v>1287</v>
      </c>
      <c r="BK443" s="57" t="s">
        <v>1287</v>
      </c>
      <c r="BL443" s="57" t="s">
        <v>1287</v>
      </c>
      <c r="BM443" s="57" t="s">
        <v>1287</v>
      </c>
      <c r="BN443" s="57" t="s">
        <v>1287</v>
      </c>
      <c r="BO443" s="57" t="s">
        <v>1287</v>
      </c>
      <c r="BP443" s="57" t="s">
        <v>1287</v>
      </c>
      <c r="BQ443" s="57" t="s">
        <v>1287</v>
      </c>
      <c r="BR443" s="57" t="s">
        <v>1287</v>
      </c>
      <c r="BS443" s="57" t="s">
        <v>1287</v>
      </c>
      <c r="BT443" s="57" t="s">
        <v>1287</v>
      </c>
      <c r="BU443" s="57" t="s">
        <v>1287</v>
      </c>
      <c r="BV443" s="70">
        <f>E443</f>
        <v>578</v>
      </c>
      <c r="BW443" s="71">
        <f>I443</f>
        <v>607</v>
      </c>
      <c r="BX443" s="72">
        <f>M443</f>
        <v>614</v>
      </c>
      <c r="BY443" s="71" t="str">
        <f>Q443</f>
        <v>-</v>
      </c>
      <c r="BZ443" s="72">
        <f>U443</f>
        <v>640</v>
      </c>
      <c r="CA443" s="71" t="str">
        <f>Y443</f>
        <v>-</v>
      </c>
      <c r="CB443" s="72">
        <f>AC443</f>
        <v>1689</v>
      </c>
      <c r="CC443" s="71">
        <f>AG443</f>
        <v>1733</v>
      </c>
      <c r="CD443" s="72">
        <f>AK443</f>
        <v>1736</v>
      </c>
      <c r="CE443" s="71">
        <f>AO443</f>
        <v>1770</v>
      </c>
      <c r="CF443" s="72">
        <f>AS443</f>
        <v>1797</v>
      </c>
      <c r="CG443" s="71">
        <f>AW443</f>
        <v>1829</v>
      </c>
      <c r="CH443" s="70">
        <f>G443</f>
        <v>604</v>
      </c>
      <c r="CI443" s="71">
        <f>K443</f>
        <v>613</v>
      </c>
      <c r="CJ443" s="72">
        <f>O443</f>
        <v>636</v>
      </c>
      <c r="CK443" s="72" t="str">
        <f>S443</f>
        <v>-</v>
      </c>
      <c r="CL443" s="72">
        <f>W443</f>
        <v>678</v>
      </c>
      <c r="CM443" s="72" t="str">
        <f>AA443</f>
        <v>-</v>
      </c>
      <c r="CN443" s="72">
        <f>AE443</f>
        <v>1715</v>
      </c>
      <c r="CO443" s="72">
        <f>AI443</f>
        <v>1735</v>
      </c>
      <c r="CP443" s="72">
        <f>AM443</f>
        <v>1761</v>
      </c>
      <c r="CQ443" s="72">
        <f>AQ443</f>
        <v>1794</v>
      </c>
      <c r="CR443" s="72">
        <f>AU443</f>
        <v>1828</v>
      </c>
      <c r="CS443" s="72">
        <f>AY443</f>
        <v>1832</v>
      </c>
      <c r="CT443" s="23">
        <f>M443-K443</f>
        <v>1</v>
      </c>
      <c r="AMP443" s="3"/>
    </row>
    <row r="444" spans="1:1030" x14ac:dyDescent="0.2">
      <c r="A444" s="3" t="str">
        <f>CONCATENATE(B444,"_",C444)</f>
        <v>grm5_human_6FFI</v>
      </c>
      <c r="B444" s="3" t="s">
        <v>41</v>
      </c>
      <c r="C444" s="3" t="s">
        <v>1475</v>
      </c>
      <c r="D444" s="3" t="str">
        <f>IFERROR(MID(VLOOKUP($B444,Seqs!$A:$B,2,0),E444,1),"")</f>
        <v>P</v>
      </c>
      <c r="E444" s="3">
        <v>578</v>
      </c>
      <c r="F444" s="3" t="str">
        <f>IFERROR(MID(VLOOKUP($B444,Seqs!$A:$B,2,0),G444,1),"")</f>
        <v>Y</v>
      </c>
      <c r="G444" s="3">
        <v>604</v>
      </c>
      <c r="H444" s="3" t="str">
        <f>IFERROR(MID(VLOOKUP($B444,Seqs!$A:$B,2,0),I444,1),"")</f>
        <v>T</v>
      </c>
      <c r="I444" s="23">
        <v>607</v>
      </c>
      <c r="J444" s="3" t="str">
        <f>IFERROR(MID(VLOOKUP($B444,Seqs!$A:$B,2,0),K444,1),"")</f>
        <v>S</v>
      </c>
      <c r="K444" s="23">
        <v>613</v>
      </c>
      <c r="L444" s="3" t="str">
        <f>IFERROR(MID(VLOOKUP($B444,Seqs!$A:$B,2,0),M444,1),"")</f>
        <v>S</v>
      </c>
      <c r="M444" s="3">
        <v>614</v>
      </c>
      <c r="N444" s="3" t="str">
        <f>IFERROR(MID(VLOOKUP($B444,Seqs!$A:$B,2,0),O444,1),"")</f>
        <v>I</v>
      </c>
      <c r="O444" s="3">
        <v>636</v>
      </c>
      <c r="P444" s="3" t="str">
        <f>IFERROR(MID(VLOOKUP($B444,Seqs!$A:$B,2,0),Q444,1),"")</f>
        <v/>
      </c>
      <c r="Q444" s="3" t="s">
        <v>23</v>
      </c>
      <c r="R444" s="3" t="str">
        <f>IFERROR(MID(VLOOKUP($B444,Seqs!$A:$B,2,0),S444,1),"")</f>
        <v/>
      </c>
      <c r="S444" s="3" t="s">
        <v>23</v>
      </c>
      <c r="T444" s="3" t="str">
        <f>IFERROR(MID(VLOOKUP($B444,Seqs!$A:$B,2,0),U444,1),"")</f>
        <v>K</v>
      </c>
      <c r="U444" s="3">
        <v>640</v>
      </c>
      <c r="V444" s="3" t="str">
        <f>IFERROR(MID(VLOOKUP($B444,Seqs!$A:$B,2,0),W444,1),"")</f>
        <v>K</v>
      </c>
      <c r="W444" s="3">
        <v>678</v>
      </c>
      <c r="X444" s="3" t="str">
        <f>IFERROR(MID(VLOOKUP($B444,Seqs!$A:$B,2,0),Y444,1),"")</f>
        <v/>
      </c>
      <c r="Y444" s="3" t="s">
        <v>23</v>
      </c>
      <c r="Z444" s="3" t="str">
        <f>IFERROR(MID(VLOOKUP($B444,Seqs!$A:$B,2,0),AA444,1),"")</f>
        <v/>
      </c>
      <c r="AA444" s="3" t="s">
        <v>23</v>
      </c>
      <c r="AB444" s="3" t="str">
        <f>IFERROR(MID(VLOOKUP($B444,Seqs!$A:$B,2,0),AC444,1),"")</f>
        <v>D</v>
      </c>
      <c r="AC444" s="3">
        <v>849</v>
      </c>
      <c r="AD444" s="3" t="str">
        <f>IFERROR(MID(VLOOKUP($B444,Seqs!$A:$B,2,0),AE444,1),"")</f>
        <v>T</v>
      </c>
      <c r="AE444" s="3">
        <v>875</v>
      </c>
      <c r="AF444" s="3" t="str">
        <f>IFERROR(MID(VLOOKUP($B444,Seqs!$A:$B,2,0),AG444,1),"")</f>
        <v>F</v>
      </c>
      <c r="AG444" s="3">
        <v>893</v>
      </c>
      <c r="AH444" s="3" t="str">
        <f>IFERROR(MID(VLOOKUP($B444,Seqs!$A:$B,2,0),AI444,1),"")</f>
        <v>P</v>
      </c>
      <c r="AI444" s="3">
        <v>895</v>
      </c>
      <c r="AJ444" s="3" t="str">
        <f>IFERROR(MID(VLOOKUP($B444,Seqs!$A:$B,2,0),AK444,1),"")</f>
        <v>K</v>
      </c>
      <c r="AK444" s="3">
        <v>896</v>
      </c>
      <c r="AL444" s="3" t="str">
        <f>IFERROR(MID(VLOOKUP($B444,Seqs!$A:$B,2,0),AM444,1),"")</f>
        <v>E</v>
      </c>
      <c r="AM444" s="3">
        <v>921</v>
      </c>
      <c r="AN444" s="3" t="str">
        <f>IFERROR(MID(VLOOKUP($B444,Seqs!$A:$B,2,0),AO444,1),"")</f>
        <v>L</v>
      </c>
      <c r="AO444" s="3">
        <v>929</v>
      </c>
      <c r="AP444" s="3" t="str">
        <f>IFERROR(MID(VLOOKUP($B444,Seqs!$A:$B,2,0),AQ444,1),"")</f>
        <v>S</v>
      </c>
      <c r="AQ444" s="3">
        <v>955</v>
      </c>
      <c r="AR444" s="3" t="str">
        <f>IFERROR(MID(VLOOKUP($B444,Seqs!$A:$B,2,0),AS444,1),"")</f>
        <v>E</v>
      </c>
      <c r="AS444" s="3">
        <v>957</v>
      </c>
      <c r="AT444" s="3" t="str">
        <f>IFERROR(MID(VLOOKUP($B444,Seqs!$A:$B,2,0),AU444,1),"")</f>
        <v>G</v>
      </c>
      <c r="AU444" s="3">
        <v>988</v>
      </c>
      <c r="AV444" s="3" t="str">
        <f>IFERROR(MID(VLOOKUP($B444,Seqs!$A:$B,2,0),AW444,1),"")</f>
        <v>G</v>
      </c>
      <c r="AW444" s="3">
        <v>989</v>
      </c>
      <c r="AX444" s="3" t="str">
        <f>IFERROR(MID(VLOOKUP($B444,Seqs!$A:$B,2,0),AY444,1),"")</f>
        <v>S</v>
      </c>
      <c r="AY444" s="3">
        <v>992</v>
      </c>
      <c r="AZ444" s="77" t="str">
        <f>VLOOKUP(B444,Classification!A:D,2,0)</f>
        <v>C</v>
      </c>
      <c r="BA444" s="94" t="str">
        <f>VLOOKUP(B444,Classification!A:D,4,0)</f>
        <v>Metabotropicglutamate</v>
      </c>
      <c r="BB444" s="27" t="b">
        <f>AND(E444&lt;G444,OR(G444&lt;I444,I444="-"),OR(I444&lt;K444,I444="-"),OR(K444&lt;M444,K444="-"),M444&lt;O444,OR(O444&lt;Q444,Q444="-"),OR(Q444&lt;S444,Q444="-"),OR(S444&lt;U444,S444="-"),U444&lt;W444,OR(W444&lt;Y444,Y444="-"),OR(Y444&lt;AA444,Y444="-"),OR(AA444&lt;AC444,AA444="-"),AC444&lt;AE444,OR(AE444&lt;AG444,AG444="-"),OR(AG444&lt;AI444,AG444="-"),OR(AI444&lt;AK444,AI444="-"),AK444&lt;AM444,AM444&lt;AO444,AO444&lt;AQ444,AQ444&lt;AS444,AS444&lt;AU444,OR(AU444&lt;AW444,AW444="-"),OR(AW444&lt;AY444,AW444="-"))</f>
        <v>1</v>
      </c>
      <c r="BC444" s="23">
        <f>_xlfn.AGGREGATE(9,6,CH444:CS444)-_xlfn.AGGREGATE(9,6,BV444:CG444)+12</f>
        <v>217</v>
      </c>
      <c r="BD444" s="4" t="s">
        <v>23</v>
      </c>
      <c r="BE444" s="3" t="s">
        <v>1374</v>
      </c>
      <c r="BF444" s="118">
        <v>2.2000000000000002</v>
      </c>
      <c r="BG444" s="49" t="s">
        <v>1</v>
      </c>
      <c r="BH444" s="49" t="s">
        <v>1</v>
      </c>
      <c r="BJ444" s="70" t="s">
        <v>1287</v>
      </c>
      <c r="BK444" s="57" t="s">
        <v>1287</v>
      </c>
      <c r="BL444" s="57" t="s">
        <v>1287</v>
      </c>
      <c r="BM444" s="57" t="s">
        <v>1287</v>
      </c>
      <c r="BN444" s="57" t="s">
        <v>1287</v>
      </c>
      <c r="BO444" s="57" t="s">
        <v>1287</v>
      </c>
      <c r="BP444" s="57" t="s">
        <v>1287</v>
      </c>
      <c r="BQ444" s="57" t="s">
        <v>1287</v>
      </c>
      <c r="BR444" s="57" t="s">
        <v>1287</v>
      </c>
      <c r="BS444" s="57" t="s">
        <v>1287</v>
      </c>
      <c r="BT444" s="57" t="s">
        <v>1287</v>
      </c>
      <c r="BU444" s="57" t="s">
        <v>1287</v>
      </c>
      <c r="BV444" s="70">
        <f>E444</f>
        <v>578</v>
      </c>
      <c r="BW444" s="71">
        <f>I444</f>
        <v>607</v>
      </c>
      <c r="BX444" s="72">
        <f>M444</f>
        <v>614</v>
      </c>
      <c r="BY444" s="71" t="str">
        <f>Q444</f>
        <v>-</v>
      </c>
      <c r="BZ444" s="72">
        <f>U444</f>
        <v>640</v>
      </c>
      <c r="CA444" s="71" t="str">
        <f>Y444</f>
        <v>-</v>
      </c>
      <c r="CB444" s="72">
        <f>AC444</f>
        <v>849</v>
      </c>
      <c r="CC444" s="71">
        <f>AG444</f>
        <v>893</v>
      </c>
      <c r="CD444" s="72">
        <f>AK444</f>
        <v>896</v>
      </c>
      <c r="CE444" s="71">
        <f>AO444</f>
        <v>929</v>
      </c>
      <c r="CF444" s="72">
        <f>AS444</f>
        <v>957</v>
      </c>
      <c r="CG444" s="71">
        <f>AW444</f>
        <v>989</v>
      </c>
      <c r="CH444" s="70">
        <f>G444</f>
        <v>604</v>
      </c>
      <c r="CI444" s="71">
        <f>K444</f>
        <v>613</v>
      </c>
      <c r="CJ444" s="72">
        <f>O444</f>
        <v>636</v>
      </c>
      <c r="CK444" s="72" t="str">
        <f>S444</f>
        <v>-</v>
      </c>
      <c r="CL444" s="72">
        <f>W444</f>
        <v>678</v>
      </c>
      <c r="CM444" s="72" t="str">
        <f>AA444</f>
        <v>-</v>
      </c>
      <c r="CN444" s="72">
        <f>AE444</f>
        <v>875</v>
      </c>
      <c r="CO444" s="72">
        <f>AI444</f>
        <v>895</v>
      </c>
      <c r="CP444" s="72">
        <f>AM444</f>
        <v>921</v>
      </c>
      <c r="CQ444" s="72">
        <f>AQ444</f>
        <v>955</v>
      </c>
      <c r="CR444" s="72">
        <f>AU444</f>
        <v>988</v>
      </c>
      <c r="CS444" s="72">
        <f>AY444</f>
        <v>992</v>
      </c>
      <c r="CT444" s="23">
        <f>M444-K444</f>
        <v>1</v>
      </c>
      <c r="AMP444" s="3"/>
    </row>
    <row r="445" spans="1:1030" s="12" customFormat="1" x14ac:dyDescent="0.2">
      <c r="A445" s="9" t="str">
        <f>CONCATENATE(B445,"_",C445)</f>
        <v>grm5_human_6N51</v>
      </c>
      <c r="B445" s="9" t="s">
        <v>41</v>
      </c>
      <c r="C445" s="9" t="s">
        <v>1552</v>
      </c>
      <c r="D445" s="9" t="str">
        <f>IFERROR(MID(VLOOKUP($B445,Seqs!$A:$B,2,0),E445,1),"")</f>
        <v>D</v>
      </c>
      <c r="E445" s="9">
        <v>577</v>
      </c>
      <c r="F445" s="9" t="str">
        <f>IFERROR(MID(VLOOKUP($B445,Seqs!$A:$B,2,0),G445,1),"")</f>
        <v>I</v>
      </c>
      <c r="G445" s="9">
        <v>602</v>
      </c>
      <c r="H445" s="9" t="str">
        <f>IFERROR(MID(VLOOKUP($B445,Seqs!$A:$B,2,0),I445,1),"")</f>
        <v>T</v>
      </c>
      <c r="I445" s="109">
        <v>607</v>
      </c>
      <c r="J445" s="9" t="str">
        <f>IFERROR(MID(VLOOKUP($B445,Seqs!$A:$B,2,0),K445,1),"")</f>
        <v>S</v>
      </c>
      <c r="K445" s="109">
        <v>613</v>
      </c>
      <c r="L445" s="9" t="str">
        <f>IFERROR(MID(VLOOKUP($B445,Seqs!$A:$B,2,0),M445,1),"")</f>
        <v>S</v>
      </c>
      <c r="M445" s="9">
        <v>614</v>
      </c>
      <c r="N445" s="9" t="str">
        <f>IFERROR(MID(VLOOKUP($B445,Seqs!$A:$B,2,0),O445,1),"")</f>
        <v>C</v>
      </c>
      <c r="O445" s="9">
        <v>634</v>
      </c>
      <c r="P445" s="9" t="str">
        <f>IFERROR(MID(VLOOKUP($B445,Seqs!$A:$B,2,0),Q445,1),"")</f>
        <v/>
      </c>
      <c r="Q445" s="9" t="s">
        <v>23</v>
      </c>
      <c r="R445" s="9" t="str">
        <f>IFERROR(MID(VLOOKUP($B445,Seqs!$A:$B,2,0),S445,1),"")</f>
        <v/>
      </c>
      <c r="S445" s="9" t="s">
        <v>23</v>
      </c>
      <c r="T445" s="9" t="str">
        <f>IFERROR(MID(VLOOKUP($B445,Seqs!$A:$B,2,0),U445,1),"")</f>
        <v>K</v>
      </c>
      <c r="U445" s="9">
        <v>640</v>
      </c>
      <c r="V445" s="9" t="str">
        <f>IFERROR(MID(VLOOKUP($B445,Seqs!$A:$B,2,0),W445,1),"")</f>
        <v>A</v>
      </c>
      <c r="W445" s="9">
        <v>674</v>
      </c>
      <c r="X445" s="9" t="str">
        <f>IFERROR(MID(VLOOKUP($B445,Seqs!$A:$B,2,0),Y445,1),"")</f>
        <v/>
      </c>
      <c r="Y445" s="9" t="s">
        <v>23</v>
      </c>
      <c r="Z445" s="9" t="str">
        <f>IFERROR(MID(VLOOKUP($B445,Seqs!$A:$B,2,0),AA445,1),"")</f>
        <v/>
      </c>
      <c r="AA445" s="9" t="s">
        <v>23</v>
      </c>
      <c r="AB445" s="9" t="str">
        <f>IFERROR(MID(VLOOKUP($B445,Seqs!$A:$B,2,0),AC445,1),"")</f>
        <v>S</v>
      </c>
      <c r="AC445" s="9">
        <v>689</v>
      </c>
      <c r="AD445" s="9" t="str">
        <f>IFERROR(MID(VLOOKUP($B445,Seqs!$A:$B,2,0),AE445,1),"")</f>
        <v>E</v>
      </c>
      <c r="AE445" s="9">
        <v>715</v>
      </c>
      <c r="AF445" s="9" t="str">
        <f>IFERROR(MID(VLOOKUP($B445,Seqs!$A:$B,2,0),AG445,1),"")</f>
        <v>C</v>
      </c>
      <c r="AG445" s="9">
        <v>733</v>
      </c>
      <c r="AH445" s="9" t="str">
        <f>IFERROR(MID(VLOOKUP($B445,Seqs!$A:$B,2,0),AI445,1),"")</f>
        <v>T</v>
      </c>
      <c r="AI445" s="9">
        <v>735</v>
      </c>
      <c r="AJ445" s="9" t="str">
        <f>IFERROR(MID(VLOOKUP($B445,Seqs!$A:$B,2,0),AK445,1),"")</f>
        <v>N</v>
      </c>
      <c r="AK445" s="9">
        <v>737</v>
      </c>
      <c r="AL445" s="9" t="str">
        <f>IFERROR(MID(VLOOKUP($B445,Seqs!$A:$B,2,0),AM445,1),"")</f>
        <v>A</v>
      </c>
      <c r="AM445" s="9">
        <v>758</v>
      </c>
      <c r="AN445" s="9" t="str">
        <f>IFERROR(MID(VLOOKUP($B445,Seqs!$A:$B,2,0),AO445,1),"")</f>
        <v>N</v>
      </c>
      <c r="AO445" s="9">
        <v>769</v>
      </c>
      <c r="AP445" s="9" t="str">
        <f>IFERROR(MID(VLOOKUP($B445,Seqs!$A:$B,2,0),AQ445,1),"")</f>
        <v>G</v>
      </c>
      <c r="AQ445" s="9">
        <v>794</v>
      </c>
      <c r="AR445" s="9" t="str">
        <f>IFERROR(MID(VLOOKUP($B445,Seqs!$A:$B,2,0),AS445,1),"")</f>
        <v>I</v>
      </c>
      <c r="AS445" s="9">
        <v>799</v>
      </c>
      <c r="AT445" s="9" t="str">
        <f>IFERROR(MID(VLOOKUP($B445,Seqs!$A:$B,2,0),AU445,1),"")</f>
        <v>L</v>
      </c>
      <c r="AU445" s="9">
        <v>826</v>
      </c>
      <c r="AV445" s="9" t="str">
        <f>IFERROR(MID(VLOOKUP($B445,Seqs!$A:$B,2,0),AW445,1),"")</f>
        <v/>
      </c>
      <c r="AW445" s="9" t="s">
        <v>23</v>
      </c>
      <c r="AX445" s="9" t="str">
        <f>IFERROR(MID(VLOOKUP($B445,Seqs!$A:$B,2,0),AY445,1),"")</f>
        <v/>
      </c>
      <c r="AY445" s="9" t="s">
        <v>23</v>
      </c>
      <c r="AZ445" s="110" t="str">
        <f>VLOOKUP(B445,Classification!A:D,2,0)</f>
        <v>C</v>
      </c>
      <c r="BA445" s="98" t="str">
        <f>VLOOKUP(B445,Classification!A:D,4,0)</f>
        <v>Metabotropicglutamate</v>
      </c>
      <c r="BB445" s="36" t="b">
        <f>AND(E445&lt;G445,OR(G445&lt;I445,I445="-"),OR(I445&lt;K445,I445="-"),OR(K445&lt;M445,K445="-"),M445&lt;O445,OR(O445&lt;Q445,Q445="-"),OR(Q445&lt;S445,Q445="-"),OR(S445&lt;U445,S445="-"),U445&lt;W445,OR(W445&lt;Y445,Y445="-"),OR(Y445&lt;AA445,Y445="-"),OR(AA445&lt;AC445,AA445="-"),AC445&lt;AE445,OR(AE445&lt;AG445,AG445="-"),OR(AG445&lt;AI445,AG445="-"),OR(AI445&lt;AK445,AI445="-"),AK445&lt;AM445,AM445&lt;AO445,AO445&lt;AQ445,AQ445&lt;AS445,AS445&lt;AU445,OR(AU445&lt;AW445,AW445="-"),OR(AW445&lt;AY445,AW445="-"))</f>
        <v>1</v>
      </c>
      <c r="BC445" s="109">
        <f>_xlfn.AGGREGATE(9,6,CH445:CS445)-_xlfn.AGGREGATE(9,6,BV445:CG445)+12</f>
        <v>198</v>
      </c>
      <c r="BD445" s="11" t="s">
        <v>23</v>
      </c>
      <c r="BE445" s="9" t="s">
        <v>1374</v>
      </c>
      <c r="BF445" s="119">
        <v>4</v>
      </c>
      <c r="BG445" s="51" t="s">
        <v>1281</v>
      </c>
      <c r="BH445" s="51" t="s">
        <v>1281</v>
      </c>
      <c r="BI445" s="9"/>
      <c r="BJ445" s="111" t="s">
        <v>1287</v>
      </c>
      <c r="BK445" s="112" t="s">
        <v>1287</v>
      </c>
      <c r="BL445" s="112" t="s">
        <v>1287</v>
      </c>
      <c r="BM445" s="112" t="s">
        <v>1287</v>
      </c>
      <c r="BN445" s="112" t="s">
        <v>1287</v>
      </c>
      <c r="BO445" s="112" t="s">
        <v>1287</v>
      </c>
      <c r="BP445" s="112" t="s">
        <v>1287</v>
      </c>
      <c r="BQ445" s="112" t="s">
        <v>1287</v>
      </c>
      <c r="BR445" s="112" t="s">
        <v>1287</v>
      </c>
      <c r="BS445" s="112" t="s">
        <v>1287</v>
      </c>
      <c r="BT445" s="112" t="s">
        <v>1287</v>
      </c>
      <c r="BU445" s="112" t="s">
        <v>1287</v>
      </c>
      <c r="BV445" s="111">
        <f>E445</f>
        <v>577</v>
      </c>
      <c r="BW445" s="113">
        <f>I445</f>
        <v>607</v>
      </c>
      <c r="BX445" s="114">
        <f>M445</f>
        <v>614</v>
      </c>
      <c r="BY445" s="113" t="str">
        <f>Q445</f>
        <v>-</v>
      </c>
      <c r="BZ445" s="114">
        <f>U445</f>
        <v>640</v>
      </c>
      <c r="CA445" s="113" t="str">
        <f>Y445</f>
        <v>-</v>
      </c>
      <c r="CB445" s="114">
        <f>AC445</f>
        <v>689</v>
      </c>
      <c r="CC445" s="113">
        <f>AG445</f>
        <v>733</v>
      </c>
      <c r="CD445" s="114">
        <f>AK445</f>
        <v>737</v>
      </c>
      <c r="CE445" s="113">
        <f>AO445</f>
        <v>769</v>
      </c>
      <c r="CF445" s="114">
        <f>AS445</f>
        <v>799</v>
      </c>
      <c r="CG445" s="113" t="str">
        <f>AW445</f>
        <v>-</v>
      </c>
      <c r="CH445" s="111">
        <f>G445</f>
        <v>602</v>
      </c>
      <c r="CI445" s="113">
        <f>K445</f>
        <v>613</v>
      </c>
      <c r="CJ445" s="114">
        <f>O445</f>
        <v>634</v>
      </c>
      <c r="CK445" s="114" t="str">
        <f>S445</f>
        <v>-</v>
      </c>
      <c r="CL445" s="114">
        <f>W445</f>
        <v>674</v>
      </c>
      <c r="CM445" s="114" t="str">
        <f>AA445</f>
        <v>-</v>
      </c>
      <c r="CN445" s="114">
        <f>AE445</f>
        <v>715</v>
      </c>
      <c r="CO445" s="114">
        <f>AI445</f>
        <v>735</v>
      </c>
      <c r="CP445" s="114">
        <f>AM445</f>
        <v>758</v>
      </c>
      <c r="CQ445" s="114">
        <f>AQ445</f>
        <v>794</v>
      </c>
      <c r="CR445" s="114">
        <f>AU445</f>
        <v>826</v>
      </c>
      <c r="CS445" s="114" t="str">
        <f>AY445</f>
        <v>-</v>
      </c>
      <c r="CT445" s="109">
        <f>M445-K445</f>
        <v>1</v>
      </c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9"/>
      <c r="IA445" s="9"/>
      <c r="IB445" s="9"/>
      <c r="IC445" s="9"/>
      <c r="ID445" s="9"/>
      <c r="IE445" s="9"/>
      <c r="IF445" s="9"/>
      <c r="IG445" s="9"/>
      <c r="IH445" s="9"/>
      <c r="II445" s="9"/>
      <c r="IJ445" s="9"/>
      <c r="IK445" s="9"/>
      <c r="IL445" s="9"/>
      <c r="IM445" s="9"/>
      <c r="IN445" s="9"/>
      <c r="IO445" s="9"/>
      <c r="IP445" s="9"/>
      <c r="IQ445" s="9"/>
      <c r="IR445" s="9"/>
      <c r="IS445" s="9"/>
      <c r="IT445" s="9"/>
      <c r="IU445" s="9"/>
      <c r="IV445" s="9"/>
      <c r="IW445" s="9"/>
      <c r="IX445" s="9"/>
      <c r="IY445" s="9"/>
      <c r="IZ445" s="9"/>
      <c r="JA445" s="9"/>
      <c r="JB445" s="9"/>
      <c r="JC445" s="9"/>
      <c r="JD445" s="9"/>
      <c r="JE445" s="9"/>
      <c r="JF445" s="9"/>
      <c r="JG445" s="9"/>
      <c r="JH445" s="9"/>
      <c r="JI445" s="9"/>
      <c r="JJ445" s="9"/>
      <c r="JK445" s="9"/>
      <c r="JL445" s="9"/>
      <c r="JM445" s="9"/>
      <c r="JN445" s="9"/>
      <c r="JO445" s="9"/>
      <c r="JP445" s="9"/>
      <c r="JQ445" s="9"/>
      <c r="JR445" s="9"/>
      <c r="JS445" s="9"/>
      <c r="JT445" s="9"/>
      <c r="JU445" s="9"/>
      <c r="JV445" s="9"/>
      <c r="JW445" s="9"/>
      <c r="JX445" s="9"/>
      <c r="JY445" s="9"/>
      <c r="JZ445" s="9"/>
      <c r="KA445" s="9"/>
      <c r="KB445" s="9"/>
      <c r="KC445" s="9"/>
      <c r="KD445" s="9"/>
      <c r="KE445" s="9"/>
      <c r="KF445" s="9"/>
      <c r="KG445" s="9"/>
      <c r="KH445" s="9"/>
      <c r="KI445" s="9"/>
      <c r="KJ445" s="9"/>
      <c r="KK445" s="9"/>
      <c r="KL445" s="9"/>
      <c r="KM445" s="9"/>
      <c r="KN445" s="9"/>
      <c r="KO445" s="9"/>
      <c r="KP445" s="9"/>
      <c r="KQ445" s="9"/>
      <c r="KR445" s="9"/>
      <c r="KS445" s="9"/>
      <c r="KT445" s="9"/>
      <c r="KU445" s="9"/>
      <c r="KV445" s="9"/>
      <c r="KW445" s="9"/>
      <c r="KX445" s="9"/>
      <c r="KY445" s="9"/>
      <c r="KZ445" s="9"/>
      <c r="LA445" s="9"/>
      <c r="LB445" s="9"/>
      <c r="LC445" s="9"/>
      <c r="LD445" s="9"/>
      <c r="LE445" s="9"/>
      <c r="LF445" s="9"/>
      <c r="LG445" s="9"/>
      <c r="LH445" s="9"/>
      <c r="LI445" s="9"/>
      <c r="LJ445" s="9"/>
      <c r="LK445" s="9"/>
      <c r="LL445" s="9"/>
      <c r="LM445" s="9"/>
      <c r="LN445" s="9"/>
      <c r="LO445" s="9"/>
      <c r="LP445" s="9"/>
      <c r="LQ445" s="9"/>
      <c r="LR445" s="9"/>
      <c r="LS445" s="9"/>
      <c r="LT445" s="9"/>
      <c r="LU445" s="9"/>
      <c r="LV445" s="9"/>
      <c r="LW445" s="9"/>
      <c r="LX445" s="9"/>
      <c r="LY445" s="9"/>
      <c r="LZ445" s="9"/>
      <c r="MA445" s="9"/>
      <c r="MB445" s="9"/>
      <c r="MC445" s="9"/>
      <c r="MD445" s="9"/>
      <c r="ME445" s="9"/>
      <c r="MF445" s="9"/>
      <c r="MG445" s="9"/>
      <c r="MH445" s="9"/>
      <c r="MI445" s="9"/>
      <c r="MJ445" s="9"/>
      <c r="MK445" s="9"/>
      <c r="ML445" s="9"/>
      <c r="MM445" s="9"/>
      <c r="MN445" s="9"/>
      <c r="MO445" s="9"/>
      <c r="MP445" s="9"/>
      <c r="MQ445" s="9"/>
      <c r="MR445" s="9"/>
      <c r="MS445" s="9"/>
      <c r="MT445" s="9"/>
      <c r="MU445" s="9"/>
      <c r="MV445" s="9"/>
      <c r="MW445" s="9"/>
      <c r="MX445" s="9"/>
      <c r="MY445" s="9"/>
      <c r="MZ445" s="9"/>
      <c r="NA445" s="9"/>
      <c r="NB445" s="9"/>
      <c r="NC445" s="9"/>
      <c r="ND445" s="9"/>
      <c r="NE445" s="9"/>
      <c r="NF445" s="9"/>
      <c r="NG445" s="9"/>
      <c r="NH445" s="9"/>
      <c r="NI445" s="9"/>
      <c r="NJ445" s="9"/>
      <c r="NK445" s="9"/>
      <c r="NL445" s="9"/>
      <c r="NM445" s="9"/>
      <c r="NN445" s="9"/>
      <c r="NO445" s="9"/>
      <c r="NP445" s="9"/>
      <c r="NQ445" s="9"/>
      <c r="NR445" s="9"/>
      <c r="NS445" s="9"/>
      <c r="NT445" s="9"/>
      <c r="NU445" s="9"/>
      <c r="NV445" s="9"/>
      <c r="NW445" s="9"/>
      <c r="NX445" s="9"/>
      <c r="NY445" s="9"/>
      <c r="NZ445" s="9"/>
      <c r="OA445" s="9"/>
      <c r="OB445" s="9"/>
      <c r="OC445" s="9"/>
      <c r="OD445" s="9"/>
      <c r="OE445" s="9"/>
      <c r="OF445" s="9"/>
      <c r="OG445" s="9"/>
      <c r="OH445" s="9"/>
      <c r="OI445" s="9"/>
      <c r="OJ445" s="9"/>
      <c r="OK445" s="9"/>
      <c r="OL445" s="9"/>
      <c r="OM445" s="9"/>
      <c r="ON445" s="9"/>
      <c r="OO445" s="9"/>
      <c r="OP445" s="9"/>
      <c r="OQ445" s="9"/>
      <c r="OR445" s="9"/>
      <c r="OS445" s="9"/>
      <c r="OT445" s="9"/>
      <c r="OU445" s="9"/>
      <c r="OV445" s="9"/>
      <c r="OW445" s="9"/>
      <c r="OX445" s="9"/>
      <c r="OY445" s="9"/>
      <c r="OZ445" s="9"/>
      <c r="PA445" s="9"/>
      <c r="PB445" s="9"/>
      <c r="PC445" s="9"/>
      <c r="PD445" s="9"/>
      <c r="PE445" s="9"/>
      <c r="PF445" s="9"/>
      <c r="PG445" s="9"/>
      <c r="PH445" s="9"/>
      <c r="PI445" s="9"/>
      <c r="PJ445" s="9"/>
      <c r="PK445" s="9"/>
      <c r="PL445" s="9"/>
      <c r="PM445" s="9"/>
      <c r="PN445" s="9"/>
      <c r="PO445" s="9"/>
      <c r="PP445" s="9"/>
      <c r="PQ445" s="9"/>
      <c r="PR445" s="9"/>
      <c r="PS445" s="9"/>
      <c r="PT445" s="9"/>
      <c r="PU445" s="9"/>
      <c r="PV445" s="9"/>
      <c r="PW445" s="9"/>
      <c r="PX445" s="9"/>
      <c r="PY445" s="9"/>
      <c r="PZ445" s="9"/>
      <c r="QA445" s="9"/>
      <c r="QB445" s="9"/>
      <c r="QC445" s="9"/>
      <c r="QD445" s="9"/>
      <c r="QE445" s="9"/>
      <c r="QF445" s="9"/>
      <c r="QG445" s="9"/>
      <c r="QH445" s="9"/>
      <c r="QI445" s="9"/>
      <c r="QJ445" s="9"/>
      <c r="QK445" s="9"/>
      <c r="QL445" s="9"/>
      <c r="QM445" s="9"/>
      <c r="QN445" s="9"/>
      <c r="QO445" s="9"/>
      <c r="QP445" s="9"/>
      <c r="QQ445" s="9"/>
      <c r="QR445" s="9"/>
      <c r="QS445" s="9"/>
      <c r="QT445" s="9"/>
      <c r="QU445" s="9"/>
      <c r="QV445" s="9"/>
      <c r="QW445" s="9"/>
      <c r="QX445" s="9"/>
      <c r="QY445" s="9"/>
      <c r="QZ445" s="9"/>
      <c r="RA445" s="9"/>
      <c r="RB445" s="9"/>
      <c r="RC445" s="9"/>
      <c r="RD445" s="9"/>
      <c r="RE445" s="9"/>
      <c r="RF445" s="9"/>
      <c r="RG445" s="9"/>
      <c r="RH445" s="9"/>
      <c r="RI445" s="9"/>
      <c r="RJ445" s="9"/>
      <c r="RK445" s="9"/>
      <c r="RL445" s="9"/>
      <c r="RM445" s="9"/>
      <c r="RN445" s="9"/>
      <c r="RO445" s="9"/>
      <c r="RP445" s="9"/>
      <c r="RQ445" s="9"/>
      <c r="RR445" s="9"/>
      <c r="RS445" s="9"/>
      <c r="RT445" s="9"/>
      <c r="RU445" s="9"/>
      <c r="RV445" s="9"/>
      <c r="RW445" s="9"/>
      <c r="RX445" s="9"/>
      <c r="RY445" s="9"/>
      <c r="RZ445" s="9"/>
      <c r="SA445" s="9"/>
      <c r="SB445" s="9"/>
      <c r="SC445" s="9"/>
      <c r="SD445" s="9"/>
      <c r="SE445" s="9"/>
      <c r="SF445" s="9"/>
      <c r="SG445" s="9"/>
      <c r="SH445" s="9"/>
      <c r="SI445" s="9"/>
      <c r="SJ445" s="9"/>
      <c r="SK445" s="9"/>
      <c r="SL445" s="9"/>
      <c r="SM445" s="9"/>
      <c r="SN445" s="9"/>
      <c r="SO445" s="9"/>
      <c r="SP445" s="9"/>
      <c r="SQ445" s="9"/>
      <c r="SR445" s="9"/>
      <c r="SS445" s="9"/>
      <c r="ST445" s="9"/>
      <c r="SU445" s="9"/>
      <c r="SV445" s="9"/>
      <c r="SW445" s="9"/>
      <c r="SX445" s="9"/>
      <c r="SY445" s="9"/>
      <c r="SZ445" s="9"/>
      <c r="TA445" s="9"/>
      <c r="TB445" s="9"/>
      <c r="TC445" s="9"/>
      <c r="TD445" s="9"/>
      <c r="TE445" s="9"/>
      <c r="TF445" s="9"/>
      <c r="TG445" s="9"/>
      <c r="TH445" s="9"/>
      <c r="TI445" s="9"/>
      <c r="TJ445" s="9"/>
      <c r="TK445" s="9"/>
      <c r="TL445" s="9"/>
      <c r="TM445" s="9"/>
      <c r="TN445" s="9"/>
      <c r="TO445" s="9"/>
      <c r="TP445" s="9"/>
      <c r="TQ445" s="9"/>
      <c r="TR445" s="9"/>
      <c r="TS445" s="9"/>
      <c r="TT445" s="9"/>
      <c r="TU445" s="9"/>
      <c r="TV445" s="9"/>
      <c r="TW445" s="9"/>
      <c r="TX445" s="9"/>
      <c r="TY445" s="9"/>
      <c r="TZ445" s="9"/>
      <c r="UA445" s="9"/>
      <c r="UB445" s="9"/>
      <c r="UC445" s="9"/>
      <c r="UD445" s="9"/>
      <c r="UE445" s="9"/>
      <c r="UF445" s="9"/>
      <c r="UG445" s="9"/>
      <c r="UH445" s="9"/>
      <c r="UI445" s="9"/>
      <c r="UJ445" s="9"/>
      <c r="UK445" s="9"/>
      <c r="UL445" s="9"/>
      <c r="UM445" s="9"/>
      <c r="UN445" s="9"/>
      <c r="UO445" s="9"/>
      <c r="UP445" s="9"/>
      <c r="UQ445" s="9"/>
      <c r="UR445" s="9"/>
      <c r="US445" s="9"/>
      <c r="UT445" s="9"/>
      <c r="UU445" s="9"/>
      <c r="UV445" s="9"/>
      <c r="UW445" s="9"/>
      <c r="UX445" s="9"/>
      <c r="UY445" s="9"/>
      <c r="UZ445" s="9"/>
      <c r="VA445" s="9"/>
      <c r="VB445" s="9"/>
      <c r="VC445" s="9"/>
      <c r="VD445" s="9"/>
      <c r="VE445" s="9"/>
      <c r="VF445" s="9"/>
      <c r="VG445" s="9"/>
      <c r="VH445" s="9"/>
      <c r="VI445" s="9"/>
      <c r="VJ445" s="9"/>
      <c r="VK445" s="9"/>
      <c r="VL445" s="9"/>
      <c r="VM445" s="9"/>
      <c r="VN445" s="9"/>
      <c r="VO445" s="9"/>
      <c r="VP445" s="9"/>
      <c r="VQ445" s="9"/>
      <c r="VR445" s="9"/>
      <c r="VS445" s="9"/>
      <c r="VT445" s="9"/>
      <c r="VU445" s="9"/>
      <c r="VV445" s="9"/>
      <c r="VW445" s="9"/>
      <c r="VX445" s="9"/>
      <c r="VY445" s="9"/>
      <c r="VZ445" s="9"/>
      <c r="WA445" s="9"/>
      <c r="WB445" s="9"/>
      <c r="WC445" s="9"/>
      <c r="WD445" s="9"/>
      <c r="WE445" s="9"/>
      <c r="WF445" s="9"/>
      <c r="WG445" s="9"/>
      <c r="WH445" s="9"/>
      <c r="WI445" s="9"/>
      <c r="WJ445" s="9"/>
      <c r="WK445" s="9"/>
      <c r="WL445" s="9"/>
      <c r="WM445" s="9"/>
      <c r="WN445" s="9"/>
      <c r="WO445" s="9"/>
      <c r="WP445" s="9"/>
      <c r="WQ445" s="9"/>
      <c r="WR445" s="9"/>
      <c r="WS445" s="9"/>
      <c r="WT445" s="9"/>
      <c r="WU445" s="9"/>
      <c r="WV445" s="9"/>
      <c r="WW445" s="9"/>
      <c r="WX445" s="9"/>
      <c r="WY445" s="9"/>
      <c r="WZ445" s="9"/>
      <c r="XA445" s="9"/>
      <c r="XB445" s="9"/>
      <c r="XC445" s="9"/>
      <c r="XD445" s="9"/>
      <c r="XE445" s="9"/>
      <c r="XF445" s="9"/>
      <c r="XG445" s="9"/>
      <c r="XH445" s="9"/>
      <c r="XI445" s="9"/>
      <c r="XJ445" s="9"/>
      <c r="XK445" s="9"/>
      <c r="XL445" s="9"/>
      <c r="XM445" s="9"/>
      <c r="XN445" s="9"/>
      <c r="XO445" s="9"/>
      <c r="XP445" s="9"/>
      <c r="XQ445" s="9"/>
      <c r="XR445" s="9"/>
      <c r="XS445" s="9"/>
      <c r="XT445" s="9"/>
      <c r="XU445" s="9"/>
      <c r="XV445" s="9"/>
      <c r="XW445" s="9"/>
      <c r="XX445" s="9"/>
      <c r="XY445" s="9"/>
      <c r="XZ445" s="9"/>
      <c r="YA445" s="9"/>
      <c r="YB445" s="9"/>
      <c r="YC445" s="9"/>
      <c r="YD445" s="9"/>
      <c r="YE445" s="9"/>
      <c r="YF445" s="9"/>
      <c r="YG445" s="9"/>
      <c r="YH445" s="9"/>
      <c r="YI445" s="9"/>
      <c r="YJ445" s="9"/>
      <c r="YK445" s="9"/>
      <c r="YL445" s="9"/>
      <c r="YM445" s="9"/>
      <c r="YN445" s="9"/>
      <c r="YO445" s="9"/>
      <c r="YP445" s="9"/>
      <c r="YQ445" s="9"/>
      <c r="YR445" s="9"/>
      <c r="YS445" s="9"/>
      <c r="YT445" s="9"/>
      <c r="YU445" s="9"/>
      <c r="YV445" s="9"/>
      <c r="YW445" s="9"/>
      <c r="YX445" s="9"/>
      <c r="YY445" s="9"/>
      <c r="YZ445" s="9"/>
      <c r="ZA445" s="9"/>
      <c r="ZB445" s="9"/>
      <c r="ZC445" s="9"/>
      <c r="ZD445" s="9"/>
      <c r="ZE445" s="9"/>
      <c r="ZF445" s="9"/>
      <c r="ZG445" s="9"/>
      <c r="ZH445" s="9"/>
      <c r="ZI445" s="9"/>
      <c r="ZJ445" s="9"/>
      <c r="ZK445" s="9"/>
      <c r="ZL445" s="9"/>
      <c r="ZM445" s="9"/>
      <c r="ZN445" s="9"/>
      <c r="ZO445" s="9"/>
      <c r="ZP445" s="9"/>
      <c r="ZQ445" s="9"/>
      <c r="ZR445" s="9"/>
      <c r="ZS445" s="9"/>
      <c r="ZT445" s="9"/>
      <c r="ZU445" s="9"/>
      <c r="ZV445" s="9"/>
      <c r="ZW445" s="9"/>
      <c r="ZX445" s="9"/>
      <c r="ZY445" s="9"/>
      <c r="ZZ445" s="9"/>
      <c r="AAA445" s="9"/>
      <c r="AAB445" s="9"/>
      <c r="AAC445" s="9"/>
      <c r="AAD445" s="9"/>
      <c r="AAE445" s="9"/>
      <c r="AAF445" s="9"/>
      <c r="AAG445" s="9"/>
      <c r="AAH445" s="9"/>
      <c r="AAI445" s="9"/>
      <c r="AAJ445" s="9"/>
      <c r="AAK445" s="9"/>
      <c r="AAL445" s="9"/>
      <c r="AAM445" s="9"/>
      <c r="AAN445" s="9"/>
      <c r="AAO445" s="9"/>
      <c r="AAP445" s="9"/>
      <c r="AAQ445" s="9"/>
      <c r="AAR445" s="9"/>
      <c r="AAS445" s="9"/>
      <c r="AAT445" s="9"/>
      <c r="AAU445" s="9"/>
      <c r="AAV445" s="9"/>
      <c r="AAW445" s="9"/>
      <c r="AAX445" s="9"/>
      <c r="AAY445" s="9"/>
      <c r="AAZ445" s="9"/>
      <c r="ABA445" s="9"/>
      <c r="ABB445" s="9"/>
      <c r="ABC445" s="9"/>
      <c r="ABD445" s="9"/>
      <c r="ABE445" s="9"/>
      <c r="ABF445" s="9"/>
      <c r="ABG445" s="9"/>
      <c r="ABH445" s="9"/>
      <c r="ABI445" s="9"/>
      <c r="ABJ445" s="9"/>
      <c r="ABK445" s="9"/>
      <c r="ABL445" s="9"/>
      <c r="ABM445" s="9"/>
      <c r="ABN445" s="9"/>
      <c r="ABO445" s="9"/>
      <c r="ABP445" s="9"/>
      <c r="ABQ445" s="9"/>
      <c r="ABR445" s="9"/>
      <c r="ABS445" s="9"/>
      <c r="ABT445" s="9"/>
      <c r="ABU445" s="9"/>
      <c r="ABV445" s="9"/>
      <c r="ABW445" s="9"/>
      <c r="ABX445" s="9"/>
      <c r="ABY445" s="9"/>
      <c r="ABZ445" s="9"/>
      <c r="ACA445" s="9"/>
      <c r="ACB445" s="9"/>
      <c r="ACC445" s="9"/>
      <c r="ACD445" s="9"/>
      <c r="ACE445" s="9"/>
      <c r="ACF445" s="9"/>
      <c r="ACG445" s="9"/>
      <c r="ACH445" s="9"/>
      <c r="ACI445" s="9"/>
      <c r="ACJ445" s="9"/>
      <c r="ACK445" s="9"/>
      <c r="ACL445" s="9"/>
      <c r="ACM445" s="9"/>
      <c r="ACN445" s="9"/>
      <c r="ACO445" s="9"/>
      <c r="ACP445" s="9"/>
      <c r="ACQ445" s="9"/>
      <c r="ACR445" s="9"/>
      <c r="ACS445" s="9"/>
      <c r="ACT445" s="9"/>
      <c r="ACU445" s="9"/>
      <c r="ACV445" s="9"/>
      <c r="ACW445" s="9"/>
      <c r="ACX445" s="9"/>
      <c r="ACY445" s="9"/>
      <c r="ACZ445" s="9"/>
      <c r="ADA445" s="9"/>
      <c r="ADB445" s="9"/>
      <c r="ADC445" s="9"/>
      <c r="ADD445" s="9"/>
      <c r="ADE445" s="9"/>
      <c r="ADF445" s="9"/>
      <c r="ADG445" s="9"/>
      <c r="ADH445" s="9"/>
      <c r="ADI445" s="9"/>
      <c r="ADJ445" s="9"/>
      <c r="ADK445" s="9"/>
      <c r="ADL445" s="9"/>
      <c r="ADM445" s="9"/>
      <c r="ADN445" s="9"/>
      <c r="ADO445" s="9"/>
      <c r="ADP445" s="9"/>
      <c r="ADQ445" s="9"/>
      <c r="ADR445" s="9"/>
      <c r="ADS445" s="9"/>
      <c r="ADT445" s="9"/>
      <c r="ADU445" s="9"/>
      <c r="ADV445" s="9"/>
      <c r="ADW445" s="9"/>
      <c r="ADX445" s="9"/>
      <c r="ADY445" s="9"/>
      <c r="ADZ445" s="9"/>
      <c r="AEA445" s="9"/>
      <c r="AEB445" s="9"/>
      <c r="AEC445" s="9"/>
      <c r="AED445" s="9"/>
      <c r="AEE445" s="9"/>
      <c r="AEF445" s="9"/>
      <c r="AEG445" s="9"/>
      <c r="AEH445" s="9"/>
      <c r="AEI445" s="9"/>
      <c r="AEJ445" s="9"/>
      <c r="AEK445" s="9"/>
      <c r="AEL445" s="9"/>
      <c r="AEM445" s="9"/>
      <c r="AEN445" s="9"/>
      <c r="AEO445" s="9"/>
      <c r="AEP445" s="9"/>
      <c r="AEQ445" s="9"/>
      <c r="AER445" s="9"/>
      <c r="AES445" s="9"/>
      <c r="AET445" s="9"/>
      <c r="AEU445" s="9"/>
      <c r="AEV445" s="9"/>
      <c r="AEW445" s="9"/>
      <c r="AEX445" s="9"/>
      <c r="AEY445" s="9"/>
      <c r="AEZ445" s="9"/>
      <c r="AFA445" s="9"/>
      <c r="AFB445" s="9"/>
      <c r="AFC445" s="9"/>
      <c r="AFD445" s="9"/>
      <c r="AFE445" s="9"/>
      <c r="AFF445" s="9"/>
      <c r="AFG445" s="9"/>
      <c r="AFH445" s="9"/>
      <c r="AFI445" s="9"/>
      <c r="AFJ445" s="9"/>
      <c r="AFK445" s="9"/>
      <c r="AFL445" s="9"/>
      <c r="AFM445" s="9"/>
      <c r="AFN445" s="9"/>
      <c r="AFO445" s="9"/>
      <c r="AFP445" s="9"/>
      <c r="AFQ445" s="9"/>
      <c r="AFR445" s="9"/>
      <c r="AFS445" s="9"/>
      <c r="AFT445" s="9"/>
      <c r="AFU445" s="9"/>
      <c r="AFV445" s="9"/>
      <c r="AFW445" s="9"/>
      <c r="AFX445" s="9"/>
      <c r="AFY445" s="9"/>
      <c r="AFZ445" s="9"/>
      <c r="AGA445" s="9"/>
      <c r="AGB445" s="9"/>
      <c r="AGC445" s="9"/>
      <c r="AGD445" s="9"/>
      <c r="AGE445" s="9"/>
      <c r="AGF445" s="9"/>
      <c r="AGG445" s="9"/>
      <c r="AGH445" s="9"/>
      <c r="AGI445" s="9"/>
      <c r="AGJ445" s="9"/>
      <c r="AGK445" s="9"/>
      <c r="AGL445" s="9"/>
      <c r="AGM445" s="9"/>
      <c r="AGN445" s="9"/>
      <c r="AGO445" s="9"/>
      <c r="AGP445" s="9"/>
      <c r="AGQ445" s="9"/>
      <c r="AGR445" s="9"/>
      <c r="AGS445" s="9"/>
      <c r="AGT445" s="9"/>
      <c r="AGU445" s="9"/>
      <c r="AGV445" s="9"/>
      <c r="AGW445" s="9"/>
      <c r="AGX445" s="9"/>
      <c r="AGY445" s="9"/>
      <c r="AGZ445" s="9"/>
      <c r="AHA445" s="9"/>
      <c r="AHB445" s="9"/>
      <c r="AHC445" s="9"/>
      <c r="AHD445" s="9"/>
      <c r="AHE445" s="9"/>
      <c r="AHF445" s="9"/>
      <c r="AHG445" s="9"/>
      <c r="AHH445" s="9"/>
      <c r="AHI445" s="9"/>
      <c r="AHJ445" s="9"/>
      <c r="AHK445" s="9"/>
      <c r="AHL445" s="9"/>
      <c r="AHM445" s="9"/>
      <c r="AHN445" s="9"/>
      <c r="AHO445" s="9"/>
      <c r="AHP445" s="9"/>
      <c r="AHQ445" s="9"/>
      <c r="AHR445" s="9"/>
      <c r="AHS445" s="9"/>
      <c r="AHT445" s="9"/>
      <c r="AHU445" s="9"/>
      <c r="AHV445" s="9"/>
      <c r="AHW445" s="9"/>
      <c r="AHX445" s="9"/>
      <c r="AHY445" s="9"/>
      <c r="AHZ445" s="9"/>
      <c r="AIA445" s="9"/>
      <c r="AIB445" s="9"/>
      <c r="AIC445" s="9"/>
      <c r="AID445" s="9"/>
      <c r="AIE445" s="9"/>
      <c r="AIF445" s="9"/>
      <c r="AIG445" s="9"/>
      <c r="AIH445" s="9"/>
      <c r="AII445" s="9"/>
      <c r="AIJ445" s="9"/>
      <c r="AIK445" s="9"/>
      <c r="AIL445" s="9"/>
      <c r="AIM445" s="9"/>
      <c r="AIN445" s="9"/>
      <c r="AIO445" s="9"/>
      <c r="AIP445" s="9"/>
      <c r="AIQ445" s="9"/>
      <c r="AIR445" s="9"/>
      <c r="AIS445" s="9"/>
      <c r="AIT445" s="9"/>
      <c r="AIU445" s="9"/>
      <c r="AIV445" s="9"/>
      <c r="AIW445" s="9"/>
      <c r="AIX445" s="9"/>
      <c r="AIY445" s="9"/>
      <c r="AIZ445" s="9"/>
      <c r="AJA445" s="9"/>
      <c r="AJB445" s="9"/>
      <c r="AJC445" s="9"/>
      <c r="AJD445" s="9"/>
      <c r="AJE445" s="9"/>
      <c r="AJF445" s="9"/>
      <c r="AJG445" s="9"/>
      <c r="AJH445" s="9"/>
      <c r="AJI445" s="9"/>
      <c r="AJJ445" s="9"/>
      <c r="AJK445" s="9"/>
      <c r="AJL445" s="9"/>
      <c r="AJM445" s="9"/>
      <c r="AJN445" s="9"/>
      <c r="AJO445" s="9"/>
      <c r="AJP445" s="9"/>
      <c r="AJQ445" s="9"/>
      <c r="AJR445" s="9"/>
      <c r="AJS445" s="9"/>
      <c r="AJT445" s="9"/>
      <c r="AJU445" s="9"/>
      <c r="AJV445" s="9"/>
      <c r="AJW445" s="9"/>
      <c r="AJX445" s="9"/>
      <c r="AJY445" s="9"/>
      <c r="AJZ445" s="9"/>
      <c r="AKA445" s="9"/>
      <c r="AKB445" s="9"/>
      <c r="AKC445" s="9"/>
      <c r="AKD445" s="9"/>
      <c r="AKE445" s="9"/>
      <c r="AKF445" s="9"/>
      <c r="AKG445" s="9"/>
      <c r="AKH445" s="9"/>
      <c r="AKI445" s="9"/>
      <c r="AKJ445" s="9"/>
      <c r="AKK445" s="9"/>
      <c r="AKL445" s="9"/>
      <c r="AKM445" s="9"/>
      <c r="AKN445" s="9"/>
      <c r="AKO445" s="9"/>
      <c r="AKP445" s="9"/>
      <c r="AKQ445" s="9"/>
      <c r="AKR445" s="9"/>
      <c r="AKS445" s="9"/>
      <c r="AKT445" s="9"/>
      <c r="AKU445" s="9"/>
      <c r="AKV445" s="9"/>
      <c r="AKW445" s="9"/>
      <c r="AKX445" s="9"/>
      <c r="AKY445" s="9"/>
      <c r="AKZ445" s="9"/>
      <c r="ALA445" s="9"/>
      <c r="ALB445" s="9"/>
      <c r="ALC445" s="9"/>
      <c r="ALD445" s="9"/>
      <c r="ALE445" s="9"/>
      <c r="ALF445" s="9"/>
      <c r="ALG445" s="9"/>
      <c r="ALH445" s="9"/>
      <c r="ALI445" s="9"/>
      <c r="ALJ445" s="9"/>
      <c r="ALK445" s="9"/>
      <c r="ALL445" s="9"/>
      <c r="ALM445" s="9"/>
      <c r="ALN445" s="9"/>
      <c r="ALO445" s="9"/>
      <c r="ALP445" s="9"/>
      <c r="ALQ445" s="9"/>
      <c r="ALR445" s="9"/>
      <c r="ALS445" s="9"/>
      <c r="ALT445" s="9"/>
      <c r="ALU445" s="9"/>
      <c r="ALV445" s="9"/>
      <c r="ALW445" s="9"/>
      <c r="ALX445" s="9"/>
      <c r="ALY445" s="9"/>
      <c r="ALZ445" s="9"/>
      <c r="AMA445" s="9"/>
      <c r="AMB445" s="9"/>
      <c r="AMC445" s="9"/>
      <c r="AMD445" s="9"/>
      <c r="AME445" s="9"/>
      <c r="AMF445" s="9"/>
      <c r="AMG445" s="9"/>
      <c r="AMH445" s="9"/>
      <c r="AMI445" s="9"/>
      <c r="AMJ445" s="9"/>
      <c r="AMK445" s="9"/>
      <c r="AML445" s="9"/>
      <c r="AMM445" s="9"/>
      <c r="AMN445" s="9"/>
      <c r="AMO445" s="9"/>
      <c r="AMP445" s="9"/>
    </row>
    <row r="446" spans="1:1030" s="12" customFormat="1" x14ac:dyDescent="0.2">
      <c r="A446" s="9" t="str">
        <f>CONCATENATE(B446,"_",C446)</f>
        <v>grm5_human_6N52</v>
      </c>
      <c r="B446" s="9" t="s">
        <v>41</v>
      </c>
      <c r="C446" s="9" t="s">
        <v>1553</v>
      </c>
      <c r="D446" s="9" t="str">
        <f>IFERROR(MID(VLOOKUP($B446,Seqs!$A:$B,2,0),E446,1),"")</f>
        <v>P</v>
      </c>
      <c r="E446" s="9">
        <v>580</v>
      </c>
      <c r="F446" s="9" t="str">
        <f>IFERROR(MID(VLOOKUP($B446,Seqs!$A:$B,2,0),G446,1),"")</f>
        <v>T</v>
      </c>
      <c r="G446" s="9">
        <v>598</v>
      </c>
      <c r="H446" s="9" t="str">
        <f>IFERROR(MID(VLOOKUP($B446,Seqs!$A:$B,2,0),I446,1),"")</f>
        <v>T</v>
      </c>
      <c r="I446" s="109">
        <v>607</v>
      </c>
      <c r="J446" s="9" t="str">
        <f>IFERROR(MID(VLOOKUP($B446,Seqs!$A:$B,2,0),K446,1),"")</f>
        <v>S</v>
      </c>
      <c r="K446" s="109">
        <v>613</v>
      </c>
      <c r="L446" s="9" t="str">
        <f>IFERROR(MID(VLOOKUP($B446,Seqs!$A:$B,2,0),M446,1),"")</f>
        <v>S</v>
      </c>
      <c r="M446" s="9">
        <v>614</v>
      </c>
      <c r="N446" s="9" t="str">
        <f>IFERROR(MID(VLOOKUP($B446,Seqs!$A:$B,2,0),O446,1),"")</f>
        <v>I</v>
      </c>
      <c r="O446" s="9">
        <v>636</v>
      </c>
      <c r="P446" s="9" t="str">
        <f>IFERROR(MID(VLOOKUP($B446,Seqs!$A:$B,2,0),Q446,1),"")</f>
        <v/>
      </c>
      <c r="Q446" s="9" t="s">
        <v>23</v>
      </c>
      <c r="R446" s="9" t="str">
        <f>IFERROR(MID(VLOOKUP($B446,Seqs!$A:$B,2,0),S446,1),"")</f>
        <v/>
      </c>
      <c r="S446" s="9" t="s">
        <v>23</v>
      </c>
      <c r="T446" s="9" t="str">
        <f>IFERROR(MID(VLOOKUP($B446,Seqs!$A:$B,2,0),U446,1),"")</f>
        <v>K</v>
      </c>
      <c r="U446" s="9">
        <v>640</v>
      </c>
      <c r="V446" s="9" t="str">
        <f>IFERROR(MID(VLOOKUP($B446,Seqs!$A:$B,2,0),W446,1),"")</f>
        <v>I</v>
      </c>
      <c r="W446" s="9">
        <v>669</v>
      </c>
      <c r="X446" s="9" t="str">
        <f>IFERROR(MID(VLOOKUP($B446,Seqs!$A:$B,2,0),Y446,1),"")</f>
        <v/>
      </c>
      <c r="Y446" s="9" t="s">
        <v>23</v>
      </c>
      <c r="Z446" s="9" t="str">
        <f>IFERROR(MID(VLOOKUP($B446,Seqs!$A:$B,2,0),AA446,1),"")</f>
        <v/>
      </c>
      <c r="AA446" s="9" t="s">
        <v>23</v>
      </c>
      <c r="AB446" s="9" t="str">
        <f>IFERROR(MID(VLOOKUP($B446,Seqs!$A:$B,2,0),AC446,1),"")</f>
        <v>A</v>
      </c>
      <c r="AC446" s="9">
        <v>692</v>
      </c>
      <c r="AD446" s="9" t="str">
        <f>IFERROR(MID(VLOOKUP($B446,Seqs!$A:$B,2,0),AE446,1),"")</f>
        <v>E</v>
      </c>
      <c r="AE446" s="9">
        <v>715</v>
      </c>
      <c r="AF446" s="9" t="str">
        <f>IFERROR(MID(VLOOKUP($B446,Seqs!$A:$B,2,0),AG446,1),"")</f>
        <v>C</v>
      </c>
      <c r="AG446" s="9">
        <v>733</v>
      </c>
      <c r="AH446" s="9" t="str">
        <f>IFERROR(MID(VLOOKUP($B446,Seqs!$A:$B,2,0),AI446,1),"")</f>
        <v>T</v>
      </c>
      <c r="AI446" s="9">
        <v>735</v>
      </c>
      <c r="AJ446" s="9" t="str">
        <f>IFERROR(MID(VLOOKUP($B446,Seqs!$A:$B,2,0),AK446,1),"")</f>
        <v>T</v>
      </c>
      <c r="AK446" s="9">
        <v>736</v>
      </c>
      <c r="AL446" s="9" t="str">
        <f>IFERROR(MID(VLOOKUP($B446,Seqs!$A:$B,2,0),AM446,1),"")</f>
        <v>T</v>
      </c>
      <c r="AM446" s="9">
        <v>761</v>
      </c>
      <c r="AN446" s="9" t="str">
        <f>IFERROR(MID(VLOOKUP($B446,Seqs!$A:$B,2,0),AO446,1),"")</f>
        <v>E</v>
      </c>
      <c r="AO446" s="9">
        <v>770</v>
      </c>
      <c r="AP446" s="9" t="str">
        <f>IFERROR(MID(VLOOKUP($B446,Seqs!$A:$B,2,0),AQ446,1),"")</f>
        <v>F</v>
      </c>
      <c r="AQ446" s="9">
        <v>793</v>
      </c>
      <c r="AR446" s="9" t="str">
        <f>IFERROR(MID(VLOOKUP($B446,Seqs!$A:$B,2,0),AS446,1),"")</f>
        <v>I</v>
      </c>
      <c r="AS446" s="9">
        <v>799</v>
      </c>
      <c r="AT446" s="9" t="str">
        <f>IFERROR(MID(VLOOKUP($B446,Seqs!$A:$B,2,0),AU446,1),"")</f>
        <v>K</v>
      </c>
      <c r="AU446" s="9">
        <v>828</v>
      </c>
      <c r="AV446" s="9" t="str">
        <f>IFERROR(MID(VLOOKUP($B446,Seqs!$A:$B,2,0),AW446,1),"")</f>
        <v>P</v>
      </c>
      <c r="AW446" s="9">
        <v>829</v>
      </c>
      <c r="AX446" s="9" t="str">
        <f>IFERROR(MID(VLOOKUP($B446,Seqs!$A:$B,2,0),AY446,1),"")</f>
        <v>N</v>
      </c>
      <c r="AY446" s="9">
        <v>832</v>
      </c>
      <c r="AZ446" s="110" t="str">
        <f>VLOOKUP(B446,Classification!A:D,2,0)</f>
        <v>C</v>
      </c>
      <c r="BA446" s="98" t="str">
        <f>VLOOKUP(B446,Classification!A:D,4,0)</f>
        <v>Metabotropicglutamate</v>
      </c>
      <c r="BB446" s="36" t="b">
        <f>AND(E446&lt;G446,OR(G446&lt;I446,I446="-"),OR(I446&lt;K446,I446="-"),OR(K446&lt;M446,K446="-"),M446&lt;O446,OR(O446&lt;Q446,Q446="-"),OR(Q446&lt;S446,Q446="-"),OR(S446&lt;U446,S446="-"),U446&lt;W446,OR(W446&lt;Y446,Y446="-"),OR(Y446&lt;AA446,Y446="-"),OR(AA446&lt;AC446,AA446="-"),AC446&lt;AE446,OR(AE446&lt;AG446,AG446="-"),OR(AG446&lt;AI446,AG446="-"),OR(AI446&lt;AK446,AI446="-"),AK446&lt;AM446,AM446&lt;AO446,AO446&lt;AQ446,AQ446&lt;AS446,AS446&lt;AU446,OR(AU446&lt;AW446,AW446="-"),OR(AW446&lt;AY446,AW446="-"))</f>
        <v>1</v>
      </c>
      <c r="BC446" s="109">
        <f>_xlfn.AGGREGATE(9,6,CH446:CS446)-_xlfn.AGGREGATE(9,6,BV446:CG446)+12</f>
        <v>192</v>
      </c>
      <c r="BD446" s="11" t="s">
        <v>23</v>
      </c>
      <c r="BE446" s="9" t="s">
        <v>1374</v>
      </c>
      <c r="BF446" s="119">
        <v>4</v>
      </c>
      <c r="BG446" s="51" t="s">
        <v>1</v>
      </c>
      <c r="BH446" s="51" t="s">
        <v>1</v>
      </c>
      <c r="BI446" s="9"/>
      <c r="BJ446" s="111" t="s">
        <v>1287</v>
      </c>
      <c r="BK446" s="112" t="s">
        <v>1287</v>
      </c>
      <c r="BL446" s="112" t="s">
        <v>1287</v>
      </c>
      <c r="BM446" s="112" t="s">
        <v>1287</v>
      </c>
      <c r="BN446" s="112" t="s">
        <v>1287</v>
      </c>
      <c r="BO446" s="112" t="s">
        <v>1287</v>
      </c>
      <c r="BP446" s="112" t="s">
        <v>1287</v>
      </c>
      <c r="BQ446" s="112" t="s">
        <v>1287</v>
      </c>
      <c r="BR446" s="112" t="s">
        <v>1287</v>
      </c>
      <c r="BS446" s="112" t="s">
        <v>1287</v>
      </c>
      <c r="BT446" s="112" t="s">
        <v>1287</v>
      </c>
      <c r="BU446" s="112" t="s">
        <v>1287</v>
      </c>
      <c r="BV446" s="111">
        <f>E446</f>
        <v>580</v>
      </c>
      <c r="BW446" s="113">
        <f>I446</f>
        <v>607</v>
      </c>
      <c r="BX446" s="114">
        <f>M446</f>
        <v>614</v>
      </c>
      <c r="BY446" s="113" t="str">
        <f>Q446</f>
        <v>-</v>
      </c>
      <c r="BZ446" s="114">
        <f>U446</f>
        <v>640</v>
      </c>
      <c r="CA446" s="113" t="str">
        <f>Y446</f>
        <v>-</v>
      </c>
      <c r="CB446" s="114">
        <f>AC446</f>
        <v>692</v>
      </c>
      <c r="CC446" s="113">
        <f>AG446</f>
        <v>733</v>
      </c>
      <c r="CD446" s="114">
        <f>AK446</f>
        <v>736</v>
      </c>
      <c r="CE446" s="113">
        <f>AO446</f>
        <v>770</v>
      </c>
      <c r="CF446" s="114">
        <f>AS446</f>
        <v>799</v>
      </c>
      <c r="CG446" s="113">
        <f>AW446</f>
        <v>829</v>
      </c>
      <c r="CH446" s="111">
        <f>G446</f>
        <v>598</v>
      </c>
      <c r="CI446" s="113">
        <f>K446</f>
        <v>613</v>
      </c>
      <c r="CJ446" s="114">
        <f>O446</f>
        <v>636</v>
      </c>
      <c r="CK446" s="114" t="str">
        <f>S446</f>
        <v>-</v>
      </c>
      <c r="CL446" s="114">
        <f>W446</f>
        <v>669</v>
      </c>
      <c r="CM446" s="114" t="str">
        <f>AA446</f>
        <v>-</v>
      </c>
      <c r="CN446" s="114">
        <f>AE446</f>
        <v>715</v>
      </c>
      <c r="CO446" s="114">
        <f>AI446</f>
        <v>735</v>
      </c>
      <c r="CP446" s="114">
        <f>AM446</f>
        <v>761</v>
      </c>
      <c r="CQ446" s="114">
        <f>AQ446</f>
        <v>793</v>
      </c>
      <c r="CR446" s="114">
        <f>AU446</f>
        <v>828</v>
      </c>
      <c r="CS446" s="114">
        <f>AY446</f>
        <v>832</v>
      </c>
      <c r="CT446" s="109">
        <f>M446-K446</f>
        <v>1</v>
      </c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9"/>
      <c r="GV446" s="9"/>
      <c r="GW446" s="9"/>
      <c r="GX446" s="9"/>
      <c r="GY446" s="9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  <c r="HO446" s="9"/>
      <c r="HP446" s="9"/>
      <c r="HQ446" s="9"/>
      <c r="HR446" s="9"/>
      <c r="HS446" s="9"/>
      <c r="HT446" s="9"/>
      <c r="HU446" s="9"/>
      <c r="HV446" s="9"/>
      <c r="HW446" s="9"/>
      <c r="HX446" s="9"/>
      <c r="HY446" s="9"/>
      <c r="HZ446" s="9"/>
      <c r="IA446" s="9"/>
      <c r="IB446" s="9"/>
      <c r="IC446" s="9"/>
      <c r="ID446" s="9"/>
      <c r="IE446" s="9"/>
      <c r="IF446" s="9"/>
      <c r="IG446" s="9"/>
      <c r="IH446" s="9"/>
      <c r="II446" s="9"/>
      <c r="IJ446" s="9"/>
      <c r="IK446" s="9"/>
      <c r="IL446" s="9"/>
      <c r="IM446" s="9"/>
      <c r="IN446" s="9"/>
      <c r="IO446" s="9"/>
      <c r="IP446" s="9"/>
      <c r="IQ446" s="9"/>
      <c r="IR446" s="9"/>
      <c r="IS446" s="9"/>
      <c r="IT446" s="9"/>
      <c r="IU446" s="9"/>
      <c r="IV446" s="9"/>
      <c r="IW446" s="9"/>
      <c r="IX446" s="9"/>
      <c r="IY446" s="9"/>
      <c r="IZ446" s="9"/>
      <c r="JA446" s="9"/>
      <c r="JB446" s="9"/>
      <c r="JC446" s="9"/>
      <c r="JD446" s="9"/>
      <c r="JE446" s="9"/>
      <c r="JF446" s="9"/>
      <c r="JG446" s="9"/>
      <c r="JH446" s="9"/>
      <c r="JI446" s="9"/>
      <c r="JJ446" s="9"/>
      <c r="JK446" s="9"/>
      <c r="JL446" s="9"/>
      <c r="JM446" s="9"/>
      <c r="JN446" s="9"/>
      <c r="JO446" s="9"/>
      <c r="JP446" s="9"/>
      <c r="JQ446" s="9"/>
      <c r="JR446" s="9"/>
      <c r="JS446" s="9"/>
      <c r="JT446" s="9"/>
      <c r="JU446" s="9"/>
      <c r="JV446" s="9"/>
      <c r="JW446" s="9"/>
      <c r="JX446" s="9"/>
      <c r="JY446" s="9"/>
      <c r="JZ446" s="9"/>
      <c r="KA446" s="9"/>
      <c r="KB446" s="9"/>
      <c r="KC446" s="9"/>
      <c r="KD446" s="9"/>
      <c r="KE446" s="9"/>
      <c r="KF446" s="9"/>
      <c r="KG446" s="9"/>
      <c r="KH446" s="9"/>
      <c r="KI446" s="9"/>
      <c r="KJ446" s="9"/>
      <c r="KK446" s="9"/>
      <c r="KL446" s="9"/>
      <c r="KM446" s="9"/>
      <c r="KN446" s="9"/>
      <c r="KO446" s="9"/>
      <c r="KP446" s="9"/>
      <c r="KQ446" s="9"/>
      <c r="KR446" s="9"/>
      <c r="KS446" s="9"/>
      <c r="KT446" s="9"/>
      <c r="KU446" s="9"/>
      <c r="KV446" s="9"/>
      <c r="KW446" s="9"/>
      <c r="KX446" s="9"/>
      <c r="KY446" s="9"/>
      <c r="KZ446" s="9"/>
      <c r="LA446" s="9"/>
      <c r="LB446" s="9"/>
      <c r="LC446" s="9"/>
      <c r="LD446" s="9"/>
      <c r="LE446" s="9"/>
      <c r="LF446" s="9"/>
      <c r="LG446" s="9"/>
      <c r="LH446" s="9"/>
      <c r="LI446" s="9"/>
      <c r="LJ446" s="9"/>
      <c r="LK446" s="9"/>
      <c r="LL446" s="9"/>
      <c r="LM446" s="9"/>
      <c r="LN446" s="9"/>
      <c r="LO446" s="9"/>
      <c r="LP446" s="9"/>
      <c r="LQ446" s="9"/>
      <c r="LR446" s="9"/>
      <c r="LS446" s="9"/>
      <c r="LT446" s="9"/>
      <c r="LU446" s="9"/>
      <c r="LV446" s="9"/>
      <c r="LW446" s="9"/>
      <c r="LX446" s="9"/>
      <c r="LY446" s="9"/>
      <c r="LZ446" s="9"/>
      <c r="MA446" s="9"/>
      <c r="MB446" s="9"/>
      <c r="MC446" s="9"/>
      <c r="MD446" s="9"/>
      <c r="ME446" s="9"/>
      <c r="MF446" s="9"/>
      <c r="MG446" s="9"/>
      <c r="MH446" s="9"/>
      <c r="MI446" s="9"/>
      <c r="MJ446" s="9"/>
      <c r="MK446" s="9"/>
      <c r="ML446" s="9"/>
      <c r="MM446" s="9"/>
      <c r="MN446" s="9"/>
      <c r="MO446" s="9"/>
      <c r="MP446" s="9"/>
      <c r="MQ446" s="9"/>
      <c r="MR446" s="9"/>
      <c r="MS446" s="9"/>
      <c r="MT446" s="9"/>
      <c r="MU446" s="9"/>
      <c r="MV446" s="9"/>
      <c r="MW446" s="9"/>
      <c r="MX446" s="9"/>
      <c r="MY446" s="9"/>
      <c r="MZ446" s="9"/>
      <c r="NA446" s="9"/>
      <c r="NB446" s="9"/>
      <c r="NC446" s="9"/>
      <c r="ND446" s="9"/>
      <c r="NE446" s="9"/>
      <c r="NF446" s="9"/>
      <c r="NG446" s="9"/>
      <c r="NH446" s="9"/>
      <c r="NI446" s="9"/>
      <c r="NJ446" s="9"/>
      <c r="NK446" s="9"/>
      <c r="NL446" s="9"/>
      <c r="NM446" s="9"/>
      <c r="NN446" s="9"/>
      <c r="NO446" s="9"/>
      <c r="NP446" s="9"/>
      <c r="NQ446" s="9"/>
      <c r="NR446" s="9"/>
      <c r="NS446" s="9"/>
      <c r="NT446" s="9"/>
      <c r="NU446" s="9"/>
      <c r="NV446" s="9"/>
      <c r="NW446" s="9"/>
      <c r="NX446" s="9"/>
      <c r="NY446" s="9"/>
      <c r="NZ446" s="9"/>
      <c r="OA446" s="9"/>
      <c r="OB446" s="9"/>
      <c r="OC446" s="9"/>
      <c r="OD446" s="9"/>
      <c r="OE446" s="9"/>
      <c r="OF446" s="9"/>
      <c r="OG446" s="9"/>
      <c r="OH446" s="9"/>
      <c r="OI446" s="9"/>
      <c r="OJ446" s="9"/>
      <c r="OK446" s="9"/>
      <c r="OL446" s="9"/>
      <c r="OM446" s="9"/>
      <c r="ON446" s="9"/>
      <c r="OO446" s="9"/>
      <c r="OP446" s="9"/>
      <c r="OQ446" s="9"/>
      <c r="OR446" s="9"/>
      <c r="OS446" s="9"/>
      <c r="OT446" s="9"/>
      <c r="OU446" s="9"/>
      <c r="OV446" s="9"/>
      <c r="OW446" s="9"/>
      <c r="OX446" s="9"/>
      <c r="OY446" s="9"/>
      <c r="OZ446" s="9"/>
      <c r="PA446" s="9"/>
      <c r="PB446" s="9"/>
      <c r="PC446" s="9"/>
      <c r="PD446" s="9"/>
      <c r="PE446" s="9"/>
      <c r="PF446" s="9"/>
      <c r="PG446" s="9"/>
      <c r="PH446" s="9"/>
      <c r="PI446" s="9"/>
      <c r="PJ446" s="9"/>
      <c r="PK446" s="9"/>
      <c r="PL446" s="9"/>
      <c r="PM446" s="9"/>
      <c r="PN446" s="9"/>
      <c r="PO446" s="9"/>
      <c r="PP446" s="9"/>
      <c r="PQ446" s="9"/>
      <c r="PR446" s="9"/>
      <c r="PS446" s="9"/>
      <c r="PT446" s="9"/>
      <c r="PU446" s="9"/>
      <c r="PV446" s="9"/>
      <c r="PW446" s="9"/>
      <c r="PX446" s="9"/>
      <c r="PY446" s="9"/>
      <c r="PZ446" s="9"/>
      <c r="QA446" s="9"/>
      <c r="QB446" s="9"/>
      <c r="QC446" s="9"/>
      <c r="QD446" s="9"/>
      <c r="QE446" s="9"/>
      <c r="QF446" s="9"/>
      <c r="QG446" s="9"/>
      <c r="QH446" s="9"/>
      <c r="QI446" s="9"/>
      <c r="QJ446" s="9"/>
      <c r="QK446" s="9"/>
      <c r="QL446" s="9"/>
      <c r="QM446" s="9"/>
      <c r="QN446" s="9"/>
      <c r="QO446" s="9"/>
      <c r="QP446" s="9"/>
      <c r="QQ446" s="9"/>
      <c r="QR446" s="9"/>
      <c r="QS446" s="9"/>
      <c r="QT446" s="9"/>
      <c r="QU446" s="9"/>
      <c r="QV446" s="9"/>
      <c r="QW446" s="9"/>
      <c r="QX446" s="9"/>
      <c r="QY446" s="9"/>
      <c r="QZ446" s="9"/>
      <c r="RA446" s="9"/>
      <c r="RB446" s="9"/>
      <c r="RC446" s="9"/>
      <c r="RD446" s="9"/>
      <c r="RE446" s="9"/>
      <c r="RF446" s="9"/>
      <c r="RG446" s="9"/>
      <c r="RH446" s="9"/>
      <c r="RI446" s="9"/>
      <c r="RJ446" s="9"/>
      <c r="RK446" s="9"/>
      <c r="RL446" s="9"/>
      <c r="RM446" s="9"/>
      <c r="RN446" s="9"/>
      <c r="RO446" s="9"/>
      <c r="RP446" s="9"/>
      <c r="RQ446" s="9"/>
      <c r="RR446" s="9"/>
      <c r="RS446" s="9"/>
      <c r="RT446" s="9"/>
      <c r="RU446" s="9"/>
      <c r="RV446" s="9"/>
      <c r="RW446" s="9"/>
      <c r="RX446" s="9"/>
      <c r="RY446" s="9"/>
      <c r="RZ446" s="9"/>
      <c r="SA446" s="9"/>
      <c r="SB446" s="9"/>
      <c r="SC446" s="9"/>
      <c r="SD446" s="9"/>
      <c r="SE446" s="9"/>
      <c r="SF446" s="9"/>
      <c r="SG446" s="9"/>
      <c r="SH446" s="9"/>
      <c r="SI446" s="9"/>
      <c r="SJ446" s="9"/>
      <c r="SK446" s="9"/>
      <c r="SL446" s="9"/>
      <c r="SM446" s="9"/>
      <c r="SN446" s="9"/>
      <c r="SO446" s="9"/>
      <c r="SP446" s="9"/>
      <c r="SQ446" s="9"/>
      <c r="SR446" s="9"/>
      <c r="SS446" s="9"/>
      <c r="ST446" s="9"/>
      <c r="SU446" s="9"/>
      <c r="SV446" s="9"/>
      <c r="SW446" s="9"/>
      <c r="SX446" s="9"/>
      <c r="SY446" s="9"/>
      <c r="SZ446" s="9"/>
      <c r="TA446" s="9"/>
      <c r="TB446" s="9"/>
      <c r="TC446" s="9"/>
      <c r="TD446" s="9"/>
      <c r="TE446" s="9"/>
      <c r="TF446" s="9"/>
      <c r="TG446" s="9"/>
      <c r="TH446" s="9"/>
      <c r="TI446" s="9"/>
      <c r="TJ446" s="9"/>
      <c r="TK446" s="9"/>
      <c r="TL446" s="9"/>
      <c r="TM446" s="9"/>
      <c r="TN446" s="9"/>
      <c r="TO446" s="9"/>
      <c r="TP446" s="9"/>
      <c r="TQ446" s="9"/>
      <c r="TR446" s="9"/>
      <c r="TS446" s="9"/>
      <c r="TT446" s="9"/>
      <c r="TU446" s="9"/>
      <c r="TV446" s="9"/>
      <c r="TW446" s="9"/>
      <c r="TX446" s="9"/>
      <c r="TY446" s="9"/>
      <c r="TZ446" s="9"/>
      <c r="UA446" s="9"/>
      <c r="UB446" s="9"/>
      <c r="UC446" s="9"/>
      <c r="UD446" s="9"/>
      <c r="UE446" s="9"/>
      <c r="UF446" s="9"/>
      <c r="UG446" s="9"/>
      <c r="UH446" s="9"/>
      <c r="UI446" s="9"/>
      <c r="UJ446" s="9"/>
      <c r="UK446" s="9"/>
      <c r="UL446" s="9"/>
      <c r="UM446" s="9"/>
      <c r="UN446" s="9"/>
      <c r="UO446" s="9"/>
      <c r="UP446" s="9"/>
      <c r="UQ446" s="9"/>
      <c r="UR446" s="9"/>
      <c r="US446" s="9"/>
      <c r="UT446" s="9"/>
      <c r="UU446" s="9"/>
      <c r="UV446" s="9"/>
      <c r="UW446" s="9"/>
      <c r="UX446" s="9"/>
      <c r="UY446" s="9"/>
      <c r="UZ446" s="9"/>
      <c r="VA446" s="9"/>
      <c r="VB446" s="9"/>
      <c r="VC446" s="9"/>
      <c r="VD446" s="9"/>
      <c r="VE446" s="9"/>
      <c r="VF446" s="9"/>
      <c r="VG446" s="9"/>
      <c r="VH446" s="9"/>
      <c r="VI446" s="9"/>
      <c r="VJ446" s="9"/>
      <c r="VK446" s="9"/>
      <c r="VL446" s="9"/>
      <c r="VM446" s="9"/>
      <c r="VN446" s="9"/>
      <c r="VO446" s="9"/>
      <c r="VP446" s="9"/>
      <c r="VQ446" s="9"/>
      <c r="VR446" s="9"/>
      <c r="VS446" s="9"/>
      <c r="VT446" s="9"/>
      <c r="VU446" s="9"/>
      <c r="VV446" s="9"/>
      <c r="VW446" s="9"/>
      <c r="VX446" s="9"/>
      <c r="VY446" s="9"/>
      <c r="VZ446" s="9"/>
      <c r="WA446" s="9"/>
      <c r="WB446" s="9"/>
      <c r="WC446" s="9"/>
      <c r="WD446" s="9"/>
      <c r="WE446" s="9"/>
      <c r="WF446" s="9"/>
      <c r="WG446" s="9"/>
      <c r="WH446" s="9"/>
      <c r="WI446" s="9"/>
      <c r="WJ446" s="9"/>
      <c r="WK446" s="9"/>
      <c r="WL446" s="9"/>
      <c r="WM446" s="9"/>
      <c r="WN446" s="9"/>
      <c r="WO446" s="9"/>
      <c r="WP446" s="9"/>
      <c r="WQ446" s="9"/>
      <c r="WR446" s="9"/>
      <c r="WS446" s="9"/>
      <c r="WT446" s="9"/>
      <c r="WU446" s="9"/>
      <c r="WV446" s="9"/>
      <c r="WW446" s="9"/>
      <c r="WX446" s="9"/>
      <c r="WY446" s="9"/>
      <c r="WZ446" s="9"/>
      <c r="XA446" s="9"/>
      <c r="XB446" s="9"/>
      <c r="XC446" s="9"/>
      <c r="XD446" s="9"/>
      <c r="XE446" s="9"/>
      <c r="XF446" s="9"/>
      <c r="XG446" s="9"/>
      <c r="XH446" s="9"/>
      <c r="XI446" s="9"/>
      <c r="XJ446" s="9"/>
      <c r="XK446" s="9"/>
      <c r="XL446" s="9"/>
      <c r="XM446" s="9"/>
      <c r="XN446" s="9"/>
      <c r="XO446" s="9"/>
      <c r="XP446" s="9"/>
      <c r="XQ446" s="9"/>
      <c r="XR446" s="9"/>
      <c r="XS446" s="9"/>
      <c r="XT446" s="9"/>
      <c r="XU446" s="9"/>
      <c r="XV446" s="9"/>
      <c r="XW446" s="9"/>
      <c r="XX446" s="9"/>
      <c r="XY446" s="9"/>
      <c r="XZ446" s="9"/>
      <c r="YA446" s="9"/>
      <c r="YB446" s="9"/>
      <c r="YC446" s="9"/>
      <c r="YD446" s="9"/>
      <c r="YE446" s="9"/>
      <c r="YF446" s="9"/>
      <c r="YG446" s="9"/>
      <c r="YH446" s="9"/>
      <c r="YI446" s="9"/>
      <c r="YJ446" s="9"/>
      <c r="YK446" s="9"/>
      <c r="YL446" s="9"/>
      <c r="YM446" s="9"/>
      <c r="YN446" s="9"/>
      <c r="YO446" s="9"/>
      <c r="YP446" s="9"/>
      <c r="YQ446" s="9"/>
      <c r="YR446" s="9"/>
      <c r="YS446" s="9"/>
      <c r="YT446" s="9"/>
      <c r="YU446" s="9"/>
      <c r="YV446" s="9"/>
      <c r="YW446" s="9"/>
      <c r="YX446" s="9"/>
      <c r="YY446" s="9"/>
      <c r="YZ446" s="9"/>
      <c r="ZA446" s="9"/>
      <c r="ZB446" s="9"/>
      <c r="ZC446" s="9"/>
      <c r="ZD446" s="9"/>
      <c r="ZE446" s="9"/>
      <c r="ZF446" s="9"/>
      <c r="ZG446" s="9"/>
      <c r="ZH446" s="9"/>
      <c r="ZI446" s="9"/>
      <c r="ZJ446" s="9"/>
      <c r="ZK446" s="9"/>
      <c r="ZL446" s="9"/>
      <c r="ZM446" s="9"/>
      <c r="ZN446" s="9"/>
      <c r="ZO446" s="9"/>
      <c r="ZP446" s="9"/>
      <c r="ZQ446" s="9"/>
      <c r="ZR446" s="9"/>
      <c r="ZS446" s="9"/>
      <c r="ZT446" s="9"/>
      <c r="ZU446" s="9"/>
      <c r="ZV446" s="9"/>
      <c r="ZW446" s="9"/>
      <c r="ZX446" s="9"/>
      <c r="ZY446" s="9"/>
      <c r="ZZ446" s="9"/>
      <c r="AAA446" s="9"/>
      <c r="AAB446" s="9"/>
      <c r="AAC446" s="9"/>
      <c r="AAD446" s="9"/>
      <c r="AAE446" s="9"/>
      <c r="AAF446" s="9"/>
      <c r="AAG446" s="9"/>
      <c r="AAH446" s="9"/>
      <c r="AAI446" s="9"/>
      <c r="AAJ446" s="9"/>
      <c r="AAK446" s="9"/>
      <c r="AAL446" s="9"/>
      <c r="AAM446" s="9"/>
      <c r="AAN446" s="9"/>
      <c r="AAO446" s="9"/>
      <c r="AAP446" s="9"/>
      <c r="AAQ446" s="9"/>
      <c r="AAR446" s="9"/>
      <c r="AAS446" s="9"/>
      <c r="AAT446" s="9"/>
      <c r="AAU446" s="9"/>
      <c r="AAV446" s="9"/>
      <c r="AAW446" s="9"/>
      <c r="AAX446" s="9"/>
      <c r="AAY446" s="9"/>
      <c r="AAZ446" s="9"/>
      <c r="ABA446" s="9"/>
      <c r="ABB446" s="9"/>
      <c r="ABC446" s="9"/>
      <c r="ABD446" s="9"/>
      <c r="ABE446" s="9"/>
      <c r="ABF446" s="9"/>
      <c r="ABG446" s="9"/>
      <c r="ABH446" s="9"/>
      <c r="ABI446" s="9"/>
      <c r="ABJ446" s="9"/>
      <c r="ABK446" s="9"/>
      <c r="ABL446" s="9"/>
      <c r="ABM446" s="9"/>
      <c r="ABN446" s="9"/>
      <c r="ABO446" s="9"/>
      <c r="ABP446" s="9"/>
      <c r="ABQ446" s="9"/>
      <c r="ABR446" s="9"/>
      <c r="ABS446" s="9"/>
      <c r="ABT446" s="9"/>
      <c r="ABU446" s="9"/>
      <c r="ABV446" s="9"/>
      <c r="ABW446" s="9"/>
      <c r="ABX446" s="9"/>
      <c r="ABY446" s="9"/>
      <c r="ABZ446" s="9"/>
      <c r="ACA446" s="9"/>
      <c r="ACB446" s="9"/>
      <c r="ACC446" s="9"/>
      <c r="ACD446" s="9"/>
      <c r="ACE446" s="9"/>
      <c r="ACF446" s="9"/>
      <c r="ACG446" s="9"/>
      <c r="ACH446" s="9"/>
      <c r="ACI446" s="9"/>
      <c r="ACJ446" s="9"/>
      <c r="ACK446" s="9"/>
      <c r="ACL446" s="9"/>
      <c r="ACM446" s="9"/>
      <c r="ACN446" s="9"/>
      <c r="ACO446" s="9"/>
      <c r="ACP446" s="9"/>
      <c r="ACQ446" s="9"/>
      <c r="ACR446" s="9"/>
      <c r="ACS446" s="9"/>
      <c r="ACT446" s="9"/>
      <c r="ACU446" s="9"/>
      <c r="ACV446" s="9"/>
      <c r="ACW446" s="9"/>
      <c r="ACX446" s="9"/>
      <c r="ACY446" s="9"/>
      <c r="ACZ446" s="9"/>
      <c r="ADA446" s="9"/>
      <c r="ADB446" s="9"/>
      <c r="ADC446" s="9"/>
      <c r="ADD446" s="9"/>
      <c r="ADE446" s="9"/>
      <c r="ADF446" s="9"/>
      <c r="ADG446" s="9"/>
      <c r="ADH446" s="9"/>
      <c r="ADI446" s="9"/>
      <c r="ADJ446" s="9"/>
      <c r="ADK446" s="9"/>
      <c r="ADL446" s="9"/>
      <c r="ADM446" s="9"/>
      <c r="ADN446" s="9"/>
      <c r="ADO446" s="9"/>
      <c r="ADP446" s="9"/>
      <c r="ADQ446" s="9"/>
      <c r="ADR446" s="9"/>
      <c r="ADS446" s="9"/>
      <c r="ADT446" s="9"/>
      <c r="ADU446" s="9"/>
      <c r="ADV446" s="9"/>
      <c r="ADW446" s="9"/>
      <c r="ADX446" s="9"/>
      <c r="ADY446" s="9"/>
      <c r="ADZ446" s="9"/>
      <c r="AEA446" s="9"/>
      <c r="AEB446" s="9"/>
      <c r="AEC446" s="9"/>
      <c r="AED446" s="9"/>
      <c r="AEE446" s="9"/>
      <c r="AEF446" s="9"/>
      <c r="AEG446" s="9"/>
      <c r="AEH446" s="9"/>
      <c r="AEI446" s="9"/>
      <c r="AEJ446" s="9"/>
      <c r="AEK446" s="9"/>
      <c r="AEL446" s="9"/>
      <c r="AEM446" s="9"/>
      <c r="AEN446" s="9"/>
      <c r="AEO446" s="9"/>
      <c r="AEP446" s="9"/>
      <c r="AEQ446" s="9"/>
      <c r="AER446" s="9"/>
      <c r="AES446" s="9"/>
      <c r="AET446" s="9"/>
      <c r="AEU446" s="9"/>
      <c r="AEV446" s="9"/>
      <c r="AEW446" s="9"/>
      <c r="AEX446" s="9"/>
      <c r="AEY446" s="9"/>
      <c r="AEZ446" s="9"/>
      <c r="AFA446" s="9"/>
      <c r="AFB446" s="9"/>
      <c r="AFC446" s="9"/>
      <c r="AFD446" s="9"/>
      <c r="AFE446" s="9"/>
      <c r="AFF446" s="9"/>
      <c r="AFG446" s="9"/>
      <c r="AFH446" s="9"/>
      <c r="AFI446" s="9"/>
      <c r="AFJ446" s="9"/>
      <c r="AFK446" s="9"/>
      <c r="AFL446" s="9"/>
      <c r="AFM446" s="9"/>
      <c r="AFN446" s="9"/>
      <c r="AFO446" s="9"/>
      <c r="AFP446" s="9"/>
      <c r="AFQ446" s="9"/>
      <c r="AFR446" s="9"/>
      <c r="AFS446" s="9"/>
      <c r="AFT446" s="9"/>
      <c r="AFU446" s="9"/>
      <c r="AFV446" s="9"/>
      <c r="AFW446" s="9"/>
      <c r="AFX446" s="9"/>
      <c r="AFY446" s="9"/>
      <c r="AFZ446" s="9"/>
      <c r="AGA446" s="9"/>
      <c r="AGB446" s="9"/>
      <c r="AGC446" s="9"/>
      <c r="AGD446" s="9"/>
      <c r="AGE446" s="9"/>
      <c r="AGF446" s="9"/>
      <c r="AGG446" s="9"/>
      <c r="AGH446" s="9"/>
      <c r="AGI446" s="9"/>
      <c r="AGJ446" s="9"/>
      <c r="AGK446" s="9"/>
      <c r="AGL446" s="9"/>
      <c r="AGM446" s="9"/>
      <c r="AGN446" s="9"/>
      <c r="AGO446" s="9"/>
      <c r="AGP446" s="9"/>
      <c r="AGQ446" s="9"/>
      <c r="AGR446" s="9"/>
      <c r="AGS446" s="9"/>
      <c r="AGT446" s="9"/>
      <c r="AGU446" s="9"/>
      <c r="AGV446" s="9"/>
      <c r="AGW446" s="9"/>
      <c r="AGX446" s="9"/>
      <c r="AGY446" s="9"/>
      <c r="AGZ446" s="9"/>
      <c r="AHA446" s="9"/>
      <c r="AHB446" s="9"/>
      <c r="AHC446" s="9"/>
      <c r="AHD446" s="9"/>
      <c r="AHE446" s="9"/>
      <c r="AHF446" s="9"/>
      <c r="AHG446" s="9"/>
      <c r="AHH446" s="9"/>
      <c r="AHI446" s="9"/>
      <c r="AHJ446" s="9"/>
      <c r="AHK446" s="9"/>
      <c r="AHL446" s="9"/>
      <c r="AHM446" s="9"/>
      <c r="AHN446" s="9"/>
      <c r="AHO446" s="9"/>
      <c r="AHP446" s="9"/>
      <c r="AHQ446" s="9"/>
      <c r="AHR446" s="9"/>
      <c r="AHS446" s="9"/>
      <c r="AHT446" s="9"/>
      <c r="AHU446" s="9"/>
      <c r="AHV446" s="9"/>
      <c r="AHW446" s="9"/>
      <c r="AHX446" s="9"/>
      <c r="AHY446" s="9"/>
      <c r="AHZ446" s="9"/>
      <c r="AIA446" s="9"/>
      <c r="AIB446" s="9"/>
      <c r="AIC446" s="9"/>
      <c r="AID446" s="9"/>
      <c r="AIE446" s="9"/>
      <c r="AIF446" s="9"/>
      <c r="AIG446" s="9"/>
      <c r="AIH446" s="9"/>
      <c r="AII446" s="9"/>
      <c r="AIJ446" s="9"/>
      <c r="AIK446" s="9"/>
      <c r="AIL446" s="9"/>
      <c r="AIM446" s="9"/>
      <c r="AIN446" s="9"/>
      <c r="AIO446" s="9"/>
      <c r="AIP446" s="9"/>
      <c r="AIQ446" s="9"/>
      <c r="AIR446" s="9"/>
      <c r="AIS446" s="9"/>
      <c r="AIT446" s="9"/>
      <c r="AIU446" s="9"/>
      <c r="AIV446" s="9"/>
      <c r="AIW446" s="9"/>
      <c r="AIX446" s="9"/>
      <c r="AIY446" s="9"/>
      <c r="AIZ446" s="9"/>
      <c r="AJA446" s="9"/>
      <c r="AJB446" s="9"/>
      <c r="AJC446" s="9"/>
      <c r="AJD446" s="9"/>
      <c r="AJE446" s="9"/>
      <c r="AJF446" s="9"/>
      <c r="AJG446" s="9"/>
      <c r="AJH446" s="9"/>
      <c r="AJI446" s="9"/>
      <c r="AJJ446" s="9"/>
      <c r="AJK446" s="9"/>
      <c r="AJL446" s="9"/>
      <c r="AJM446" s="9"/>
      <c r="AJN446" s="9"/>
      <c r="AJO446" s="9"/>
      <c r="AJP446" s="9"/>
      <c r="AJQ446" s="9"/>
      <c r="AJR446" s="9"/>
      <c r="AJS446" s="9"/>
      <c r="AJT446" s="9"/>
      <c r="AJU446" s="9"/>
      <c r="AJV446" s="9"/>
      <c r="AJW446" s="9"/>
      <c r="AJX446" s="9"/>
      <c r="AJY446" s="9"/>
      <c r="AJZ446" s="9"/>
      <c r="AKA446" s="9"/>
      <c r="AKB446" s="9"/>
      <c r="AKC446" s="9"/>
      <c r="AKD446" s="9"/>
      <c r="AKE446" s="9"/>
      <c r="AKF446" s="9"/>
      <c r="AKG446" s="9"/>
      <c r="AKH446" s="9"/>
      <c r="AKI446" s="9"/>
      <c r="AKJ446" s="9"/>
      <c r="AKK446" s="9"/>
      <c r="AKL446" s="9"/>
      <c r="AKM446" s="9"/>
      <c r="AKN446" s="9"/>
      <c r="AKO446" s="9"/>
      <c r="AKP446" s="9"/>
      <c r="AKQ446" s="9"/>
      <c r="AKR446" s="9"/>
      <c r="AKS446" s="9"/>
      <c r="AKT446" s="9"/>
      <c r="AKU446" s="9"/>
      <c r="AKV446" s="9"/>
      <c r="AKW446" s="9"/>
      <c r="AKX446" s="9"/>
      <c r="AKY446" s="9"/>
      <c r="AKZ446" s="9"/>
      <c r="ALA446" s="9"/>
      <c r="ALB446" s="9"/>
      <c r="ALC446" s="9"/>
      <c r="ALD446" s="9"/>
      <c r="ALE446" s="9"/>
      <c r="ALF446" s="9"/>
      <c r="ALG446" s="9"/>
      <c r="ALH446" s="9"/>
      <c r="ALI446" s="9"/>
      <c r="ALJ446" s="9"/>
      <c r="ALK446" s="9"/>
      <c r="ALL446" s="9"/>
      <c r="ALM446" s="9"/>
      <c r="ALN446" s="9"/>
      <c r="ALO446" s="9"/>
      <c r="ALP446" s="9"/>
      <c r="ALQ446" s="9"/>
      <c r="ALR446" s="9"/>
      <c r="ALS446" s="9"/>
      <c r="ALT446" s="9"/>
      <c r="ALU446" s="9"/>
      <c r="ALV446" s="9"/>
      <c r="ALW446" s="9"/>
      <c r="ALX446" s="9"/>
      <c r="ALY446" s="9"/>
      <c r="ALZ446" s="9"/>
      <c r="AMA446" s="9"/>
      <c r="AMB446" s="9"/>
      <c r="AMC446" s="9"/>
      <c r="AMD446" s="9"/>
      <c r="AME446" s="9"/>
      <c r="AMF446" s="9"/>
      <c r="AMG446" s="9"/>
      <c r="AMH446" s="9"/>
      <c r="AMI446" s="9"/>
      <c r="AMJ446" s="9"/>
      <c r="AMK446" s="9"/>
      <c r="AML446" s="9"/>
      <c r="AMM446" s="9"/>
      <c r="AMN446" s="9"/>
      <c r="AMO446" s="9"/>
      <c r="AMP446" s="9"/>
    </row>
    <row r="447" spans="1:1030" s="12" customFormat="1" x14ac:dyDescent="0.2">
      <c r="A447" s="9" t="str">
        <f>CONCATENATE(B447,"_",C447)</f>
        <v>fzd4_human__wt</v>
      </c>
      <c r="B447" s="9" t="s">
        <v>450</v>
      </c>
      <c r="C447" s="9" t="s">
        <v>100</v>
      </c>
      <c r="D447" s="9" t="str">
        <f>IFERROR(MID(VLOOKUP($B447,Seqs!$A:$B,2,0),E447,1),"")</f>
        <v>S</v>
      </c>
      <c r="E447" s="9">
        <v>212</v>
      </c>
      <c r="F447" s="9" t="str">
        <f>IFERROR(MID(VLOOKUP($B447,Seqs!$A:$B,2,0),G447,1),"")</f>
        <v>D</v>
      </c>
      <c r="G447" s="9">
        <v>244</v>
      </c>
      <c r="H447" s="9" t="str">
        <f>IFERROR(MID(VLOOKUP($B447,Seqs!$A:$B,2,0),I447,1),"")</f>
        <v>S</v>
      </c>
      <c r="I447" s="109">
        <v>245</v>
      </c>
      <c r="J447" s="9" t="str">
        <f>IFERROR(MID(VLOOKUP($B447,Seqs!$A:$B,2,0),K447,1),"")</f>
        <v>S</v>
      </c>
      <c r="K447" s="109">
        <v>249</v>
      </c>
      <c r="L447" s="9" t="str">
        <f>IFERROR(MID(VLOOKUP($B447,Seqs!$A:$B,2,0),M447,1),"")</f>
        <v>Y</v>
      </c>
      <c r="M447" s="9">
        <v>250</v>
      </c>
      <c r="N447" s="9" t="str">
        <f>IFERROR(MID(VLOOKUP($B447,Seqs!$A:$B,2,0),O447,1),"")</f>
        <v>G</v>
      </c>
      <c r="O447" s="9">
        <v>276</v>
      </c>
      <c r="P447" s="9" t="str">
        <f>IFERROR(MID(VLOOKUP($B447,Seqs!$A:$B,2,0),Q447,1),"")</f>
        <v/>
      </c>
      <c r="Q447" s="9" t="s">
        <v>23</v>
      </c>
      <c r="R447" s="9" t="str">
        <f>IFERROR(MID(VLOOKUP($B447,Seqs!$A:$B,2,0),S447,1),"")</f>
        <v/>
      </c>
      <c r="S447" s="9" t="s">
        <v>23</v>
      </c>
      <c r="T447" s="9" t="str">
        <f>IFERROR(MID(VLOOKUP($B447,Seqs!$A:$B,2,0),U447,1),"")</f>
        <v>N</v>
      </c>
      <c r="U447" s="9">
        <v>299</v>
      </c>
      <c r="V447" s="9" t="str">
        <f>IFERROR(MID(VLOOKUP($B447,Seqs!$A:$B,2,0),W447,1),"")</f>
        <v>G</v>
      </c>
      <c r="W447" s="9">
        <v>332</v>
      </c>
      <c r="X447" s="9" t="str">
        <f>IFERROR(MID(VLOOKUP($B447,Seqs!$A:$B,2,0),Y447,1),"")</f>
        <v/>
      </c>
      <c r="Y447" s="9" t="s">
        <v>23</v>
      </c>
      <c r="Z447" s="9" t="str">
        <f>IFERROR(MID(VLOOKUP($B447,Seqs!$A:$B,2,0),AA447,1),"")</f>
        <v/>
      </c>
      <c r="AA447" s="9" t="s">
        <v>23</v>
      </c>
      <c r="AB447" s="9" t="str">
        <f>IFERROR(MID(VLOOKUP($B447,Seqs!$A:$B,2,0),AC447,1),"")</f>
        <v>H</v>
      </c>
      <c r="AC447" s="9">
        <v>343</v>
      </c>
      <c r="AD447" s="9" t="str">
        <f>IFERROR(MID(VLOOKUP($B447,Seqs!$A:$B,2,0),AE447,1),"")</f>
        <v>R</v>
      </c>
      <c r="AE447" s="9">
        <v>366</v>
      </c>
      <c r="AF447" s="9" t="str">
        <f>IFERROR(MID(VLOOKUP($B447,Seqs!$A:$B,2,0),AG447,1),"")</f>
        <v>C</v>
      </c>
      <c r="AG447" s="9">
        <v>377</v>
      </c>
      <c r="AH447" s="9" t="str">
        <f>IFERROR(MID(VLOOKUP($B447,Seqs!$A:$B,2,0),AI447,1),"")</f>
        <v>V</v>
      </c>
      <c r="AI447" s="9">
        <v>379</v>
      </c>
      <c r="AJ447" s="9" t="str">
        <f>IFERROR(MID(VLOOKUP($B447,Seqs!$A:$B,2,0),AK447,1),"")</f>
        <v>N</v>
      </c>
      <c r="AK447" s="9">
        <v>383</v>
      </c>
      <c r="AL447" s="9" t="str">
        <f>IFERROR(MID(VLOOKUP($B447,Seqs!$A:$B,2,0),AM447,1),"")</f>
        <v>L</v>
      </c>
      <c r="AM447" s="9">
        <v>420</v>
      </c>
      <c r="AN447" s="9" t="str">
        <f>IFERROR(MID(VLOOKUP($B447,Seqs!$A:$B,2,0),AO447,1),"")</f>
        <v>E</v>
      </c>
      <c r="AO447" s="9">
        <v>431</v>
      </c>
      <c r="AP447" s="9" t="str">
        <f>IFERROR(MID(VLOOKUP($B447,Seqs!$A:$B,2,0),AQ447,1),"")</f>
        <v>N</v>
      </c>
      <c r="AQ447" s="9">
        <v>461</v>
      </c>
      <c r="AR447" s="9" t="str">
        <f>IFERROR(MID(VLOOKUP($B447,Seqs!$A:$B,2,0),AS447,1),"")</f>
        <v>N</v>
      </c>
      <c r="AS447" s="9">
        <v>473</v>
      </c>
      <c r="AT447" s="9" t="str">
        <f>IFERROR(MID(VLOOKUP($B447,Seqs!$A:$B,2,0),AU447,1),"")</f>
        <v>W</v>
      </c>
      <c r="AU447" s="9">
        <v>496</v>
      </c>
      <c r="AV447" s="9" t="str">
        <f>IFERROR(MID(VLOOKUP($B447,Seqs!$A:$B,2,0),AW447,1),"")</f>
        <v>S</v>
      </c>
      <c r="AW447" s="9">
        <v>497</v>
      </c>
      <c r="AX447" s="9" t="str">
        <f>IFERROR(MID(VLOOKUP($B447,Seqs!$A:$B,2,0),AY447,1),"")</f>
        <v>V</v>
      </c>
      <c r="AY447" s="9">
        <v>512</v>
      </c>
      <c r="AZ447" s="110" t="str">
        <f>VLOOKUP(B447,Classification!A:D,2,0)</f>
        <v>F</v>
      </c>
      <c r="BA447" s="98" t="str">
        <f>VLOOKUP(B447,Classification!A:D,4,0)</f>
        <v>Frizzled</v>
      </c>
      <c r="BB447" s="36" t="b">
        <f t="shared" ref="BB447:BB448" si="3997">AND(E447&lt;G447,OR(G447&lt;I447,I447="-"),OR(I447&lt;K447,I447="-"),OR(K447&lt;M447,K447="-"),M447&lt;O447,OR(O447&lt;Q447,Q447="-"),OR(Q447&lt;S447,Q447="-"),OR(S447&lt;U447,S447="-"),U447&lt;W447,OR(W447&lt;Y447,Y447="-"),OR(Y447&lt;AA447,Y447="-"),OR(AA447&lt;AC447,AA447="-"),AC447&lt;AE447,OR(AE447&lt;AG447,AG447="-"),OR(AG447&lt;AI447,AG447="-"),OR(AI447&lt;AK447,AI447="-"),AK447&lt;AM447,AM447&lt;AO447,AO447&lt;AQ447,AQ447&lt;AS447,AS447&lt;AU447,OR(AU447&lt;AW447,AW447="-"),OR(AW447&lt;AY447,AW447="-"))</f>
        <v>1</v>
      </c>
      <c r="BC447" s="109">
        <f t="shared" ref="BC447:BC448" si="3998">_xlfn.AGGREGATE(9,6,CH447:CS447)-_xlfn.AGGREGATE(9,6,BV447:CG447)+12</f>
        <v>237</v>
      </c>
      <c r="BD447" s="11" t="s">
        <v>23</v>
      </c>
      <c r="BE447" s="9" t="s">
        <v>23</v>
      </c>
      <c r="BF447" s="119" t="s">
        <v>23</v>
      </c>
      <c r="BG447" s="51" t="s">
        <v>23</v>
      </c>
      <c r="BH447" s="51" t="s">
        <v>23</v>
      </c>
      <c r="BI447" s="9"/>
      <c r="BJ447" s="111" t="s">
        <v>1287</v>
      </c>
      <c r="BK447" s="112" t="s">
        <v>1287</v>
      </c>
      <c r="BL447" s="112" t="s">
        <v>1287</v>
      </c>
      <c r="BM447" s="112" t="s">
        <v>1287</v>
      </c>
      <c r="BN447" s="112" t="s">
        <v>1287</v>
      </c>
      <c r="BO447" s="112" t="s">
        <v>1287</v>
      </c>
      <c r="BP447" s="112" t="s">
        <v>1287</v>
      </c>
      <c r="BQ447" s="112" t="s">
        <v>1287</v>
      </c>
      <c r="BR447" s="112" t="s">
        <v>1287</v>
      </c>
      <c r="BS447" s="112" t="s">
        <v>1287</v>
      </c>
      <c r="BT447" s="112" t="s">
        <v>1287</v>
      </c>
      <c r="BU447" s="112" t="s">
        <v>1287</v>
      </c>
      <c r="BV447" s="111">
        <f t="shared" ref="BV447:BV448" si="3999">E447</f>
        <v>212</v>
      </c>
      <c r="BW447" s="113">
        <f t="shared" ref="BW447:BW448" si="4000">I447</f>
        <v>245</v>
      </c>
      <c r="BX447" s="114">
        <f t="shared" ref="BX447:BX448" si="4001">M447</f>
        <v>250</v>
      </c>
      <c r="BY447" s="113" t="str">
        <f t="shared" ref="BY447:BY448" si="4002">Q447</f>
        <v>-</v>
      </c>
      <c r="BZ447" s="114">
        <f t="shared" ref="BZ447:BZ448" si="4003">U447</f>
        <v>299</v>
      </c>
      <c r="CA447" s="113" t="str">
        <f t="shared" ref="CA447:CA448" si="4004">Y447</f>
        <v>-</v>
      </c>
      <c r="CB447" s="114">
        <f t="shared" ref="CB447:CB448" si="4005">AC447</f>
        <v>343</v>
      </c>
      <c r="CC447" s="113">
        <f t="shared" ref="CC447:CC448" si="4006">AG447</f>
        <v>377</v>
      </c>
      <c r="CD447" s="114">
        <f t="shared" ref="CD447:CD448" si="4007">AK447</f>
        <v>383</v>
      </c>
      <c r="CE447" s="113">
        <f t="shared" ref="CE447:CE448" si="4008">AO447</f>
        <v>431</v>
      </c>
      <c r="CF447" s="114">
        <f t="shared" ref="CF447:CF448" si="4009">AS447</f>
        <v>473</v>
      </c>
      <c r="CG447" s="113">
        <f t="shared" ref="CG447:CG448" si="4010">AW447</f>
        <v>497</v>
      </c>
      <c r="CH447" s="111">
        <f t="shared" ref="CH447:CH448" si="4011">G447</f>
        <v>244</v>
      </c>
      <c r="CI447" s="113">
        <f t="shared" ref="CI447:CI448" si="4012">K447</f>
        <v>249</v>
      </c>
      <c r="CJ447" s="114">
        <f t="shared" ref="CJ447:CJ448" si="4013">O447</f>
        <v>276</v>
      </c>
      <c r="CK447" s="114" t="str">
        <f t="shared" ref="CK447:CK448" si="4014">S447</f>
        <v>-</v>
      </c>
      <c r="CL447" s="114">
        <f t="shared" ref="CL447:CL448" si="4015">W447</f>
        <v>332</v>
      </c>
      <c r="CM447" s="114" t="str">
        <f t="shared" ref="CM447:CM448" si="4016">AA447</f>
        <v>-</v>
      </c>
      <c r="CN447" s="114">
        <f t="shared" ref="CN447:CN448" si="4017">AE447</f>
        <v>366</v>
      </c>
      <c r="CO447" s="114">
        <f t="shared" ref="CO447:CO448" si="4018">AI447</f>
        <v>379</v>
      </c>
      <c r="CP447" s="114">
        <f t="shared" ref="CP447:CP448" si="4019">AM447</f>
        <v>420</v>
      </c>
      <c r="CQ447" s="114">
        <f t="shared" ref="CQ447:CQ448" si="4020">AQ447</f>
        <v>461</v>
      </c>
      <c r="CR447" s="114">
        <f t="shared" ref="CR447:CR448" si="4021">AU447</f>
        <v>496</v>
      </c>
      <c r="CS447" s="114">
        <f t="shared" ref="CS447:CS448" si="4022">AY447</f>
        <v>512</v>
      </c>
      <c r="CT447" s="109">
        <f t="shared" ref="CT447:CT448" si="4023">M447-K447</f>
        <v>1</v>
      </c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  <c r="ZZ447" s="9"/>
      <c r="AAA447" s="9"/>
      <c r="AAB447" s="9"/>
      <c r="AAC447" s="9"/>
      <c r="AAD447" s="9"/>
      <c r="AAE447" s="9"/>
      <c r="AAF447" s="9"/>
      <c r="AAG447" s="9"/>
      <c r="AAH447" s="9"/>
      <c r="AAI447" s="9"/>
      <c r="AAJ447" s="9"/>
      <c r="AAK447" s="9"/>
      <c r="AAL447" s="9"/>
      <c r="AAM447" s="9"/>
      <c r="AAN447" s="9"/>
      <c r="AAO447" s="9"/>
      <c r="AAP447" s="9"/>
      <c r="AAQ447" s="9"/>
      <c r="AAR447" s="9"/>
      <c r="AAS447" s="9"/>
      <c r="AAT447" s="9"/>
      <c r="AAU447" s="9"/>
      <c r="AAV447" s="9"/>
      <c r="AAW447" s="9"/>
      <c r="AAX447" s="9"/>
      <c r="AAY447" s="9"/>
      <c r="AAZ447" s="9"/>
      <c r="ABA447" s="9"/>
      <c r="ABB447" s="9"/>
      <c r="ABC447" s="9"/>
      <c r="ABD447" s="9"/>
      <c r="ABE447" s="9"/>
      <c r="ABF447" s="9"/>
      <c r="ABG447" s="9"/>
      <c r="ABH447" s="9"/>
      <c r="ABI447" s="9"/>
      <c r="ABJ447" s="9"/>
      <c r="ABK447" s="9"/>
      <c r="ABL447" s="9"/>
      <c r="ABM447" s="9"/>
      <c r="ABN447" s="9"/>
      <c r="ABO447" s="9"/>
      <c r="ABP447" s="9"/>
      <c r="ABQ447" s="9"/>
      <c r="ABR447" s="9"/>
      <c r="ABS447" s="9"/>
      <c r="ABT447" s="9"/>
      <c r="ABU447" s="9"/>
      <c r="ABV447" s="9"/>
      <c r="ABW447" s="9"/>
      <c r="ABX447" s="9"/>
      <c r="ABY447" s="9"/>
      <c r="ABZ447" s="9"/>
      <c r="ACA447" s="9"/>
      <c r="ACB447" s="9"/>
      <c r="ACC447" s="9"/>
      <c r="ACD447" s="9"/>
      <c r="ACE447" s="9"/>
      <c r="ACF447" s="9"/>
      <c r="ACG447" s="9"/>
      <c r="ACH447" s="9"/>
      <c r="ACI447" s="9"/>
      <c r="ACJ447" s="9"/>
      <c r="ACK447" s="9"/>
      <c r="ACL447" s="9"/>
      <c r="ACM447" s="9"/>
      <c r="ACN447" s="9"/>
      <c r="ACO447" s="9"/>
      <c r="ACP447" s="9"/>
      <c r="ACQ447" s="9"/>
      <c r="ACR447" s="9"/>
      <c r="ACS447" s="9"/>
      <c r="ACT447" s="9"/>
      <c r="ACU447" s="9"/>
      <c r="ACV447" s="9"/>
      <c r="ACW447" s="9"/>
      <c r="ACX447" s="9"/>
      <c r="ACY447" s="9"/>
      <c r="ACZ447" s="9"/>
      <c r="ADA447" s="9"/>
      <c r="ADB447" s="9"/>
      <c r="ADC447" s="9"/>
      <c r="ADD447" s="9"/>
      <c r="ADE447" s="9"/>
      <c r="ADF447" s="9"/>
      <c r="ADG447" s="9"/>
      <c r="ADH447" s="9"/>
      <c r="ADI447" s="9"/>
      <c r="ADJ447" s="9"/>
      <c r="ADK447" s="9"/>
      <c r="ADL447" s="9"/>
      <c r="ADM447" s="9"/>
      <c r="ADN447" s="9"/>
      <c r="ADO447" s="9"/>
      <c r="ADP447" s="9"/>
      <c r="ADQ447" s="9"/>
      <c r="ADR447" s="9"/>
      <c r="ADS447" s="9"/>
      <c r="ADT447" s="9"/>
      <c r="ADU447" s="9"/>
      <c r="ADV447" s="9"/>
      <c r="ADW447" s="9"/>
      <c r="ADX447" s="9"/>
      <c r="ADY447" s="9"/>
      <c r="ADZ447" s="9"/>
      <c r="AEA447" s="9"/>
      <c r="AEB447" s="9"/>
      <c r="AEC447" s="9"/>
      <c r="AED447" s="9"/>
      <c r="AEE447" s="9"/>
      <c r="AEF447" s="9"/>
      <c r="AEG447" s="9"/>
      <c r="AEH447" s="9"/>
      <c r="AEI447" s="9"/>
      <c r="AEJ447" s="9"/>
      <c r="AEK447" s="9"/>
      <c r="AEL447" s="9"/>
      <c r="AEM447" s="9"/>
      <c r="AEN447" s="9"/>
      <c r="AEO447" s="9"/>
      <c r="AEP447" s="9"/>
      <c r="AEQ447" s="9"/>
      <c r="AER447" s="9"/>
      <c r="AES447" s="9"/>
      <c r="AET447" s="9"/>
      <c r="AEU447" s="9"/>
      <c r="AEV447" s="9"/>
      <c r="AEW447" s="9"/>
      <c r="AEX447" s="9"/>
      <c r="AEY447" s="9"/>
      <c r="AEZ447" s="9"/>
      <c r="AFA447" s="9"/>
      <c r="AFB447" s="9"/>
      <c r="AFC447" s="9"/>
      <c r="AFD447" s="9"/>
      <c r="AFE447" s="9"/>
      <c r="AFF447" s="9"/>
      <c r="AFG447" s="9"/>
      <c r="AFH447" s="9"/>
      <c r="AFI447" s="9"/>
      <c r="AFJ447" s="9"/>
      <c r="AFK447" s="9"/>
      <c r="AFL447" s="9"/>
      <c r="AFM447" s="9"/>
      <c r="AFN447" s="9"/>
      <c r="AFO447" s="9"/>
      <c r="AFP447" s="9"/>
      <c r="AFQ447" s="9"/>
      <c r="AFR447" s="9"/>
      <c r="AFS447" s="9"/>
      <c r="AFT447" s="9"/>
      <c r="AFU447" s="9"/>
      <c r="AFV447" s="9"/>
      <c r="AFW447" s="9"/>
      <c r="AFX447" s="9"/>
      <c r="AFY447" s="9"/>
      <c r="AFZ447" s="9"/>
      <c r="AGA447" s="9"/>
      <c r="AGB447" s="9"/>
      <c r="AGC447" s="9"/>
      <c r="AGD447" s="9"/>
      <c r="AGE447" s="9"/>
      <c r="AGF447" s="9"/>
      <c r="AGG447" s="9"/>
      <c r="AGH447" s="9"/>
      <c r="AGI447" s="9"/>
      <c r="AGJ447" s="9"/>
      <c r="AGK447" s="9"/>
      <c r="AGL447" s="9"/>
      <c r="AGM447" s="9"/>
      <c r="AGN447" s="9"/>
      <c r="AGO447" s="9"/>
      <c r="AGP447" s="9"/>
      <c r="AGQ447" s="9"/>
      <c r="AGR447" s="9"/>
      <c r="AGS447" s="9"/>
      <c r="AGT447" s="9"/>
      <c r="AGU447" s="9"/>
      <c r="AGV447" s="9"/>
      <c r="AGW447" s="9"/>
      <c r="AGX447" s="9"/>
      <c r="AGY447" s="9"/>
      <c r="AGZ447" s="9"/>
      <c r="AHA447" s="9"/>
      <c r="AHB447" s="9"/>
      <c r="AHC447" s="9"/>
      <c r="AHD447" s="9"/>
      <c r="AHE447" s="9"/>
      <c r="AHF447" s="9"/>
      <c r="AHG447" s="9"/>
      <c r="AHH447" s="9"/>
      <c r="AHI447" s="9"/>
      <c r="AHJ447" s="9"/>
      <c r="AHK447" s="9"/>
      <c r="AHL447" s="9"/>
      <c r="AHM447" s="9"/>
      <c r="AHN447" s="9"/>
      <c r="AHO447" s="9"/>
      <c r="AHP447" s="9"/>
      <c r="AHQ447" s="9"/>
      <c r="AHR447" s="9"/>
      <c r="AHS447" s="9"/>
      <c r="AHT447" s="9"/>
      <c r="AHU447" s="9"/>
      <c r="AHV447" s="9"/>
      <c r="AHW447" s="9"/>
      <c r="AHX447" s="9"/>
      <c r="AHY447" s="9"/>
      <c r="AHZ447" s="9"/>
      <c r="AIA447" s="9"/>
      <c r="AIB447" s="9"/>
      <c r="AIC447" s="9"/>
      <c r="AID447" s="9"/>
      <c r="AIE447" s="9"/>
      <c r="AIF447" s="9"/>
      <c r="AIG447" s="9"/>
      <c r="AIH447" s="9"/>
      <c r="AII447" s="9"/>
      <c r="AIJ447" s="9"/>
      <c r="AIK447" s="9"/>
      <c r="AIL447" s="9"/>
      <c r="AIM447" s="9"/>
      <c r="AIN447" s="9"/>
      <c r="AIO447" s="9"/>
      <c r="AIP447" s="9"/>
      <c r="AIQ447" s="9"/>
      <c r="AIR447" s="9"/>
      <c r="AIS447" s="9"/>
      <c r="AIT447" s="9"/>
      <c r="AIU447" s="9"/>
      <c r="AIV447" s="9"/>
      <c r="AIW447" s="9"/>
      <c r="AIX447" s="9"/>
      <c r="AIY447" s="9"/>
      <c r="AIZ447" s="9"/>
      <c r="AJA447" s="9"/>
      <c r="AJB447" s="9"/>
      <c r="AJC447" s="9"/>
      <c r="AJD447" s="9"/>
      <c r="AJE447" s="9"/>
      <c r="AJF447" s="9"/>
      <c r="AJG447" s="9"/>
      <c r="AJH447" s="9"/>
      <c r="AJI447" s="9"/>
      <c r="AJJ447" s="9"/>
      <c r="AJK447" s="9"/>
      <c r="AJL447" s="9"/>
      <c r="AJM447" s="9"/>
      <c r="AJN447" s="9"/>
      <c r="AJO447" s="9"/>
      <c r="AJP447" s="9"/>
      <c r="AJQ447" s="9"/>
      <c r="AJR447" s="9"/>
      <c r="AJS447" s="9"/>
      <c r="AJT447" s="9"/>
      <c r="AJU447" s="9"/>
      <c r="AJV447" s="9"/>
      <c r="AJW447" s="9"/>
      <c r="AJX447" s="9"/>
      <c r="AJY447" s="9"/>
      <c r="AJZ447" s="9"/>
      <c r="AKA447" s="9"/>
      <c r="AKB447" s="9"/>
      <c r="AKC447" s="9"/>
      <c r="AKD447" s="9"/>
      <c r="AKE447" s="9"/>
      <c r="AKF447" s="9"/>
      <c r="AKG447" s="9"/>
      <c r="AKH447" s="9"/>
      <c r="AKI447" s="9"/>
      <c r="AKJ447" s="9"/>
      <c r="AKK447" s="9"/>
      <c r="AKL447" s="9"/>
      <c r="AKM447" s="9"/>
      <c r="AKN447" s="9"/>
      <c r="AKO447" s="9"/>
      <c r="AKP447" s="9"/>
      <c r="AKQ447" s="9"/>
      <c r="AKR447" s="9"/>
      <c r="AKS447" s="9"/>
      <c r="AKT447" s="9"/>
      <c r="AKU447" s="9"/>
      <c r="AKV447" s="9"/>
      <c r="AKW447" s="9"/>
      <c r="AKX447" s="9"/>
      <c r="AKY447" s="9"/>
      <c r="AKZ447" s="9"/>
      <c r="ALA447" s="9"/>
      <c r="ALB447" s="9"/>
      <c r="ALC447" s="9"/>
      <c r="ALD447" s="9"/>
      <c r="ALE447" s="9"/>
      <c r="ALF447" s="9"/>
      <c r="ALG447" s="9"/>
      <c r="ALH447" s="9"/>
      <c r="ALI447" s="9"/>
      <c r="ALJ447" s="9"/>
      <c r="ALK447" s="9"/>
      <c r="ALL447" s="9"/>
      <c r="ALM447" s="9"/>
      <c r="ALN447" s="9"/>
      <c r="ALO447" s="9"/>
      <c r="ALP447" s="9"/>
      <c r="ALQ447" s="9"/>
      <c r="ALR447" s="9"/>
      <c r="ALS447" s="9"/>
      <c r="ALT447" s="9"/>
      <c r="ALU447" s="9"/>
      <c r="ALV447" s="9"/>
      <c r="ALW447" s="9"/>
      <c r="ALX447" s="9"/>
      <c r="ALY447" s="9"/>
      <c r="ALZ447" s="9"/>
      <c r="AMA447" s="9"/>
      <c r="AMB447" s="9"/>
      <c r="AMC447" s="9"/>
      <c r="AMD447" s="9"/>
      <c r="AME447" s="9"/>
      <c r="AMF447" s="9"/>
      <c r="AMG447" s="9"/>
      <c r="AMH447" s="9"/>
      <c r="AMI447" s="9"/>
      <c r="AMJ447" s="9"/>
      <c r="AMK447" s="9"/>
      <c r="AML447" s="9"/>
      <c r="AMM447" s="9"/>
      <c r="AMN447" s="9"/>
      <c r="AMO447" s="9"/>
      <c r="AMP447" s="9"/>
    </row>
    <row r="448" spans="1:1030" s="12" customFormat="1" x14ac:dyDescent="0.2">
      <c r="A448" s="9" t="str">
        <f t="shared" ref="A448" si="4024">CONCATENATE(B448,"_",C448)</f>
        <v>fzd4_human_6BD4</v>
      </c>
      <c r="B448" s="9" t="s">
        <v>450</v>
      </c>
      <c r="C448" s="9" t="s">
        <v>1554</v>
      </c>
      <c r="D448" s="9" t="str">
        <f>IFERROR(MID(VLOOKUP($B448,Seqs!$A:$B,2,0),E448,1),"")</f>
        <v>S</v>
      </c>
      <c r="E448" s="9">
        <v>212</v>
      </c>
      <c r="F448" s="9" t="str">
        <f>IFERROR(MID(VLOOKUP($B448,Seqs!$A:$B,2,0),G448,1),"")</f>
        <v>D</v>
      </c>
      <c r="G448" s="9">
        <v>244</v>
      </c>
      <c r="H448" s="9" t="str">
        <f>IFERROR(MID(VLOOKUP($B448,Seqs!$A:$B,2,0),I448,1),"")</f>
        <v>S</v>
      </c>
      <c r="I448" s="109">
        <v>245</v>
      </c>
      <c r="J448" s="9" t="str">
        <f>IFERROR(MID(VLOOKUP($B448,Seqs!$A:$B,2,0),K448,1),"")</f>
        <v>S</v>
      </c>
      <c r="K448" s="109">
        <v>249</v>
      </c>
      <c r="L448" s="9" t="str">
        <f>IFERROR(MID(VLOOKUP($B448,Seqs!$A:$B,2,0),M448,1),"")</f>
        <v>Y</v>
      </c>
      <c r="M448" s="9">
        <v>250</v>
      </c>
      <c r="N448" s="9" t="str">
        <f>IFERROR(MID(VLOOKUP($B448,Seqs!$A:$B,2,0),O448,1),"")</f>
        <v>G</v>
      </c>
      <c r="O448" s="9">
        <v>276</v>
      </c>
      <c r="P448" s="9" t="str">
        <f>IFERROR(MID(VLOOKUP($B448,Seqs!$A:$B,2,0),Q448,1),"")</f>
        <v/>
      </c>
      <c r="Q448" s="9" t="s">
        <v>23</v>
      </c>
      <c r="R448" s="9" t="str">
        <f>IFERROR(MID(VLOOKUP($B448,Seqs!$A:$B,2,0),S448,1),"")</f>
        <v/>
      </c>
      <c r="S448" s="9" t="s">
        <v>23</v>
      </c>
      <c r="T448" s="9" t="str">
        <f>IFERROR(MID(VLOOKUP($B448,Seqs!$A:$B,2,0),U448,1),"")</f>
        <v>N</v>
      </c>
      <c r="U448" s="9">
        <v>299</v>
      </c>
      <c r="V448" s="9" t="str">
        <f>IFERROR(MID(VLOOKUP($B448,Seqs!$A:$B,2,0),W448,1),"")</f>
        <v>G</v>
      </c>
      <c r="W448" s="9">
        <v>332</v>
      </c>
      <c r="X448" s="9" t="str">
        <f>IFERROR(MID(VLOOKUP($B448,Seqs!$A:$B,2,0),Y448,1),"")</f>
        <v/>
      </c>
      <c r="Y448" s="9" t="s">
        <v>23</v>
      </c>
      <c r="Z448" s="9" t="str">
        <f>IFERROR(MID(VLOOKUP($B448,Seqs!$A:$B,2,0),AA448,1),"")</f>
        <v/>
      </c>
      <c r="AA448" s="9" t="s">
        <v>23</v>
      </c>
      <c r="AB448" s="9" t="str">
        <f>IFERROR(MID(VLOOKUP($B448,Seqs!$A:$B,2,0),AC448,1),"")</f>
        <v>H</v>
      </c>
      <c r="AC448" s="9">
        <v>343</v>
      </c>
      <c r="AD448" s="9" t="str">
        <f>IFERROR(MID(VLOOKUP($B448,Seqs!$A:$B,2,0),AE448,1),"")</f>
        <v>R</v>
      </c>
      <c r="AE448" s="9">
        <v>366</v>
      </c>
      <c r="AF448" s="9" t="str">
        <f>IFERROR(MID(VLOOKUP($B448,Seqs!$A:$B,2,0),AG448,1),"")</f>
        <v>C</v>
      </c>
      <c r="AG448" s="9">
        <v>377</v>
      </c>
      <c r="AH448" s="9" t="str">
        <f>IFERROR(MID(VLOOKUP($B448,Seqs!$A:$B,2,0),AI448,1),"")</f>
        <v>V</v>
      </c>
      <c r="AI448" s="9">
        <v>379</v>
      </c>
      <c r="AJ448" s="9" t="str">
        <f>IFERROR(MID(VLOOKUP($B448,Seqs!$A:$B,2,0),AK448,1),"")</f>
        <v>N</v>
      </c>
      <c r="AK448" s="9">
        <v>383</v>
      </c>
      <c r="AL448" s="9" t="str">
        <f>IFERROR(MID(VLOOKUP($B448,Seqs!$A:$B,2,0),AM448,1),"")</f>
        <v>S</v>
      </c>
      <c r="AM448" s="9">
        <v>418</v>
      </c>
      <c r="AN448" s="9" t="str">
        <f>IFERROR(MID(VLOOKUP($B448,Seqs!$A:$B,2,0),AO448,1),"")</f>
        <v>E</v>
      </c>
      <c r="AO448" s="9">
        <v>431</v>
      </c>
      <c r="AP448" s="9" t="str">
        <f>IFERROR(MID(VLOOKUP($B448,Seqs!$A:$B,2,0),AQ448,1),"")</f>
        <v>N</v>
      </c>
      <c r="AQ448" s="9">
        <v>461</v>
      </c>
      <c r="AR448" s="9" t="str">
        <f>IFERROR(MID(VLOOKUP($B448,Seqs!$A:$B,2,0),AS448,1),"")</f>
        <v>N</v>
      </c>
      <c r="AS448" s="9">
        <v>473</v>
      </c>
      <c r="AT448" s="9" t="str">
        <f>IFERROR(MID(VLOOKUP($B448,Seqs!$A:$B,2,0),AU448,1),"")</f>
        <v>W</v>
      </c>
      <c r="AU448" s="9">
        <v>496</v>
      </c>
      <c r="AV448" s="9" t="str">
        <f>IFERROR(MID(VLOOKUP($B448,Seqs!$A:$B,2,0),AW448,1),"")</f>
        <v>S</v>
      </c>
      <c r="AW448" s="9">
        <v>497</v>
      </c>
      <c r="AX448" s="9" t="str">
        <f>IFERROR(MID(VLOOKUP($B448,Seqs!$A:$B,2,0),AY448,1),"")</f>
        <v>V</v>
      </c>
      <c r="AY448" s="9">
        <v>512</v>
      </c>
      <c r="AZ448" s="110" t="str">
        <f>VLOOKUP(B448,Classification!A:D,2,0)</f>
        <v>F</v>
      </c>
      <c r="BA448" s="98" t="str">
        <f>VLOOKUP(B448,Classification!A:D,4,0)</f>
        <v>Frizzled</v>
      </c>
      <c r="BB448" s="36" t="b">
        <f t="shared" si="3997"/>
        <v>1</v>
      </c>
      <c r="BC448" s="109">
        <f t="shared" si="3998"/>
        <v>235</v>
      </c>
      <c r="BD448" s="11" t="s">
        <v>1376</v>
      </c>
      <c r="BE448" s="9" t="s">
        <v>1374</v>
      </c>
      <c r="BF448" s="119">
        <v>2.4</v>
      </c>
      <c r="BG448" s="51" t="s">
        <v>1</v>
      </c>
      <c r="BH448" s="51" t="s">
        <v>1</v>
      </c>
      <c r="BI448" s="9"/>
      <c r="BJ448" s="111" t="s">
        <v>1287</v>
      </c>
      <c r="BK448" s="112" t="s">
        <v>1287</v>
      </c>
      <c r="BL448" s="112" t="s">
        <v>1287</v>
      </c>
      <c r="BM448" s="112" t="s">
        <v>1287</v>
      </c>
      <c r="BN448" s="112" t="s">
        <v>1287</v>
      </c>
      <c r="BO448" s="112" t="s">
        <v>1287</v>
      </c>
      <c r="BP448" s="112" t="s">
        <v>1287</v>
      </c>
      <c r="BQ448" s="112" t="s">
        <v>1287</v>
      </c>
      <c r="BR448" s="112" t="s">
        <v>1287</v>
      </c>
      <c r="BS448" s="112" t="s">
        <v>1287</v>
      </c>
      <c r="BT448" s="112" t="s">
        <v>1287</v>
      </c>
      <c r="BU448" s="112" t="s">
        <v>1287</v>
      </c>
      <c r="BV448" s="111">
        <f t="shared" si="3999"/>
        <v>212</v>
      </c>
      <c r="BW448" s="113">
        <f t="shared" si="4000"/>
        <v>245</v>
      </c>
      <c r="BX448" s="114">
        <f t="shared" si="4001"/>
        <v>250</v>
      </c>
      <c r="BY448" s="113" t="str">
        <f t="shared" si="4002"/>
        <v>-</v>
      </c>
      <c r="BZ448" s="114">
        <f t="shared" si="4003"/>
        <v>299</v>
      </c>
      <c r="CA448" s="113" t="str">
        <f t="shared" si="4004"/>
        <v>-</v>
      </c>
      <c r="CB448" s="114">
        <f t="shared" si="4005"/>
        <v>343</v>
      </c>
      <c r="CC448" s="113">
        <f t="shared" si="4006"/>
        <v>377</v>
      </c>
      <c r="CD448" s="114">
        <f t="shared" si="4007"/>
        <v>383</v>
      </c>
      <c r="CE448" s="113">
        <f t="shared" si="4008"/>
        <v>431</v>
      </c>
      <c r="CF448" s="114">
        <f t="shared" si="4009"/>
        <v>473</v>
      </c>
      <c r="CG448" s="113">
        <f t="shared" si="4010"/>
        <v>497</v>
      </c>
      <c r="CH448" s="111">
        <f t="shared" si="4011"/>
        <v>244</v>
      </c>
      <c r="CI448" s="113">
        <f t="shared" si="4012"/>
        <v>249</v>
      </c>
      <c r="CJ448" s="114">
        <f t="shared" si="4013"/>
        <v>276</v>
      </c>
      <c r="CK448" s="114" t="str">
        <f t="shared" si="4014"/>
        <v>-</v>
      </c>
      <c r="CL448" s="114">
        <f t="shared" si="4015"/>
        <v>332</v>
      </c>
      <c r="CM448" s="114" t="str">
        <f t="shared" si="4016"/>
        <v>-</v>
      </c>
      <c r="CN448" s="114">
        <f t="shared" si="4017"/>
        <v>366</v>
      </c>
      <c r="CO448" s="114">
        <f t="shared" si="4018"/>
        <v>379</v>
      </c>
      <c r="CP448" s="114">
        <f t="shared" si="4019"/>
        <v>418</v>
      </c>
      <c r="CQ448" s="114">
        <f t="shared" si="4020"/>
        <v>461</v>
      </c>
      <c r="CR448" s="114">
        <f t="shared" si="4021"/>
        <v>496</v>
      </c>
      <c r="CS448" s="114">
        <f t="shared" si="4022"/>
        <v>512</v>
      </c>
      <c r="CT448" s="109">
        <f t="shared" si="4023"/>
        <v>1</v>
      </c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  <c r="ZX448" s="9"/>
      <c r="ZY448" s="9"/>
      <c r="ZZ448" s="9"/>
      <c r="AAA448" s="9"/>
      <c r="AAB448" s="9"/>
      <c r="AAC448" s="9"/>
      <c r="AAD448" s="9"/>
      <c r="AAE448" s="9"/>
      <c r="AAF448" s="9"/>
      <c r="AAG448" s="9"/>
      <c r="AAH448" s="9"/>
      <c r="AAI448" s="9"/>
      <c r="AAJ448" s="9"/>
      <c r="AAK448" s="9"/>
      <c r="AAL448" s="9"/>
      <c r="AAM448" s="9"/>
      <c r="AAN448" s="9"/>
      <c r="AAO448" s="9"/>
      <c r="AAP448" s="9"/>
      <c r="AAQ448" s="9"/>
      <c r="AAR448" s="9"/>
      <c r="AAS448" s="9"/>
      <c r="AAT448" s="9"/>
      <c r="AAU448" s="9"/>
      <c r="AAV448" s="9"/>
      <c r="AAW448" s="9"/>
      <c r="AAX448" s="9"/>
      <c r="AAY448" s="9"/>
      <c r="AAZ448" s="9"/>
      <c r="ABA448" s="9"/>
      <c r="ABB448" s="9"/>
      <c r="ABC448" s="9"/>
      <c r="ABD448" s="9"/>
      <c r="ABE448" s="9"/>
      <c r="ABF448" s="9"/>
      <c r="ABG448" s="9"/>
      <c r="ABH448" s="9"/>
      <c r="ABI448" s="9"/>
      <c r="ABJ448" s="9"/>
      <c r="ABK448" s="9"/>
      <c r="ABL448" s="9"/>
      <c r="ABM448" s="9"/>
      <c r="ABN448" s="9"/>
      <c r="ABO448" s="9"/>
      <c r="ABP448" s="9"/>
      <c r="ABQ448" s="9"/>
      <c r="ABR448" s="9"/>
      <c r="ABS448" s="9"/>
      <c r="ABT448" s="9"/>
      <c r="ABU448" s="9"/>
      <c r="ABV448" s="9"/>
      <c r="ABW448" s="9"/>
      <c r="ABX448" s="9"/>
      <c r="ABY448" s="9"/>
      <c r="ABZ448" s="9"/>
      <c r="ACA448" s="9"/>
      <c r="ACB448" s="9"/>
      <c r="ACC448" s="9"/>
      <c r="ACD448" s="9"/>
      <c r="ACE448" s="9"/>
      <c r="ACF448" s="9"/>
      <c r="ACG448" s="9"/>
      <c r="ACH448" s="9"/>
      <c r="ACI448" s="9"/>
      <c r="ACJ448" s="9"/>
      <c r="ACK448" s="9"/>
      <c r="ACL448" s="9"/>
      <c r="ACM448" s="9"/>
      <c r="ACN448" s="9"/>
      <c r="ACO448" s="9"/>
      <c r="ACP448" s="9"/>
      <c r="ACQ448" s="9"/>
      <c r="ACR448" s="9"/>
      <c r="ACS448" s="9"/>
      <c r="ACT448" s="9"/>
      <c r="ACU448" s="9"/>
      <c r="ACV448" s="9"/>
      <c r="ACW448" s="9"/>
      <c r="ACX448" s="9"/>
      <c r="ACY448" s="9"/>
      <c r="ACZ448" s="9"/>
      <c r="ADA448" s="9"/>
      <c r="ADB448" s="9"/>
      <c r="ADC448" s="9"/>
      <c r="ADD448" s="9"/>
      <c r="ADE448" s="9"/>
      <c r="ADF448" s="9"/>
      <c r="ADG448" s="9"/>
      <c r="ADH448" s="9"/>
      <c r="ADI448" s="9"/>
      <c r="ADJ448" s="9"/>
      <c r="ADK448" s="9"/>
      <c r="ADL448" s="9"/>
      <c r="ADM448" s="9"/>
      <c r="ADN448" s="9"/>
      <c r="ADO448" s="9"/>
      <c r="ADP448" s="9"/>
      <c r="ADQ448" s="9"/>
      <c r="ADR448" s="9"/>
      <c r="ADS448" s="9"/>
      <c r="ADT448" s="9"/>
      <c r="ADU448" s="9"/>
      <c r="ADV448" s="9"/>
      <c r="ADW448" s="9"/>
      <c r="ADX448" s="9"/>
      <c r="ADY448" s="9"/>
      <c r="ADZ448" s="9"/>
      <c r="AEA448" s="9"/>
      <c r="AEB448" s="9"/>
      <c r="AEC448" s="9"/>
      <c r="AED448" s="9"/>
      <c r="AEE448" s="9"/>
      <c r="AEF448" s="9"/>
      <c r="AEG448" s="9"/>
      <c r="AEH448" s="9"/>
      <c r="AEI448" s="9"/>
      <c r="AEJ448" s="9"/>
      <c r="AEK448" s="9"/>
      <c r="AEL448" s="9"/>
      <c r="AEM448" s="9"/>
      <c r="AEN448" s="9"/>
      <c r="AEO448" s="9"/>
      <c r="AEP448" s="9"/>
      <c r="AEQ448" s="9"/>
      <c r="AER448" s="9"/>
      <c r="AES448" s="9"/>
      <c r="AET448" s="9"/>
      <c r="AEU448" s="9"/>
      <c r="AEV448" s="9"/>
      <c r="AEW448" s="9"/>
      <c r="AEX448" s="9"/>
      <c r="AEY448" s="9"/>
      <c r="AEZ448" s="9"/>
      <c r="AFA448" s="9"/>
      <c r="AFB448" s="9"/>
      <c r="AFC448" s="9"/>
      <c r="AFD448" s="9"/>
      <c r="AFE448" s="9"/>
      <c r="AFF448" s="9"/>
      <c r="AFG448" s="9"/>
      <c r="AFH448" s="9"/>
      <c r="AFI448" s="9"/>
      <c r="AFJ448" s="9"/>
      <c r="AFK448" s="9"/>
      <c r="AFL448" s="9"/>
      <c r="AFM448" s="9"/>
      <c r="AFN448" s="9"/>
      <c r="AFO448" s="9"/>
      <c r="AFP448" s="9"/>
      <c r="AFQ448" s="9"/>
      <c r="AFR448" s="9"/>
      <c r="AFS448" s="9"/>
      <c r="AFT448" s="9"/>
      <c r="AFU448" s="9"/>
      <c r="AFV448" s="9"/>
      <c r="AFW448" s="9"/>
      <c r="AFX448" s="9"/>
      <c r="AFY448" s="9"/>
      <c r="AFZ448" s="9"/>
      <c r="AGA448" s="9"/>
      <c r="AGB448" s="9"/>
      <c r="AGC448" s="9"/>
      <c r="AGD448" s="9"/>
      <c r="AGE448" s="9"/>
      <c r="AGF448" s="9"/>
      <c r="AGG448" s="9"/>
      <c r="AGH448" s="9"/>
      <c r="AGI448" s="9"/>
      <c r="AGJ448" s="9"/>
      <c r="AGK448" s="9"/>
      <c r="AGL448" s="9"/>
      <c r="AGM448" s="9"/>
      <c r="AGN448" s="9"/>
      <c r="AGO448" s="9"/>
      <c r="AGP448" s="9"/>
      <c r="AGQ448" s="9"/>
      <c r="AGR448" s="9"/>
      <c r="AGS448" s="9"/>
      <c r="AGT448" s="9"/>
      <c r="AGU448" s="9"/>
      <c r="AGV448" s="9"/>
      <c r="AGW448" s="9"/>
      <c r="AGX448" s="9"/>
      <c r="AGY448" s="9"/>
      <c r="AGZ448" s="9"/>
      <c r="AHA448" s="9"/>
      <c r="AHB448" s="9"/>
      <c r="AHC448" s="9"/>
      <c r="AHD448" s="9"/>
      <c r="AHE448" s="9"/>
      <c r="AHF448" s="9"/>
      <c r="AHG448" s="9"/>
      <c r="AHH448" s="9"/>
      <c r="AHI448" s="9"/>
      <c r="AHJ448" s="9"/>
      <c r="AHK448" s="9"/>
      <c r="AHL448" s="9"/>
      <c r="AHM448" s="9"/>
      <c r="AHN448" s="9"/>
      <c r="AHO448" s="9"/>
      <c r="AHP448" s="9"/>
      <c r="AHQ448" s="9"/>
      <c r="AHR448" s="9"/>
      <c r="AHS448" s="9"/>
      <c r="AHT448" s="9"/>
      <c r="AHU448" s="9"/>
      <c r="AHV448" s="9"/>
      <c r="AHW448" s="9"/>
      <c r="AHX448" s="9"/>
      <c r="AHY448" s="9"/>
      <c r="AHZ448" s="9"/>
      <c r="AIA448" s="9"/>
      <c r="AIB448" s="9"/>
      <c r="AIC448" s="9"/>
      <c r="AID448" s="9"/>
      <c r="AIE448" s="9"/>
      <c r="AIF448" s="9"/>
      <c r="AIG448" s="9"/>
      <c r="AIH448" s="9"/>
      <c r="AII448" s="9"/>
      <c r="AIJ448" s="9"/>
      <c r="AIK448" s="9"/>
      <c r="AIL448" s="9"/>
      <c r="AIM448" s="9"/>
      <c r="AIN448" s="9"/>
      <c r="AIO448" s="9"/>
      <c r="AIP448" s="9"/>
      <c r="AIQ448" s="9"/>
      <c r="AIR448" s="9"/>
      <c r="AIS448" s="9"/>
      <c r="AIT448" s="9"/>
      <c r="AIU448" s="9"/>
      <c r="AIV448" s="9"/>
      <c r="AIW448" s="9"/>
      <c r="AIX448" s="9"/>
      <c r="AIY448" s="9"/>
      <c r="AIZ448" s="9"/>
      <c r="AJA448" s="9"/>
      <c r="AJB448" s="9"/>
      <c r="AJC448" s="9"/>
      <c r="AJD448" s="9"/>
      <c r="AJE448" s="9"/>
      <c r="AJF448" s="9"/>
      <c r="AJG448" s="9"/>
      <c r="AJH448" s="9"/>
      <c r="AJI448" s="9"/>
      <c r="AJJ448" s="9"/>
      <c r="AJK448" s="9"/>
      <c r="AJL448" s="9"/>
      <c r="AJM448" s="9"/>
      <c r="AJN448" s="9"/>
      <c r="AJO448" s="9"/>
      <c r="AJP448" s="9"/>
      <c r="AJQ448" s="9"/>
      <c r="AJR448" s="9"/>
      <c r="AJS448" s="9"/>
      <c r="AJT448" s="9"/>
      <c r="AJU448" s="9"/>
      <c r="AJV448" s="9"/>
      <c r="AJW448" s="9"/>
      <c r="AJX448" s="9"/>
      <c r="AJY448" s="9"/>
      <c r="AJZ448" s="9"/>
      <c r="AKA448" s="9"/>
      <c r="AKB448" s="9"/>
      <c r="AKC448" s="9"/>
      <c r="AKD448" s="9"/>
      <c r="AKE448" s="9"/>
      <c r="AKF448" s="9"/>
      <c r="AKG448" s="9"/>
      <c r="AKH448" s="9"/>
      <c r="AKI448" s="9"/>
      <c r="AKJ448" s="9"/>
      <c r="AKK448" s="9"/>
      <c r="AKL448" s="9"/>
      <c r="AKM448" s="9"/>
      <c r="AKN448" s="9"/>
      <c r="AKO448" s="9"/>
      <c r="AKP448" s="9"/>
      <c r="AKQ448" s="9"/>
      <c r="AKR448" s="9"/>
      <c r="AKS448" s="9"/>
      <c r="AKT448" s="9"/>
      <c r="AKU448" s="9"/>
      <c r="AKV448" s="9"/>
      <c r="AKW448" s="9"/>
      <c r="AKX448" s="9"/>
      <c r="AKY448" s="9"/>
      <c r="AKZ448" s="9"/>
      <c r="ALA448" s="9"/>
      <c r="ALB448" s="9"/>
      <c r="ALC448" s="9"/>
      <c r="ALD448" s="9"/>
      <c r="ALE448" s="9"/>
      <c r="ALF448" s="9"/>
      <c r="ALG448" s="9"/>
      <c r="ALH448" s="9"/>
      <c r="ALI448" s="9"/>
      <c r="ALJ448" s="9"/>
      <c r="ALK448" s="9"/>
      <c r="ALL448" s="9"/>
      <c r="ALM448" s="9"/>
      <c r="ALN448" s="9"/>
      <c r="ALO448" s="9"/>
      <c r="ALP448" s="9"/>
      <c r="ALQ448" s="9"/>
      <c r="ALR448" s="9"/>
      <c r="ALS448" s="9"/>
      <c r="ALT448" s="9"/>
      <c r="ALU448" s="9"/>
      <c r="ALV448" s="9"/>
      <c r="ALW448" s="9"/>
      <c r="ALX448" s="9"/>
      <c r="ALY448" s="9"/>
      <c r="ALZ448" s="9"/>
      <c r="AMA448" s="9"/>
      <c r="AMB448" s="9"/>
      <c r="AMC448" s="9"/>
      <c r="AMD448" s="9"/>
      <c r="AME448" s="9"/>
      <c r="AMF448" s="9"/>
      <c r="AMG448" s="9"/>
      <c r="AMH448" s="9"/>
      <c r="AMI448" s="9"/>
      <c r="AMJ448" s="9"/>
      <c r="AMK448" s="9"/>
      <c r="AML448" s="9"/>
      <c r="AMM448" s="9"/>
      <c r="AMN448" s="9"/>
      <c r="AMO448" s="9"/>
      <c r="AMP448" s="9"/>
    </row>
    <row r="449" spans="1:1030" x14ac:dyDescent="0.2">
      <c r="A449" s="3" t="str">
        <f t="shared" si="3603"/>
        <v>smo_human__wt</v>
      </c>
      <c r="B449" s="3" t="s">
        <v>33</v>
      </c>
      <c r="C449" s="3" t="s">
        <v>100</v>
      </c>
      <c r="D449" s="3" t="str">
        <f>IFERROR(MID(VLOOKUP($B449,Seqs!$A:$B,2,0),E449,1),"")</f>
        <v>T</v>
      </c>
      <c r="E449" s="105">
        <v>223</v>
      </c>
      <c r="F449" s="3" t="str">
        <f>IFERROR(MID(VLOOKUP($B449,Seqs!$A:$B,2,0),G449,1),"")</f>
        <v>D</v>
      </c>
      <c r="G449" s="3">
        <v>255</v>
      </c>
      <c r="H449" s="3" t="str">
        <f>IFERROR(MID(VLOOKUP($B449,Seqs!$A:$B,2,0),I449,1),"")</f>
        <v>W</v>
      </c>
      <c r="I449" s="23">
        <v>256</v>
      </c>
      <c r="J449" s="3" t="str">
        <f>IFERROR(MID(VLOOKUP($B449,Seqs!$A:$B,2,0),K449,1),"")</f>
        <v>N</v>
      </c>
      <c r="K449" s="23">
        <v>260</v>
      </c>
      <c r="L449" s="3" t="str">
        <f>IFERROR(MID(VLOOKUP($B449,Seqs!$A:$B,2,0),M449,1),"")</f>
        <v>R</v>
      </c>
      <c r="M449" s="3">
        <v>261</v>
      </c>
      <c r="N449" s="3" t="str">
        <f>IFERROR(MID(VLOOKUP($B449,Seqs!$A:$B,2,0),O449,1),"")</f>
        <v>F</v>
      </c>
      <c r="O449" s="3">
        <v>285</v>
      </c>
      <c r="P449" s="3" t="str">
        <f>IFERROR(MID(VLOOKUP($B449,Seqs!$A:$B,2,0),Q449,1),"")</f>
        <v/>
      </c>
      <c r="Q449" s="3" t="s">
        <v>23</v>
      </c>
      <c r="R449" s="3" t="str">
        <f>IFERROR(MID(VLOOKUP($B449,Seqs!$A:$B,2,0),S449,1),"")</f>
        <v/>
      </c>
      <c r="S449" s="3" t="s">
        <v>23</v>
      </c>
      <c r="T449" s="3" t="str">
        <f>IFERROR(MID(VLOOKUP($B449,Seqs!$A:$B,2,0),U449,1),"")</f>
        <v>L</v>
      </c>
      <c r="U449" s="3">
        <v>312</v>
      </c>
      <c r="V449" s="3" t="str">
        <f>IFERROR(MID(VLOOKUP($B449,Seqs!$A:$B,2,0),W449,1),"")</f>
        <v>A</v>
      </c>
      <c r="W449" s="105">
        <v>345</v>
      </c>
      <c r="X449" s="3" t="str">
        <f>IFERROR(MID(VLOOKUP($B449,Seqs!$A:$B,2,0),Y449,1),"")</f>
        <v/>
      </c>
      <c r="Y449" s="3" t="s">
        <v>23</v>
      </c>
      <c r="Z449" s="3" t="str">
        <f>IFERROR(MID(VLOOKUP($B449,Seqs!$A:$B,2,0),AA449,1),"")</f>
        <v/>
      </c>
      <c r="AA449" s="3" t="s">
        <v>23</v>
      </c>
      <c r="AB449" s="3" t="str">
        <f>IFERROR(MID(VLOOKUP($B449,Seqs!$A:$B,2,0),AC449,1),"")</f>
        <v>K</v>
      </c>
      <c r="AC449" s="9">
        <v>356</v>
      </c>
      <c r="AD449" s="3" t="str">
        <f>IFERROR(MID(VLOOKUP($B449,Seqs!$A:$B,2,0),AE449,1),"")</f>
        <v>A</v>
      </c>
      <c r="AE449" s="105">
        <v>379</v>
      </c>
      <c r="AF449" s="3" t="str">
        <f>IFERROR(MID(VLOOKUP($B449,Seqs!$A:$B,2,0),AG449,1),"")</f>
        <v>C</v>
      </c>
      <c r="AG449" s="3">
        <v>390</v>
      </c>
      <c r="AH449" s="3" t="str">
        <f>IFERROR(MID(VLOOKUP($B449,Seqs!$A:$B,2,0),AI449,1),"")</f>
        <v>V</v>
      </c>
      <c r="AI449" s="3">
        <v>392</v>
      </c>
      <c r="AJ449" s="3" t="str">
        <f>IFERROR(MID(VLOOKUP($B449,Seqs!$A:$B,2,0),AK449,1),"")</f>
        <v>N</v>
      </c>
      <c r="AK449" s="105">
        <v>396</v>
      </c>
      <c r="AL449" s="3" t="str">
        <f>IFERROR(MID(VLOOKUP($B449,Seqs!$A:$B,2,0),AM449,1),"")</f>
        <v>H</v>
      </c>
      <c r="AM449" s="3">
        <v>433</v>
      </c>
      <c r="AN449" s="3" t="str">
        <f>IFERROR(MID(VLOOKUP($B449,Seqs!$A:$B,2,0),AO449,1),"")</f>
        <v>S</v>
      </c>
      <c r="AO449" s="105">
        <v>438</v>
      </c>
      <c r="AP449" s="3" t="str">
        <f>IFERROR(MID(VLOOKUP($B449,Seqs!$A:$B,2,0),AQ449,1),"")</f>
        <v>I</v>
      </c>
      <c r="AQ449" s="3">
        <v>496</v>
      </c>
      <c r="AR449" s="3" t="str">
        <f>IFERROR(MID(VLOOKUP($B449,Seqs!$A:$B,2,0),AS449,1),"")</f>
        <v>S</v>
      </c>
      <c r="AS449" s="105">
        <v>514</v>
      </c>
      <c r="AT449" s="3" t="str">
        <f>IFERROR(MID(VLOOKUP($B449,Seqs!$A:$B,2,0),AU449,1),"")</f>
        <v>W</v>
      </c>
      <c r="AU449" s="3">
        <v>537</v>
      </c>
      <c r="AV449" s="3" t="str">
        <f>IFERROR(MID(VLOOKUP($B449,Seqs!$A:$B,2,0),AW449,1),"")</f>
        <v>T</v>
      </c>
      <c r="AW449" s="3">
        <v>538</v>
      </c>
      <c r="AX449" s="3" t="str">
        <f>IFERROR(MID(VLOOKUP($B449,Seqs!$A:$B,2,0),AY449,1),"")</f>
        <v>T</v>
      </c>
      <c r="AY449" s="3">
        <v>553</v>
      </c>
      <c r="AZ449" s="77" t="str">
        <f>VLOOKUP(B449,Classification!A:D,2,0)</f>
        <v>F</v>
      </c>
      <c r="BA449" s="94" t="str">
        <f>VLOOKUP(B449,Classification!A:D,4,0)</f>
        <v>Frizzled</v>
      </c>
      <c r="BB449" s="27" t="b">
        <f t="shared" si="3604"/>
        <v>1</v>
      </c>
      <c r="BC449" s="23">
        <f t="shared" si="3549"/>
        <v>263</v>
      </c>
      <c r="BD449" s="56" t="s">
        <v>23</v>
      </c>
      <c r="BE449" s="3" t="s">
        <v>23</v>
      </c>
      <c r="BF449" s="118" t="s">
        <v>23</v>
      </c>
      <c r="BG449" s="49" t="s">
        <v>1372</v>
      </c>
      <c r="BH449" s="49" t="s">
        <v>1377</v>
      </c>
      <c r="BJ449" s="70" t="s">
        <v>1287</v>
      </c>
      <c r="BK449" s="57" t="s">
        <v>1287</v>
      </c>
      <c r="BL449" s="57" t="s">
        <v>1287</v>
      </c>
      <c r="BM449" s="57" t="s">
        <v>1287</v>
      </c>
      <c r="BN449" s="57" t="s">
        <v>1287</v>
      </c>
      <c r="BO449" s="57" t="s">
        <v>1287</v>
      </c>
      <c r="BP449" s="57" t="s">
        <v>1287</v>
      </c>
      <c r="BQ449" s="57" t="s">
        <v>1287</v>
      </c>
      <c r="BR449" s="57" t="s">
        <v>1287</v>
      </c>
      <c r="BS449" s="57" t="s">
        <v>1287</v>
      </c>
      <c r="BT449" s="57" t="s">
        <v>1287</v>
      </c>
      <c r="BU449" s="57" t="s">
        <v>1287</v>
      </c>
      <c r="BV449" s="70">
        <f t="shared" si="3550"/>
        <v>223</v>
      </c>
      <c r="BW449" s="71">
        <f t="shared" si="3551"/>
        <v>256</v>
      </c>
      <c r="BX449" s="72">
        <f t="shared" si="3552"/>
        <v>261</v>
      </c>
      <c r="BY449" s="71" t="str">
        <f t="shared" si="3553"/>
        <v>-</v>
      </c>
      <c r="BZ449" s="72">
        <f t="shared" si="3554"/>
        <v>312</v>
      </c>
      <c r="CA449" s="71" t="str">
        <f t="shared" si="3555"/>
        <v>-</v>
      </c>
      <c r="CB449" s="72">
        <f t="shared" si="3556"/>
        <v>356</v>
      </c>
      <c r="CC449" s="71">
        <f t="shared" si="3557"/>
        <v>390</v>
      </c>
      <c r="CD449" s="72">
        <f t="shared" si="3558"/>
        <v>396</v>
      </c>
      <c r="CE449" s="71">
        <f t="shared" si="3559"/>
        <v>438</v>
      </c>
      <c r="CF449" s="72">
        <f t="shared" si="3560"/>
        <v>514</v>
      </c>
      <c r="CG449" s="71">
        <f t="shared" si="3561"/>
        <v>538</v>
      </c>
      <c r="CH449" s="70">
        <f t="shared" si="3562"/>
        <v>255</v>
      </c>
      <c r="CI449" s="71">
        <f t="shared" si="3563"/>
        <v>260</v>
      </c>
      <c r="CJ449" s="72">
        <f t="shared" si="3564"/>
        <v>285</v>
      </c>
      <c r="CK449" s="72" t="str">
        <f t="shared" si="3565"/>
        <v>-</v>
      </c>
      <c r="CL449" s="72">
        <f t="shared" si="3566"/>
        <v>345</v>
      </c>
      <c r="CM449" s="72" t="str">
        <f t="shared" si="3567"/>
        <v>-</v>
      </c>
      <c r="CN449" s="72">
        <f t="shared" si="3568"/>
        <v>379</v>
      </c>
      <c r="CO449" s="72">
        <f t="shared" si="3569"/>
        <v>392</v>
      </c>
      <c r="CP449" s="72">
        <f t="shared" si="3570"/>
        <v>433</v>
      </c>
      <c r="CQ449" s="72">
        <f t="shared" si="3571"/>
        <v>496</v>
      </c>
      <c r="CR449" s="72">
        <f t="shared" si="3572"/>
        <v>537</v>
      </c>
      <c r="CS449" s="72">
        <f t="shared" si="3573"/>
        <v>553</v>
      </c>
      <c r="CT449" s="23">
        <f t="shared" si="3574"/>
        <v>1</v>
      </c>
    </row>
    <row r="450" spans="1:1030" x14ac:dyDescent="0.2">
      <c r="A450" s="3" t="str">
        <f t="shared" si="3603"/>
        <v>smo_human_4JKV</v>
      </c>
      <c r="B450" s="3" t="s">
        <v>33</v>
      </c>
      <c r="C450" s="3" t="s">
        <v>86</v>
      </c>
      <c r="D450" s="3" t="str">
        <f>IFERROR(MID(VLOOKUP($B450,Seqs!$A:$B,2,0),E450,1),"")</f>
        <v>T</v>
      </c>
      <c r="E450" s="105">
        <v>223</v>
      </c>
      <c r="F450" s="3" t="str">
        <f>IFERROR(MID(VLOOKUP($B450,Seqs!$A:$B,2,0),G450,1),"")</f>
        <v>D</v>
      </c>
      <c r="G450" s="3">
        <v>255</v>
      </c>
      <c r="H450" s="3" t="str">
        <f>IFERROR(MID(VLOOKUP($B450,Seqs!$A:$B,2,0),I450,1),"")</f>
        <v>W</v>
      </c>
      <c r="I450" s="23">
        <v>256</v>
      </c>
      <c r="J450" s="3" t="str">
        <f>IFERROR(MID(VLOOKUP($B450,Seqs!$A:$B,2,0),K450,1),"")</f>
        <v>N</v>
      </c>
      <c r="K450" s="23">
        <v>260</v>
      </c>
      <c r="L450" s="3" t="str">
        <f>IFERROR(MID(VLOOKUP($B450,Seqs!$A:$B,2,0),M450,1),"")</f>
        <v>R</v>
      </c>
      <c r="M450" s="3">
        <v>261</v>
      </c>
      <c r="N450" s="3" t="str">
        <f>IFERROR(MID(VLOOKUP($B450,Seqs!$A:$B,2,0),O450,1),"")</f>
        <v>F</v>
      </c>
      <c r="O450" s="3">
        <v>285</v>
      </c>
      <c r="P450" s="3" t="str">
        <f>IFERROR(MID(VLOOKUP($B450,Seqs!$A:$B,2,0),Q450,1),"")</f>
        <v/>
      </c>
      <c r="Q450" s="3" t="s">
        <v>23</v>
      </c>
      <c r="R450" s="3" t="str">
        <f>IFERROR(MID(VLOOKUP($B450,Seqs!$A:$B,2,0),S450,1),"")</f>
        <v/>
      </c>
      <c r="S450" s="3" t="s">
        <v>23</v>
      </c>
      <c r="T450" s="3" t="str">
        <f>IFERROR(MID(VLOOKUP($B450,Seqs!$A:$B,2,0),U450,1),"")</f>
        <v>L</v>
      </c>
      <c r="U450" s="3">
        <v>312</v>
      </c>
      <c r="V450" s="3" t="str">
        <f>IFERROR(MID(VLOOKUP($B450,Seqs!$A:$B,2,0),W450,1),"")</f>
        <v>T</v>
      </c>
      <c r="W450" s="3">
        <v>348</v>
      </c>
      <c r="X450" s="3" t="str">
        <f>IFERROR(MID(VLOOKUP($B450,Seqs!$A:$B,2,0),Y450,1),"")</f>
        <v/>
      </c>
      <c r="Y450" s="3" t="s">
        <v>23</v>
      </c>
      <c r="Z450" s="3" t="str">
        <f>IFERROR(MID(VLOOKUP($B450,Seqs!$A:$B,2,0),AA450,1),"")</f>
        <v/>
      </c>
      <c r="AA450" s="3" t="s">
        <v>23</v>
      </c>
      <c r="AB450" s="3" t="str">
        <f>IFERROR(MID(VLOOKUP($B450,Seqs!$A:$B,2,0),AC450,1),"")</f>
        <v>F</v>
      </c>
      <c r="AC450" s="9">
        <v>360</v>
      </c>
      <c r="AD450" s="3" t="str">
        <f>IFERROR(MID(VLOOKUP($B450,Seqs!$A:$B,2,0),AE450,1),"")</f>
        <v>A</v>
      </c>
      <c r="AE450" s="3">
        <v>379</v>
      </c>
      <c r="AF450" s="3" t="str">
        <f>IFERROR(MID(VLOOKUP($B450,Seqs!$A:$B,2,0),AG450,1),"")</f>
        <v>C</v>
      </c>
      <c r="AG450" s="3">
        <v>390</v>
      </c>
      <c r="AH450" s="3" t="str">
        <f>IFERROR(MID(VLOOKUP($B450,Seqs!$A:$B,2,0),AI450,1),"")</f>
        <v>V</v>
      </c>
      <c r="AI450" s="3">
        <v>392</v>
      </c>
      <c r="AJ450" s="3" t="str">
        <f>IFERROR(MID(VLOOKUP($B450,Seqs!$A:$B,2,0),AK450,1),"")</f>
        <v>N</v>
      </c>
      <c r="AK450" s="105">
        <v>396</v>
      </c>
      <c r="AL450" s="3" t="str">
        <f>IFERROR(MID(VLOOKUP($B450,Seqs!$A:$B,2,0),AM450,1),"")</f>
        <v>H</v>
      </c>
      <c r="AM450" s="3">
        <v>433</v>
      </c>
      <c r="AN450" s="3" t="str">
        <f>IFERROR(MID(VLOOKUP($B450,Seqs!$A:$B,2,0),AO450,1),"")</f>
        <v>A</v>
      </c>
      <c r="AO450" s="3">
        <v>442</v>
      </c>
      <c r="AP450" s="3" t="str">
        <f>IFERROR(MID(VLOOKUP($B450,Seqs!$A:$B,2,0),AQ450,1),"")</f>
        <v>N</v>
      </c>
      <c r="AQ450" s="3">
        <v>493</v>
      </c>
      <c r="AR450" s="3" t="str">
        <f>IFERROR(MID(VLOOKUP($B450,Seqs!$A:$B,2,0),AS450,1),"")</f>
        <v>S</v>
      </c>
      <c r="AS450" s="105">
        <v>514</v>
      </c>
      <c r="AT450" s="3" t="str">
        <f>IFERROR(MID(VLOOKUP($B450,Seqs!$A:$B,2,0),AU450,1),"")</f>
        <v>W</v>
      </c>
      <c r="AU450" s="3">
        <v>537</v>
      </c>
      <c r="AV450" s="3" t="str">
        <f>IFERROR(MID(VLOOKUP($B450,Seqs!$A:$B,2,0),AW450,1),"")</f>
        <v>T</v>
      </c>
      <c r="AW450" s="3">
        <v>538</v>
      </c>
      <c r="AX450" s="3" t="str">
        <f>IFERROR(MID(VLOOKUP($B450,Seqs!$A:$B,2,0),AY450,1),"")</f>
        <v>C</v>
      </c>
      <c r="AY450" s="3">
        <v>550</v>
      </c>
      <c r="AZ450" s="77" t="str">
        <f>VLOOKUP(B450,Classification!A:D,2,0)</f>
        <v>F</v>
      </c>
      <c r="BA450" s="94" t="str">
        <f>VLOOKUP(B450,Classification!A:D,4,0)</f>
        <v>Frizzled</v>
      </c>
      <c r="BB450" s="27" t="b">
        <f t="shared" si="3604"/>
        <v>1</v>
      </c>
      <c r="BC450" s="23">
        <f t="shared" si="3549"/>
        <v>252</v>
      </c>
      <c r="BD450" s="4" t="s">
        <v>23</v>
      </c>
      <c r="BE450" s="3" t="s">
        <v>1374</v>
      </c>
      <c r="BF450" s="118">
        <v>2.4500000000000002</v>
      </c>
      <c r="BG450" s="49" t="s">
        <v>1377</v>
      </c>
      <c r="BH450" s="49" t="s">
        <v>1377</v>
      </c>
      <c r="BJ450" s="70" t="s">
        <v>1287</v>
      </c>
      <c r="BK450" s="57" t="s">
        <v>1287</v>
      </c>
      <c r="BL450" s="57" t="s">
        <v>1287</v>
      </c>
      <c r="BM450" s="57" t="s">
        <v>1287</v>
      </c>
      <c r="BN450" s="57" t="s">
        <v>1287</v>
      </c>
      <c r="BO450" s="57" t="s">
        <v>1287</v>
      </c>
      <c r="BP450" s="57" t="s">
        <v>1287</v>
      </c>
      <c r="BQ450" s="57" t="s">
        <v>1287</v>
      </c>
      <c r="BR450" s="57" t="s">
        <v>1287</v>
      </c>
      <c r="BS450" s="57" t="s">
        <v>1287</v>
      </c>
      <c r="BT450" s="57" t="s">
        <v>1287</v>
      </c>
      <c r="BU450" s="57" t="s">
        <v>1287</v>
      </c>
      <c r="BV450" s="70">
        <f t="shared" si="3550"/>
        <v>223</v>
      </c>
      <c r="BW450" s="71">
        <f t="shared" si="3551"/>
        <v>256</v>
      </c>
      <c r="BX450" s="72">
        <f t="shared" si="3552"/>
        <v>261</v>
      </c>
      <c r="BY450" s="71" t="str">
        <f t="shared" si="3553"/>
        <v>-</v>
      </c>
      <c r="BZ450" s="72">
        <f t="shared" si="3554"/>
        <v>312</v>
      </c>
      <c r="CA450" s="71" t="str">
        <f t="shared" si="3555"/>
        <v>-</v>
      </c>
      <c r="CB450" s="72">
        <f t="shared" si="3556"/>
        <v>360</v>
      </c>
      <c r="CC450" s="71">
        <f t="shared" si="3557"/>
        <v>390</v>
      </c>
      <c r="CD450" s="72">
        <f t="shared" si="3558"/>
        <v>396</v>
      </c>
      <c r="CE450" s="71">
        <f t="shared" si="3559"/>
        <v>442</v>
      </c>
      <c r="CF450" s="72">
        <f t="shared" si="3560"/>
        <v>514</v>
      </c>
      <c r="CG450" s="71">
        <f t="shared" si="3561"/>
        <v>538</v>
      </c>
      <c r="CH450" s="70">
        <f t="shared" si="3562"/>
        <v>255</v>
      </c>
      <c r="CI450" s="71">
        <f t="shared" si="3563"/>
        <v>260</v>
      </c>
      <c r="CJ450" s="72">
        <f t="shared" si="3564"/>
        <v>285</v>
      </c>
      <c r="CK450" s="72" t="str">
        <f t="shared" si="3565"/>
        <v>-</v>
      </c>
      <c r="CL450" s="72">
        <f t="shared" si="3566"/>
        <v>348</v>
      </c>
      <c r="CM450" s="72" t="str">
        <f t="shared" si="3567"/>
        <v>-</v>
      </c>
      <c r="CN450" s="72">
        <f t="shared" si="3568"/>
        <v>379</v>
      </c>
      <c r="CO450" s="72">
        <f t="shared" si="3569"/>
        <v>392</v>
      </c>
      <c r="CP450" s="72">
        <f t="shared" si="3570"/>
        <v>433</v>
      </c>
      <c r="CQ450" s="72">
        <f t="shared" si="3571"/>
        <v>493</v>
      </c>
      <c r="CR450" s="72">
        <f t="shared" si="3572"/>
        <v>537</v>
      </c>
      <c r="CS450" s="72">
        <f t="shared" si="3573"/>
        <v>550</v>
      </c>
      <c r="CT450" s="23">
        <f t="shared" si="3574"/>
        <v>1</v>
      </c>
    </row>
    <row r="451" spans="1:1030" x14ac:dyDescent="0.2">
      <c r="A451" s="3" t="str">
        <f t="shared" si="3603"/>
        <v>smo_human_4N4W</v>
      </c>
      <c r="B451" s="3" t="s">
        <v>33</v>
      </c>
      <c r="C451" s="3" t="s">
        <v>1047</v>
      </c>
      <c r="D451" s="3" t="str">
        <f>IFERROR(MID(VLOOKUP($B451,Seqs!$A:$B,2,0),E451,1),"")</f>
        <v>T</v>
      </c>
      <c r="E451" s="105">
        <v>223</v>
      </c>
      <c r="F451" s="3" t="str">
        <f>IFERROR(MID(VLOOKUP($B451,Seqs!$A:$B,2,0),G451,1),"")</f>
        <v>D</v>
      </c>
      <c r="G451" s="3">
        <v>255</v>
      </c>
      <c r="H451" s="3" t="str">
        <f>IFERROR(MID(VLOOKUP($B451,Seqs!$A:$B,2,0),I451,1),"")</f>
        <v>W</v>
      </c>
      <c r="I451" s="23">
        <v>256</v>
      </c>
      <c r="J451" s="3" t="str">
        <f>IFERROR(MID(VLOOKUP($B451,Seqs!$A:$B,2,0),K451,1),"")</f>
        <v>N</v>
      </c>
      <c r="K451" s="23">
        <v>260</v>
      </c>
      <c r="L451" s="3" t="str">
        <f>IFERROR(MID(VLOOKUP($B451,Seqs!$A:$B,2,0),M451,1),"")</f>
        <v>R</v>
      </c>
      <c r="M451" s="3">
        <v>261</v>
      </c>
      <c r="N451" s="3" t="str">
        <f>IFERROR(MID(VLOOKUP($B451,Seqs!$A:$B,2,0),O451,1),"")</f>
        <v>F</v>
      </c>
      <c r="O451" s="3">
        <v>285</v>
      </c>
      <c r="P451" s="3" t="str">
        <f>IFERROR(MID(VLOOKUP($B451,Seqs!$A:$B,2,0),Q451,1),"")</f>
        <v/>
      </c>
      <c r="Q451" s="3" t="s">
        <v>23</v>
      </c>
      <c r="R451" s="3" t="str">
        <f>IFERROR(MID(VLOOKUP($B451,Seqs!$A:$B,2,0),S451,1),"")</f>
        <v/>
      </c>
      <c r="S451" s="3" t="s">
        <v>23</v>
      </c>
      <c r="T451" s="3" t="str">
        <f>IFERROR(MID(VLOOKUP($B451,Seqs!$A:$B,2,0),U451,1),"")</f>
        <v>L</v>
      </c>
      <c r="U451" s="3">
        <v>312</v>
      </c>
      <c r="V451" s="3" t="str">
        <f>IFERROR(MID(VLOOKUP($B451,Seqs!$A:$B,2,0),W451,1),"")</f>
        <v>A</v>
      </c>
      <c r="W451" s="3">
        <v>345</v>
      </c>
      <c r="X451" s="3" t="str">
        <f>IFERROR(MID(VLOOKUP($B451,Seqs!$A:$B,2,0),Y451,1),"")</f>
        <v/>
      </c>
      <c r="Y451" s="3" t="s">
        <v>23</v>
      </c>
      <c r="Z451" s="3" t="str">
        <f>IFERROR(MID(VLOOKUP($B451,Seqs!$A:$B,2,0),AA451,1),"")</f>
        <v/>
      </c>
      <c r="AA451" s="3" t="s">
        <v>23</v>
      </c>
      <c r="AB451" s="3" t="str">
        <f>IFERROR(MID(VLOOKUP($B451,Seqs!$A:$B,2,0),AC451,1),"")</f>
        <v>K</v>
      </c>
      <c r="AC451" s="9">
        <v>356</v>
      </c>
      <c r="AD451" s="3" t="str">
        <f>IFERROR(MID(VLOOKUP($B451,Seqs!$A:$B,2,0),AE451,1),"")</f>
        <v>V</v>
      </c>
      <c r="AE451" s="3">
        <v>378</v>
      </c>
      <c r="AF451" s="3" t="str">
        <f>IFERROR(MID(VLOOKUP($B451,Seqs!$A:$B,2,0),AG451,1),"")</f>
        <v>C</v>
      </c>
      <c r="AG451" s="3">
        <v>390</v>
      </c>
      <c r="AH451" s="3" t="str">
        <f>IFERROR(MID(VLOOKUP($B451,Seqs!$A:$B,2,0),AI451,1),"")</f>
        <v>V</v>
      </c>
      <c r="AI451" s="3">
        <v>392</v>
      </c>
      <c r="AJ451" s="3" t="str">
        <f>IFERROR(MID(VLOOKUP($B451,Seqs!$A:$B,2,0),AK451,1),"")</f>
        <v>N</v>
      </c>
      <c r="AK451" s="105">
        <v>396</v>
      </c>
      <c r="AL451" s="3" t="str">
        <f>IFERROR(MID(VLOOKUP($B451,Seqs!$A:$B,2,0),AM451,1),"")</f>
        <v>H</v>
      </c>
      <c r="AM451" s="3">
        <v>433</v>
      </c>
      <c r="AN451" s="3" t="str">
        <f>IFERROR(MID(VLOOKUP($B451,Seqs!$A:$B,2,0),AO451,1),"")</f>
        <v>S</v>
      </c>
      <c r="AO451" s="3">
        <v>443</v>
      </c>
      <c r="AP451" s="3" t="str">
        <f>IFERROR(MID(VLOOKUP($B451,Seqs!$A:$B,2,0),AQ451,1),"")</f>
        <v>Q</v>
      </c>
      <c r="AQ451" s="3">
        <v>491</v>
      </c>
      <c r="AR451" s="3" t="str">
        <f>IFERROR(MID(VLOOKUP($B451,Seqs!$A:$B,2,0),AS451,1),"")</f>
        <v>S</v>
      </c>
      <c r="AS451" s="105">
        <v>514</v>
      </c>
      <c r="AT451" s="3" t="str">
        <f>IFERROR(MID(VLOOKUP($B451,Seqs!$A:$B,2,0),AU451,1),"")</f>
        <v>W</v>
      </c>
      <c r="AU451" s="3">
        <v>537</v>
      </c>
      <c r="AV451" s="3" t="str">
        <f>IFERROR(MID(VLOOKUP($B451,Seqs!$A:$B,2,0),AW451,1),"")</f>
        <v>T</v>
      </c>
      <c r="AW451" s="3">
        <v>538</v>
      </c>
      <c r="AX451" s="3" t="str">
        <f>IFERROR(MID(VLOOKUP($B451,Seqs!$A:$B,2,0),AY451,1),"")</f>
        <v>L</v>
      </c>
      <c r="AY451" s="3">
        <v>552</v>
      </c>
      <c r="AZ451" s="77" t="str">
        <f>VLOOKUP(B451,Classification!A:D,2,0)</f>
        <v>F</v>
      </c>
      <c r="BA451" s="94" t="str">
        <f>VLOOKUP(B451,Classification!A:D,4,0)</f>
        <v>Frizzled</v>
      </c>
      <c r="BB451" s="27" t="b">
        <f t="shared" si="3604"/>
        <v>1</v>
      </c>
      <c r="BC451" s="23">
        <f t="shared" si="3549"/>
        <v>251</v>
      </c>
      <c r="BD451" s="2" t="s">
        <v>23</v>
      </c>
      <c r="BE451" s="3" t="s">
        <v>1374</v>
      </c>
      <c r="BF451" s="118">
        <v>2.8</v>
      </c>
      <c r="BG451" s="49" t="s">
        <v>1377</v>
      </c>
      <c r="BH451" s="49" t="s">
        <v>1377</v>
      </c>
      <c r="BJ451" s="70" t="s">
        <v>1287</v>
      </c>
      <c r="BK451" s="57" t="s">
        <v>1287</v>
      </c>
      <c r="BL451" s="57" t="s">
        <v>1287</v>
      </c>
      <c r="BM451" s="57" t="s">
        <v>1287</v>
      </c>
      <c r="BN451" s="57" t="s">
        <v>1287</v>
      </c>
      <c r="BO451" s="57" t="s">
        <v>1287</v>
      </c>
      <c r="BP451" s="57" t="s">
        <v>1287</v>
      </c>
      <c r="BQ451" s="57" t="s">
        <v>1287</v>
      </c>
      <c r="BR451" s="57" t="s">
        <v>1287</v>
      </c>
      <c r="BS451" s="57" t="s">
        <v>1287</v>
      </c>
      <c r="BT451" s="57" t="s">
        <v>1287</v>
      </c>
      <c r="BU451" s="57" t="s">
        <v>1287</v>
      </c>
      <c r="BV451" s="70">
        <f t="shared" si="3550"/>
        <v>223</v>
      </c>
      <c r="BW451" s="71">
        <f t="shared" si="3551"/>
        <v>256</v>
      </c>
      <c r="BX451" s="72">
        <f t="shared" si="3552"/>
        <v>261</v>
      </c>
      <c r="BY451" s="71" t="str">
        <f t="shared" si="3553"/>
        <v>-</v>
      </c>
      <c r="BZ451" s="72">
        <f t="shared" si="3554"/>
        <v>312</v>
      </c>
      <c r="CA451" s="71" t="str">
        <f t="shared" si="3555"/>
        <v>-</v>
      </c>
      <c r="CB451" s="72">
        <f t="shared" si="3556"/>
        <v>356</v>
      </c>
      <c r="CC451" s="71">
        <f t="shared" si="3557"/>
        <v>390</v>
      </c>
      <c r="CD451" s="72">
        <f t="shared" si="3558"/>
        <v>396</v>
      </c>
      <c r="CE451" s="71">
        <f t="shared" si="3559"/>
        <v>443</v>
      </c>
      <c r="CF451" s="72">
        <f t="shared" si="3560"/>
        <v>514</v>
      </c>
      <c r="CG451" s="71">
        <f t="shared" si="3561"/>
        <v>538</v>
      </c>
      <c r="CH451" s="70">
        <f t="shared" si="3562"/>
        <v>255</v>
      </c>
      <c r="CI451" s="71">
        <f t="shared" si="3563"/>
        <v>260</v>
      </c>
      <c r="CJ451" s="72">
        <f t="shared" si="3564"/>
        <v>285</v>
      </c>
      <c r="CK451" s="72" t="str">
        <f t="shared" si="3565"/>
        <v>-</v>
      </c>
      <c r="CL451" s="72">
        <f t="shared" si="3566"/>
        <v>345</v>
      </c>
      <c r="CM451" s="72" t="str">
        <f t="shared" si="3567"/>
        <v>-</v>
      </c>
      <c r="CN451" s="72">
        <f t="shared" si="3568"/>
        <v>378</v>
      </c>
      <c r="CO451" s="72">
        <f t="shared" si="3569"/>
        <v>392</v>
      </c>
      <c r="CP451" s="72">
        <f t="shared" si="3570"/>
        <v>433</v>
      </c>
      <c r="CQ451" s="72">
        <f t="shared" si="3571"/>
        <v>491</v>
      </c>
      <c r="CR451" s="72">
        <f t="shared" si="3572"/>
        <v>537</v>
      </c>
      <c r="CS451" s="72">
        <f t="shared" si="3573"/>
        <v>552</v>
      </c>
      <c r="CT451" s="23">
        <f t="shared" si="3574"/>
        <v>1</v>
      </c>
    </row>
    <row r="452" spans="1:1030" x14ac:dyDescent="0.2">
      <c r="A452" s="3" t="str">
        <f t="shared" si="3603"/>
        <v>smo_human_4O9R</v>
      </c>
      <c r="B452" s="3" t="s">
        <v>33</v>
      </c>
      <c r="C452" s="3" t="s">
        <v>1049</v>
      </c>
      <c r="D452" s="3" t="str">
        <f>IFERROR(MID(VLOOKUP($B452,Seqs!$A:$B,2,0),E452,1),"")</f>
        <v>T</v>
      </c>
      <c r="E452" s="105">
        <v>223</v>
      </c>
      <c r="F452" s="3" t="str">
        <f>IFERROR(MID(VLOOKUP($B452,Seqs!$A:$B,2,0),G452,1),"")</f>
        <v>D</v>
      </c>
      <c r="G452" s="3">
        <v>255</v>
      </c>
      <c r="H452" s="3" t="str">
        <f>IFERROR(MID(VLOOKUP($B452,Seqs!$A:$B,2,0),I452,1),"")</f>
        <v>W</v>
      </c>
      <c r="I452" s="23">
        <v>256</v>
      </c>
      <c r="J452" s="3" t="str">
        <f>IFERROR(MID(VLOOKUP($B452,Seqs!$A:$B,2,0),K452,1),"")</f>
        <v>N</v>
      </c>
      <c r="K452" s="23">
        <v>260</v>
      </c>
      <c r="L452" s="3" t="str">
        <f>IFERROR(MID(VLOOKUP($B452,Seqs!$A:$B,2,0),M452,1),"")</f>
        <v>R</v>
      </c>
      <c r="M452" s="3">
        <v>261</v>
      </c>
      <c r="N452" s="3" t="str">
        <f>IFERROR(MID(VLOOKUP($B452,Seqs!$A:$B,2,0),O452,1),"")</f>
        <v>F</v>
      </c>
      <c r="O452" s="3">
        <v>285</v>
      </c>
      <c r="P452" s="3" t="str">
        <f>IFERROR(MID(VLOOKUP($B452,Seqs!$A:$B,2,0),Q452,1),"")</f>
        <v/>
      </c>
      <c r="Q452" s="3" t="s">
        <v>23</v>
      </c>
      <c r="R452" s="3" t="str">
        <f>IFERROR(MID(VLOOKUP($B452,Seqs!$A:$B,2,0),S452,1),"")</f>
        <v/>
      </c>
      <c r="S452" s="3" t="s">
        <v>23</v>
      </c>
      <c r="T452" s="3" t="str">
        <f>IFERROR(MID(VLOOKUP($B452,Seqs!$A:$B,2,0),U452,1),"")</f>
        <v>L</v>
      </c>
      <c r="U452" s="3">
        <v>312</v>
      </c>
      <c r="V452" s="3" t="str">
        <f>IFERROR(MID(VLOOKUP($B452,Seqs!$A:$B,2,0),W452,1),"")</f>
        <v>F</v>
      </c>
      <c r="W452" s="3">
        <v>343</v>
      </c>
      <c r="X452" s="3" t="str">
        <f>IFERROR(MID(VLOOKUP($B452,Seqs!$A:$B,2,0),Y452,1),"")</f>
        <v/>
      </c>
      <c r="Y452" s="3" t="s">
        <v>23</v>
      </c>
      <c r="Z452" s="3" t="str">
        <f>IFERROR(MID(VLOOKUP($B452,Seqs!$A:$B,2,0),AA452,1),"")</f>
        <v/>
      </c>
      <c r="AA452" s="3" t="s">
        <v>23</v>
      </c>
      <c r="AB452" s="3" t="str">
        <f>IFERROR(MID(VLOOKUP($B452,Seqs!$A:$B,2,0),AC452,1),"")</f>
        <v>F</v>
      </c>
      <c r="AC452" s="9">
        <v>360</v>
      </c>
      <c r="AD452" s="3" t="str">
        <f>IFERROR(MID(VLOOKUP($B452,Seqs!$A:$B,2,0),AE452,1),"")</f>
        <v>V</v>
      </c>
      <c r="AE452" s="3">
        <v>378</v>
      </c>
      <c r="AF452" s="3" t="str">
        <f>IFERROR(MID(VLOOKUP($B452,Seqs!$A:$B,2,0),AG452,1),"")</f>
        <v>C</v>
      </c>
      <c r="AG452" s="3">
        <v>390</v>
      </c>
      <c r="AH452" s="3" t="str">
        <f>IFERROR(MID(VLOOKUP($B452,Seqs!$A:$B,2,0),AI452,1),"")</f>
        <v>V</v>
      </c>
      <c r="AI452" s="3">
        <v>392</v>
      </c>
      <c r="AJ452" s="3" t="str">
        <f>IFERROR(MID(VLOOKUP($B452,Seqs!$A:$B,2,0),AK452,1),"")</f>
        <v>N</v>
      </c>
      <c r="AK452" s="105">
        <v>396</v>
      </c>
      <c r="AL452" s="3" t="str">
        <f>IFERROR(MID(VLOOKUP($B452,Seqs!$A:$B,2,0),AM452,1),"")</f>
        <v>H</v>
      </c>
      <c r="AM452" s="3">
        <v>433</v>
      </c>
      <c r="AN452" s="3" t="str">
        <f>IFERROR(MID(VLOOKUP($B452,Seqs!$A:$B,2,0),AO452,1),"")</f>
        <v>E</v>
      </c>
      <c r="AO452" s="3">
        <v>447</v>
      </c>
      <c r="AP452" s="3" t="str">
        <f>IFERROR(MID(VLOOKUP($B452,Seqs!$A:$B,2,0),AQ452,1),"")</f>
        <v>N</v>
      </c>
      <c r="AQ452" s="3">
        <v>493</v>
      </c>
      <c r="AR452" s="3" t="str">
        <f>IFERROR(MID(VLOOKUP($B452,Seqs!$A:$B,2,0),AS452,1),"")</f>
        <v>S</v>
      </c>
      <c r="AS452" s="105">
        <v>514</v>
      </c>
      <c r="AT452" s="3" t="str">
        <f>IFERROR(MID(VLOOKUP($B452,Seqs!$A:$B,2,0),AU452,1),"")</f>
        <v>W</v>
      </c>
      <c r="AU452" s="3">
        <v>537</v>
      </c>
      <c r="AV452" s="3" t="str">
        <f>IFERROR(MID(VLOOKUP($B452,Seqs!$A:$B,2,0),AW452,1),"")</f>
        <v>T</v>
      </c>
      <c r="AW452" s="3">
        <v>538</v>
      </c>
      <c r="AX452" s="3" t="str">
        <f>IFERROR(MID(VLOOKUP($B452,Seqs!$A:$B,2,0),AY452,1),"")</f>
        <v>W</v>
      </c>
      <c r="AY452" s="3">
        <v>549</v>
      </c>
      <c r="AZ452" s="78" t="str">
        <f>VLOOKUP(B452,Classification!A:D,2,0)</f>
        <v>F</v>
      </c>
      <c r="BA452" s="94" t="str">
        <f>VLOOKUP(B452,Classification!A:D,4,0)</f>
        <v>Frizzled</v>
      </c>
      <c r="BB452" s="92" t="b">
        <f t="shared" si="3604"/>
        <v>1</v>
      </c>
      <c r="BC452" s="23">
        <f t="shared" si="3549"/>
        <v>240</v>
      </c>
      <c r="BD452" s="74" t="s">
        <v>23</v>
      </c>
      <c r="BE452" s="3" t="s">
        <v>1374</v>
      </c>
      <c r="BF452" s="118">
        <v>3.2</v>
      </c>
      <c r="BG452" s="49" t="s">
        <v>1377</v>
      </c>
      <c r="BH452" s="49" t="s">
        <v>1377</v>
      </c>
      <c r="BJ452" s="75" t="s">
        <v>1287</v>
      </c>
      <c r="BK452" s="57" t="s">
        <v>1287</v>
      </c>
      <c r="BL452" s="57" t="s">
        <v>1287</v>
      </c>
      <c r="BM452" s="57" t="s">
        <v>1287</v>
      </c>
      <c r="BN452" s="57" t="s">
        <v>1287</v>
      </c>
      <c r="BO452" s="57" t="s">
        <v>1287</v>
      </c>
      <c r="BP452" s="57" t="s">
        <v>1287</v>
      </c>
      <c r="BQ452" s="57" t="s">
        <v>1287</v>
      </c>
      <c r="BR452" s="57" t="s">
        <v>1287</v>
      </c>
      <c r="BS452" s="57" t="s">
        <v>1287</v>
      </c>
      <c r="BT452" s="57" t="s">
        <v>1287</v>
      </c>
      <c r="BU452" s="57" t="s">
        <v>1287</v>
      </c>
      <c r="BV452" s="75">
        <f t="shared" si="3550"/>
        <v>223</v>
      </c>
      <c r="BW452" s="71">
        <f t="shared" si="3551"/>
        <v>256</v>
      </c>
      <c r="BX452" s="72">
        <f t="shared" si="3552"/>
        <v>261</v>
      </c>
      <c r="BY452" s="71" t="str">
        <f t="shared" si="3553"/>
        <v>-</v>
      </c>
      <c r="BZ452" s="72">
        <f t="shared" si="3554"/>
        <v>312</v>
      </c>
      <c r="CA452" s="71" t="str">
        <f t="shared" si="3555"/>
        <v>-</v>
      </c>
      <c r="CB452" s="72">
        <f t="shared" si="3556"/>
        <v>360</v>
      </c>
      <c r="CC452" s="71">
        <f t="shared" si="3557"/>
        <v>390</v>
      </c>
      <c r="CD452" s="72">
        <f t="shared" si="3558"/>
        <v>396</v>
      </c>
      <c r="CE452" s="71">
        <f t="shared" si="3559"/>
        <v>447</v>
      </c>
      <c r="CF452" s="72">
        <f t="shared" si="3560"/>
        <v>514</v>
      </c>
      <c r="CG452" s="71">
        <f t="shared" si="3561"/>
        <v>538</v>
      </c>
      <c r="CH452" s="75">
        <f t="shared" si="3562"/>
        <v>255</v>
      </c>
      <c r="CI452" s="71">
        <f t="shared" si="3563"/>
        <v>260</v>
      </c>
      <c r="CJ452" s="72">
        <f t="shared" si="3564"/>
        <v>285</v>
      </c>
      <c r="CK452" s="72" t="str">
        <f t="shared" si="3565"/>
        <v>-</v>
      </c>
      <c r="CL452" s="72">
        <f t="shared" si="3566"/>
        <v>343</v>
      </c>
      <c r="CM452" s="72" t="str">
        <f t="shared" si="3567"/>
        <v>-</v>
      </c>
      <c r="CN452" s="72">
        <f t="shared" si="3568"/>
        <v>378</v>
      </c>
      <c r="CO452" s="72">
        <f t="shared" si="3569"/>
        <v>392</v>
      </c>
      <c r="CP452" s="72">
        <f t="shared" si="3570"/>
        <v>433</v>
      </c>
      <c r="CQ452" s="72">
        <f t="shared" si="3571"/>
        <v>493</v>
      </c>
      <c r="CR452" s="72">
        <f t="shared" si="3572"/>
        <v>537</v>
      </c>
      <c r="CS452" s="72">
        <f t="shared" si="3573"/>
        <v>549</v>
      </c>
      <c r="CT452" s="23">
        <f t="shared" si="3574"/>
        <v>1</v>
      </c>
    </row>
    <row r="453" spans="1:1030" s="6" customFormat="1" x14ac:dyDescent="0.2">
      <c r="A453" s="3" t="str">
        <f t="shared" si="3603"/>
        <v>smo_human_4QIM</v>
      </c>
      <c r="B453" s="3" t="s">
        <v>33</v>
      </c>
      <c r="C453" s="3" t="s">
        <v>1051</v>
      </c>
      <c r="D453" s="3" t="str">
        <f>IFERROR(MID(VLOOKUP($B453,Seqs!$A:$B,2,0),E453,1),"")</f>
        <v>T</v>
      </c>
      <c r="E453" s="105">
        <v>223</v>
      </c>
      <c r="F453" s="3" t="str">
        <f>IFERROR(MID(VLOOKUP($B453,Seqs!$A:$B,2,0),G453,1),"")</f>
        <v>D</v>
      </c>
      <c r="G453" s="3">
        <v>255</v>
      </c>
      <c r="H453" s="3" t="str">
        <f>IFERROR(MID(VLOOKUP($B453,Seqs!$A:$B,2,0),I453,1),"")</f>
        <v>W</v>
      </c>
      <c r="I453" s="23">
        <v>256</v>
      </c>
      <c r="J453" s="3" t="str">
        <f>IFERROR(MID(VLOOKUP($B453,Seqs!$A:$B,2,0),K453,1),"")</f>
        <v>N</v>
      </c>
      <c r="K453" s="23">
        <v>260</v>
      </c>
      <c r="L453" s="3" t="str">
        <f>IFERROR(MID(VLOOKUP($B453,Seqs!$A:$B,2,0),M453,1),"")</f>
        <v>R</v>
      </c>
      <c r="M453" s="3">
        <v>261</v>
      </c>
      <c r="N453" s="3" t="str">
        <f>IFERROR(MID(VLOOKUP($B453,Seqs!$A:$B,2,0),O453,1),"")</f>
        <v>F</v>
      </c>
      <c r="O453" s="3">
        <v>285</v>
      </c>
      <c r="P453" s="3" t="str">
        <f>IFERROR(MID(VLOOKUP($B453,Seqs!$A:$B,2,0),Q453,1),"")</f>
        <v/>
      </c>
      <c r="Q453" s="3" t="s">
        <v>23</v>
      </c>
      <c r="R453" s="3" t="str">
        <f>IFERROR(MID(VLOOKUP($B453,Seqs!$A:$B,2,0),S453,1),"")</f>
        <v/>
      </c>
      <c r="S453" s="3" t="s">
        <v>23</v>
      </c>
      <c r="T453" s="3" t="str">
        <f>IFERROR(MID(VLOOKUP($B453,Seqs!$A:$B,2,0),U453,1),"")</f>
        <v>L</v>
      </c>
      <c r="U453" s="3">
        <v>312</v>
      </c>
      <c r="V453" s="3" t="str">
        <f>IFERROR(MID(VLOOKUP($B453,Seqs!$A:$B,2,0),W453,1),"")</f>
        <v>A</v>
      </c>
      <c r="W453" s="3">
        <v>345</v>
      </c>
      <c r="X453" s="3" t="str">
        <f>IFERROR(MID(VLOOKUP($B453,Seqs!$A:$B,2,0),Y453,1),"")</f>
        <v/>
      </c>
      <c r="Y453" s="3" t="s">
        <v>23</v>
      </c>
      <c r="Z453" s="3" t="str">
        <f>IFERROR(MID(VLOOKUP($B453,Seqs!$A:$B,2,0),AA453,1),"")</f>
        <v/>
      </c>
      <c r="AA453" s="3" t="s">
        <v>23</v>
      </c>
      <c r="AB453" s="3" t="str">
        <f>IFERROR(MID(VLOOKUP($B453,Seqs!$A:$B,2,0),AC453,1),"")</f>
        <v>K</v>
      </c>
      <c r="AC453" s="9">
        <v>356</v>
      </c>
      <c r="AD453" s="3" t="str">
        <f>IFERROR(MID(VLOOKUP($B453,Seqs!$A:$B,2,0),AE453,1),"")</f>
        <v>V</v>
      </c>
      <c r="AE453" s="3">
        <v>378</v>
      </c>
      <c r="AF453" s="3" t="str">
        <f>IFERROR(MID(VLOOKUP($B453,Seqs!$A:$B,2,0),AG453,1),"")</f>
        <v>C</v>
      </c>
      <c r="AG453" s="3">
        <v>390</v>
      </c>
      <c r="AH453" s="3" t="str">
        <f>IFERROR(MID(VLOOKUP($B453,Seqs!$A:$B,2,0),AI453,1),"")</f>
        <v>V</v>
      </c>
      <c r="AI453" s="3">
        <v>392</v>
      </c>
      <c r="AJ453" s="3" t="str">
        <f>IFERROR(MID(VLOOKUP($B453,Seqs!$A:$B,2,0),AK453,1),"")</f>
        <v>N</v>
      </c>
      <c r="AK453" s="105">
        <v>396</v>
      </c>
      <c r="AL453" s="3" t="str">
        <f>IFERROR(MID(VLOOKUP($B453,Seqs!$A:$B,2,0),AM453,1),"")</f>
        <v>H</v>
      </c>
      <c r="AM453" s="3">
        <v>433</v>
      </c>
      <c r="AN453" s="3" t="str">
        <f>IFERROR(MID(VLOOKUP($B453,Seqs!$A:$B,2,0),AO453,1),"")</f>
        <v>E</v>
      </c>
      <c r="AO453" s="3">
        <v>447</v>
      </c>
      <c r="AP453" s="3" t="str">
        <f>IFERROR(MID(VLOOKUP($B453,Seqs!$A:$B,2,0),AQ453,1),"")</f>
        <v>N</v>
      </c>
      <c r="AQ453" s="3">
        <v>493</v>
      </c>
      <c r="AR453" s="3" t="str">
        <f>IFERROR(MID(VLOOKUP($B453,Seqs!$A:$B,2,0),AS453,1),"")</f>
        <v>S</v>
      </c>
      <c r="AS453" s="105">
        <v>514</v>
      </c>
      <c r="AT453" s="3" t="str">
        <f>IFERROR(MID(VLOOKUP($B453,Seqs!$A:$B,2,0),AU453,1),"")</f>
        <v>W</v>
      </c>
      <c r="AU453" s="3">
        <v>537</v>
      </c>
      <c r="AV453" s="3" t="str">
        <f>IFERROR(MID(VLOOKUP($B453,Seqs!$A:$B,2,0),AW453,1),"")</f>
        <v>T</v>
      </c>
      <c r="AW453" s="3">
        <v>538</v>
      </c>
      <c r="AX453" s="3" t="str">
        <f>IFERROR(MID(VLOOKUP($B453,Seqs!$A:$B,2,0),AY453,1),"")</f>
        <v>T</v>
      </c>
      <c r="AY453" s="3">
        <v>553</v>
      </c>
      <c r="AZ453" s="78" t="str">
        <f>VLOOKUP(B453,Classification!A:D,2,0)</f>
        <v>F</v>
      </c>
      <c r="BA453" s="94" t="str">
        <f>VLOOKUP(B453,Classification!A:D,4,0)</f>
        <v>Frizzled</v>
      </c>
      <c r="BB453" s="92" t="b">
        <f t="shared" si="3604"/>
        <v>1</v>
      </c>
      <c r="BC453" s="23">
        <f t="shared" si="3549"/>
        <v>250</v>
      </c>
      <c r="BD453" s="74" t="s">
        <v>23</v>
      </c>
      <c r="BE453" s="3" t="s">
        <v>1374</v>
      </c>
      <c r="BF453" s="118">
        <v>2.61</v>
      </c>
      <c r="BG453" s="49" t="s">
        <v>1377</v>
      </c>
      <c r="BH453" s="49" t="s">
        <v>1377</v>
      </c>
      <c r="BI453" s="3"/>
      <c r="BJ453" s="75" t="s">
        <v>1287</v>
      </c>
      <c r="BK453" s="57" t="s">
        <v>1287</v>
      </c>
      <c r="BL453" s="57" t="s">
        <v>1287</v>
      </c>
      <c r="BM453" s="57" t="s">
        <v>1287</v>
      </c>
      <c r="BN453" s="57" t="s">
        <v>1287</v>
      </c>
      <c r="BO453" s="57" t="s">
        <v>1287</v>
      </c>
      <c r="BP453" s="57" t="s">
        <v>1287</v>
      </c>
      <c r="BQ453" s="57" t="s">
        <v>1287</v>
      </c>
      <c r="BR453" s="57" t="s">
        <v>1287</v>
      </c>
      <c r="BS453" s="57" t="s">
        <v>1287</v>
      </c>
      <c r="BT453" s="57" t="s">
        <v>1287</v>
      </c>
      <c r="BU453" s="57" t="s">
        <v>1287</v>
      </c>
      <c r="BV453" s="75">
        <f t="shared" si="3550"/>
        <v>223</v>
      </c>
      <c r="BW453" s="71">
        <f t="shared" si="3551"/>
        <v>256</v>
      </c>
      <c r="BX453" s="72">
        <f t="shared" si="3552"/>
        <v>261</v>
      </c>
      <c r="BY453" s="71" t="str">
        <f t="shared" si="3553"/>
        <v>-</v>
      </c>
      <c r="BZ453" s="72">
        <f t="shared" si="3554"/>
        <v>312</v>
      </c>
      <c r="CA453" s="71" t="str">
        <f t="shared" si="3555"/>
        <v>-</v>
      </c>
      <c r="CB453" s="72">
        <f t="shared" si="3556"/>
        <v>356</v>
      </c>
      <c r="CC453" s="71">
        <f t="shared" si="3557"/>
        <v>390</v>
      </c>
      <c r="CD453" s="72">
        <f t="shared" si="3558"/>
        <v>396</v>
      </c>
      <c r="CE453" s="71">
        <f t="shared" si="3559"/>
        <v>447</v>
      </c>
      <c r="CF453" s="72">
        <f t="shared" si="3560"/>
        <v>514</v>
      </c>
      <c r="CG453" s="71">
        <f t="shared" si="3561"/>
        <v>538</v>
      </c>
      <c r="CH453" s="75">
        <f t="shared" si="3562"/>
        <v>255</v>
      </c>
      <c r="CI453" s="71">
        <f t="shared" si="3563"/>
        <v>260</v>
      </c>
      <c r="CJ453" s="72">
        <f t="shared" si="3564"/>
        <v>285</v>
      </c>
      <c r="CK453" s="72" t="str">
        <f t="shared" si="3565"/>
        <v>-</v>
      </c>
      <c r="CL453" s="72">
        <f t="shared" si="3566"/>
        <v>345</v>
      </c>
      <c r="CM453" s="72" t="str">
        <f t="shared" si="3567"/>
        <v>-</v>
      </c>
      <c r="CN453" s="72">
        <f t="shared" si="3568"/>
        <v>378</v>
      </c>
      <c r="CO453" s="72">
        <f t="shared" si="3569"/>
        <v>392</v>
      </c>
      <c r="CP453" s="72">
        <f t="shared" si="3570"/>
        <v>433</v>
      </c>
      <c r="CQ453" s="72">
        <f t="shared" si="3571"/>
        <v>493</v>
      </c>
      <c r="CR453" s="72">
        <f t="shared" si="3572"/>
        <v>537</v>
      </c>
      <c r="CS453" s="72">
        <f t="shared" si="3573"/>
        <v>553</v>
      </c>
      <c r="CT453" s="23">
        <f t="shared" si="3574"/>
        <v>1</v>
      </c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/>
      <c r="MX453" s="3"/>
      <c r="MY453" s="3"/>
      <c r="MZ453" s="3"/>
      <c r="NA453" s="3"/>
      <c r="NB453" s="3"/>
      <c r="NC453" s="3"/>
      <c r="ND453" s="3"/>
      <c r="NE453" s="3"/>
      <c r="NF453" s="3"/>
      <c r="NG453" s="3"/>
      <c r="NH453" s="3"/>
      <c r="NI453" s="3"/>
      <c r="NJ453" s="3"/>
      <c r="NK453" s="3"/>
      <c r="NL453" s="3"/>
      <c r="NM453" s="3"/>
      <c r="NN453" s="3"/>
      <c r="NO453" s="3"/>
      <c r="NP453" s="3"/>
      <c r="NQ453" s="3"/>
      <c r="NR453" s="3"/>
      <c r="NS453" s="3"/>
      <c r="NT453" s="3"/>
      <c r="NU453" s="3"/>
      <c r="NV453" s="3"/>
      <c r="NW453" s="3"/>
      <c r="NX453" s="3"/>
      <c r="NY453" s="3"/>
      <c r="NZ453" s="3"/>
      <c r="OA453" s="3"/>
      <c r="OB453" s="3"/>
      <c r="OC453" s="3"/>
      <c r="OD453" s="3"/>
      <c r="OE453" s="3"/>
      <c r="OF453" s="3"/>
      <c r="OG453" s="3"/>
      <c r="OH453" s="3"/>
      <c r="OI453" s="3"/>
      <c r="OJ453" s="3"/>
      <c r="OK453" s="3"/>
      <c r="OL453" s="3"/>
      <c r="OM453" s="3"/>
      <c r="ON453" s="3"/>
      <c r="OO453" s="3"/>
      <c r="OP453" s="3"/>
      <c r="OQ453" s="3"/>
      <c r="OR453" s="3"/>
      <c r="OS453" s="3"/>
      <c r="OT453" s="3"/>
      <c r="OU453" s="3"/>
      <c r="OV453" s="3"/>
      <c r="OW453" s="3"/>
      <c r="OX453" s="3"/>
      <c r="OY453" s="3"/>
      <c r="OZ453" s="3"/>
      <c r="PA453" s="3"/>
      <c r="PB453" s="3"/>
      <c r="PC453" s="3"/>
      <c r="PD453" s="3"/>
      <c r="PE453" s="3"/>
      <c r="PF453" s="3"/>
      <c r="PG453" s="3"/>
      <c r="PH453" s="3"/>
      <c r="PI453" s="3"/>
      <c r="PJ453" s="3"/>
      <c r="PK453" s="3"/>
      <c r="PL453" s="3"/>
      <c r="PM453" s="3"/>
      <c r="PN453" s="3"/>
      <c r="PO453" s="3"/>
      <c r="PP453" s="3"/>
      <c r="PQ453" s="3"/>
      <c r="PR453" s="3"/>
      <c r="PS453" s="3"/>
      <c r="PT453" s="3"/>
      <c r="PU453" s="3"/>
      <c r="PV453" s="3"/>
      <c r="PW453" s="3"/>
      <c r="PX453" s="3"/>
      <c r="PY453" s="3"/>
      <c r="PZ453" s="3"/>
      <c r="QA453" s="3"/>
      <c r="QB453" s="3"/>
      <c r="QC453" s="3"/>
      <c r="QD453" s="3"/>
      <c r="QE453" s="3"/>
      <c r="QF453" s="3"/>
      <c r="QG453" s="3"/>
      <c r="QH453" s="3"/>
      <c r="QI453" s="3"/>
      <c r="QJ453" s="3"/>
      <c r="QK453" s="3"/>
      <c r="QL453" s="3"/>
      <c r="QM453" s="3"/>
      <c r="QN453" s="3"/>
      <c r="QO453" s="3"/>
      <c r="QP453" s="3"/>
      <c r="QQ453" s="3"/>
      <c r="QR453" s="3"/>
      <c r="QS453" s="3"/>
      <c r="QT453" s="3"/>
      <c r="QU453" s="3"/>
      <c r="QV453" s="3"/>
      <c r="QW453" s="3"/>
      <c r="QX453" s="3"/>
      <c r="QY453" s="3"/>
      <c r="QZ453" s="3"/>
      <c r="RA453" s="3"/>
      <c r="RB453" s="3"/>
      <c r="RC453" s="3"/>
      <c r="RD453" s="3"/>
      <c r="RE453" s="3"/>
      <c r="RF453" s="3"/>
      <c r="RG453" s="3"/>
      <c r="RH453" s="3"/>
      <c r="RI453" s="3"/>
      <c r="RJ453" s="3"/>
      <c r="RK453" s="3"/>
      <c r="RL453" s="3"/>
      <c r="RM453" s="3"/>
      <c r="RN453" s="3"/>
      <c r="RO453" s="3"/>
      <c r="RP453" s="3"/>
      <c r="RQ453" s="3"/>
      <c r="RR453" s="3"/>
      <c r="RS453" s="3"/>
      <c r="RT453" s="3"/>
      <c r="RU453" s="3"/>
      <c r="RV453" s="3"/>
      <c r="RW453" s="3"/>
      <c r="RX453" s="3"/>
      <c r="RY453" s="3"/>
      <c r="RZ453" s="3"/>
      <c r="SA453" s="3"/>
      <c r="SB453" s="3"/>
      <c r="SC453" s="3"/>
      <c r="SD453" s="3"/>
      <c r="SE453" s="3"/>
      <c r="SF453" s="3"/>
      <c r="SG453" s="3"/>
      <c r="SH453" s="3"/>
      <c r="SI453" s="3"/>
      <c r="SJ453" s="3"/>
      <c r="SK453" s="3"/>
      <c r="SL453" s="3"/>
      <c r="SM453" s="3"/>
      <c r="SN453" s="3"/>
      <c r="SO453" s="3"/>
      <c r="SP453" s="3"/>
      <c r="SQ453" s="3"/>
      <c r="SR453" s="3"/>
      <c r="SS453" s="3"/>
      <c r="ST453" s="3"/>
      <c r="SU453" s="3"/>
      <c r="SV453" s="3"/>
      <c r="SW453" s="3"/>
      <c r="SX453" s="3"/>
      <c r="SY453" s="3"/>
      <c r="SZ453" s="3"/>
      <c r="TA453" s="3"/>
      <c r="TB453" s="3"/>
      <c r="TC453" s="3"/>
      <c r="TD453" s="3"/>
      <c r="TE453" s="3"/>
      <c r="TF453" s="3"/>
      <c r="TG453" s="3"/>
      <c r="TH453" s="3"/>
      <c r="TI453" s="3"/>
      <c r="TJ453" s="3"/>
      <c r="TK453" s="3"/>
      <c r="TL453" s="3"/>
      <c r="TM453" s="3"/>
      <c r="TN453" s="3"/>
      <c r="TO453" s="3"/>
      <c r="TP453" s="3"/>
      <c r="TQ453" s="3"/>
      <c r="TR453" s="3"/>
      <c r="TS453" s="3"/>
      <c r="TT453" s="3"/>
      <c r="TU453" s="3"/>
      <c r="TV453" s="3"/>
      <c r="TW453" s="3"/>
      <c r="TX453" s="3"/>
      <c r="TY453" s="3"/>
      <c r="TZ453" s="3"/>
      <c r="UA453" s="3"/>
      <c r="UB453" s="3"/>
      <c r="UC453" s="3"/>
      <c r="UD453" s="3"/>
      <c r="UE453" s="3"/>
      <c r="UF453" s="3"/>
      <c r="UG453" s="3"/>
      <c r="UH453" s="3"/>
      <c r="UI453" s="3"/>
      <c r="UJ453" s="3"/>
      <c r="UK453" s="3"/>
      <c r="UL453" s="3"/>
      <c r="UM453" s="3"/>
      <c r="UN453" s="3"/>
      <c r="UO453" s="3"/>
      <c r="UP453" s="3"/>
      <c r="UQ453" s="3"/>
      <c r="UR453" s="3"/>
      <c r="US453" s="3"/>
      <c r="UT453" s="3"/>
      <c r="UU453" s="3"/>
      <c r="UV453" s="3"/>
      <c r="UW453" s="3"/>
      <c r="UX453" s="3"/>
      <c r="UY453" s="3"/>
      <c r="UZ453" s="3"/>
      <c r="VA453" s="3"/>
      <c r="VB453" s="3"/>
      <c r="VC453" s="3"/>
      <c r="VD453" s="3"/>
      <c r="VE453" s="3"/>
      <c r="VF453" s="3"/>
      <c r="VG453" s="3"/>
      <c r="VH453" s="3"/>
      <c r="VI453" s="3"/>
      <c r="VJ453" s="3"/>
      <c r="VK453" s="3"/>
      <c r="VL453" s="3"/>
      <c r="VM453" s="3"/>
      <c r="VN453" s="3"/>
      <c r="VO453" s="3"/>
      <c r="VP453" s="3"/>
      <c r="VQ453" s="3"/>
      <c r="VR453" s="3"/>
      <c r="VS453" s="3"/>
      <c r="VT453" s="3"/>
      <c r="VU453" s="3"/>
      <c r="VV453" s="3"/>
      <c r="VW453" s="3"/>
      <c r="VX453" s="3"/>
      <c r="VY453" s="3"/>
      <c r="VZ453" s="3"/>
      <c r="WA453" s="3"/>
      <c r="WB453" s="3"/>
      <c r="WC453" s="3"/>
      <c r="WD453" s="3"/>
      <c r="WE453" s="3"/>
      <c r="WF453" s="3"/>
      <c r="WG453" s="3"/>
      <c r="WH453" s="3"/>
      <c r="WI453" s="3"/>
      <c r="WJ453" s="3"/>
      <c r="WK453" s="3"/>
      <c r="WL453" s="3"/>
      <c r="WM453" s="3"/>
      <c r="WN453" s="3"/>
      <c r="WO453" s="3"/>
      <c r="WP453" s="3"/>
      <c r="WQ453" s="3"/>
      <c r="WR453" s="3"/>
      <c r="WS453" s="3"/>
      <c r="WT453" s="3"/>
      <c r="WU453" s="3"/>
      <c r="WV453" s="3"/>
      <c r="WW453" s="3"/>
      <c r="WX453" s="3"/>
      <c r="WY453" s="3"/>
      <c r="WZ453" s="3"/>
      <c r="XA453" s="3"/>
      <c r="XB453" s="3"/>
      <c r="XC453" s="3"/>
      <c r="XD453" s="3"/>
      <c r="XE453" s="3"/>
      <c r="XF453" s="3"/>
      <c r="XG453" s="3"/>
      <c r="XH453" s="3"/>
      <c r="XI453" s="3"/>
      <c r="XJ453" s="3"/>
      <c r="XK453" s="3"/>
      <c r="XL453" s="3"/>
      <c r="XM453" s="3"/>
      <c r="XN453" s="3"/>
      <c r="XO453" s="3"/>
      <c r="XP453" s="3"/>
      <c r="XQ453" s="3"/>
      <c r="XR453" s="3"/>
      <c r="XS453" s="3"/>
      <c r="XT453" s="3"/>
      <c r="XU453" s="3"/>
      <c r="XV453" s="3"/>
      <c r="XW453" s="3"/>
      <c r="XX453" s="3"/>
      <c r="XY453" s="3"/>
      <c r="XZ453" s="3"/>
      <c r="YA453" s="3"/>
      <c r="YB453" s="3"/>
      <c r="YC453" s="3"/>
      <c r="YD453" s="3"/>
      <c r="YE453" s="3"/>
      <c r="YF453" s="3"/>
      <c r="YG453" s="3"/>
      <c r="YH453" s="3"/>
      <c r="YI453" s="3"/>
      <c r="YJ453" s="3"/>
      <c r="YK453" s="3"/>
      <c r="YL453" s="3"/>
      <c r="YM453" s="3"/>
      <c r="YN453" s="3"/>
      <c r="YO453" s="3"/>
      <c r="YP453" s="3"/>
      <c r="YQ453" s="3"/>
      <c r="YR453" s="3"/>
      <c r="YS453" s="3"/>
      <c r="YT453" s="3"/>
      <c r="YU453" s="3"/>
      <c r="YV453" s="3"/>
      <c r="YW453" s="3"/>
      <c r="YX453" s="3"/>
      <c r="YY453" s="3"/>
      <c r="YZ453" s="3"/>
      <c r="ZA453" s="3"/>
      <c r="ZB453" s="3"/>
      <c r="ZC453" s="3"/>
      <c r="ZD453" s="3"/>
      <c r="ZE453" s="3"/>
      <c r="ZF453" s="3"/>
      <c r="ZG453" s="3"/>
      <c r="ZH453" s="3"/>
      <c r="ZI453" s="3"/>
      <c r="ZJ453" s="3"/>
      <c r="ZK453" s="3"/>
      <c r="ZL453" s="3"/>
      <c r="ZM453" s="3"/>
      <c r="ZN453" s="3"/>
      <c r="ZO453" s="3"/>
      <c r="ZP453" s="3"/>
      <c r="ZQ453" s="3"/>
      <c r="ZR453" s="3"/>
      <c r="ZS453" s="3"/>
      <c r="ZT453" s="3"/>
      <c r="ZU453" s="3"/>
      <c r="ZV453" s="3"/>
      <c r="ZW453" s="3"/>
      <c r="ZX453" s="3"/>
      <c r="ZY453" s="3"/>
      <c r="ZZ453" s="3"/>
      <c r="AAA453" s="3"/>
      <c r="AAB453" s="3"/>
      <c r="AAC453" s="3"/>
      <c r="AAD453" s="3"/>
      <c r="AAE453" s="3"/>
      <c r="AAF453" s="3"/>
      <c r="AAG453" s="3"/>
      <c r="AAH453" s="3"/>
      <c r="AAI453" s="3"/>
      <c r="AAJ453" s="3"/>
      <c r="AAK453" s="3"/>
      <c r="AAL453" s="3"/>
      <c r="AAM453" s="3"/>
      <c r="AAN453" s="3"/>
      <c r="AAO453" s="3"/>
      <c r="AAP453" s="3"/>
      <c r="AAQ453" s="3"/>
      <c r="AAR453" s="3"/>
      <c r="AAS453" s="3"/>
      <c r="AAT453" s="3"/>
      <c r="AAU453" s="3"/>
      <c r="AAV453" s="3"/>
      <c r="AAW453" s="3"/>
      <c r="AAX453" s="3"/>
      <c r="AAY453" s="3"/>
      <c r="AAZ453" s="3"/>
      <c r="ABA453" s="3"/>
      <c r="ABB453" s="3"/>
      <c r="ABC453" s="3"/>
      <c r="ABD453" s="3"/>
      <c r="ABE453" s="3"/>
      <c r="ABF453" s="3"/>
      <c r="ABG453" s="3"/>
      <c r="ABH453" s="3"/>
      <c r="ABI453" s="3"/>
      <c r="ABJ453" s="3"/>
      <c r="ABK453" s="3"/>
      <c r="ABL453" s="3"/>
      <c r="ABM453" s="3"/>
      <c r="ABN453" s="3"/>
      <c r="ABO453" s="3"/>
      <c r="ABP453" s="3"/>
      <c r="ABQ453" s="3"/>
      <c r="ABR453" s="3"/>
      <c r="ABS453" s="3"/>
      <c r="ABT453" s="3"/>
      <c r="ABU453" s="3"/>
      <c r="ABV453" s="3"/>
      <c r="ABW453" s="3"/>
      <c r="ABX453" s="3"/>
      <c r="ABY453" s="3"/>
      <c r="ABZ453" s="3"/>
      <c r="ACA453" s="3"/>
      <c r="ACB453" s="3"/>
      <c r="ACC453" s="3"/>
      <c r="ACD453" s="3"/>
      <c r="ACE453" s="3"/>
      <c r="ACF453" s="3"/>
      <c r="ACG453" s="3"/>
      <c r="ACH453" s="3"/>
      <c r="ACI453" s="3"/>
      <c r="ACJ453" s="3"/>
      <c r="ACK453" s="3"/>
      <c r="ACL453" s="3"/>
      <c r="ACM453" s="3"/>
      <c r="ACN453" s="3"/>
      <c r="ACO453" s="3"/>
      <c r="ACP453" s="3"/>
      <c r="ACQ453" s="3"/>
      <c r="ACR453" s="3"/>
      <c r="ACS453" s="3"/>
      <c r="ACT453" s="3"/>
      <c r="ACU453" s="3"/>
      <c r="ACV453" s="3"/>
      <c r="ACW453" s="3"/>
      <c r="ACX453" s="3"/>
      <c r="ACY453" s="3"/>
      <c r="ACZ453" s="3"/>
      <c r="ADA453" s="3"/>
      <c r="ADB453" s="3"/>
      <c r="ADC453" s="3"/>
      <c r="ADD453" s="3"/>
      <c r="ADE453" s="3"/>
      <c r="ADF453" s="3"/>
      <c r="ADG453" s="3"/>
      <c r="ADH453" s="3"/>
      <c r="ADI453" s="3"/>
      <c r="ADJ453" s="3"/>
      <c r="ADK453" s="3"/>
      <c r="ADL453" s="3"/>
      <c r="ADM453" s="3"/>
      <c r="ADN453" s="3"/>
      <c r="ADO453" s="3"/>
      <c r="ADP453" s="3"/>
      <c r="ADQ453" s="3"/>
      <c r="ADR453" s="3"/>
      <c r="ADS453" s="3"/>
      <c r="ADT453" s="3"/>
      <c r="ADU453" s="3"/>
      <c r="ADV453" s="3"/>
      <c r="ADW453" s="3"/>
      <c r="ADX453" s="3"/>
      <c r="ADY453" s="3"/>
      <c r="ADZ453" s="3"/>
      <c r="AEA453" s="3"/>
      <c r="AEB453" s="3"/>
      <c r="AEC453" s="3"/>
      <c r="AED453" s="3"/>
      <c r="AEE453" s="3"/>
      <c r="AEF453" s="3"/>
      <c r="AEG453" s="3"/>
      <c r="AEH453" s="3"/>
      <c r="AEI453" s="3"/>
      <c r="AEJ453" s="3"/>
      <c r="AEK453" s="3"/>
      <c r="AEL453" s="3"/>
      <c r="AEM453" s="3"/>
      <c r="AEN453" s="3"/>
      <c r="AEO453" s="3"/>
      <c r="AEP453" s="3"/>
      <c r="AEQ453" s="3"/>
      <c r="AER453" s="3"/>
      <c r="AES453" s="3"/>
      <c r="AET453" s="3"/>
      <c r="AEU453" s="3"/>
      <c r="AEV453" s="3"/>
      <c r="AEW453" s="3"/>
      <c r="AEX453" s="3"/>
      <c r="AEY453" s="3"/>
      <c r="AEZ453" s="3"/>
      <c r="AFA453" s="3"/>
      <c r="AFB453" s="3"/>
      <c r="AFC453" s="3"/>
      <c r="AFD453" s="3"/>
      <c r="AFE453" s="3"/>
      <c r="AFF453" s="3"/>
      <c r="AFG453" s="3"/>
      <c r="AFH453" s="3"/>
      <c r="AFI453" s="3"/>
      <c r="AFJ453" s="3"/>
      <c r="AFK453" s="3"/>
      <c r="AFL453" s="3"/>
      <c r="AFM453" s="3"/>
      <c r="AFN453" s="3"/>
      <c r="AFO453" s="3"/>
      <c r="AFP453" s="3"/>
      <c r="AFQ453" s="3"/>
      <c r="AFR453" s="3"/>
      <c r="AFS453" s="3"/>
      <c r="AFT453" s="3"/>
      <c r="AFU453" s="3"/>
      <c r="AFV453" s="3"/>
      <c r="AFW453" s="3"/>
      <c r="AFX453" s="3"/>
      <c r="AFY453" s="3"/>
      <c r="AFZ453" s="3"/>
      <c r="AGA453" s="3"/>
      <c r="AGB453" s="3"/>
      <c r="AGC453" s="3"/>
      <c r="AGD453" s="3"/>
      <c r="AGE453" s="3"/>
      <c r="AGF453" s="3"/>
      <c r="AGG453" s="3"/>
      <c r="AGH453" s="3"/>
      <c r="AGI453" s="3"/>
      <c r="AGJ453" s="3"/>
      <c r="AGK453" s="3"/>
      <c r="AGL453" s="3"/>
      <c r="AGM453" s="3"/>
      <c r="AGN453" s="3"/>
      <c r="AGO453" s="3"/>
      <c r="AGP453" s="3"/>
      <c r="AGQ453" s="3"/>
      <c r="AGR453" s="3"/>
      <c r="AGS453" s="3"/>
      <c r="AGT453" s="3"/>
      <c r="AGU453" s="3"/>
      <c r="AGV453" s="3"/>
      <c r="AGW453" s="3"/>
      <c r="AGX453" s="3"/>
      <c r="AGY453" s="3"/>
      <c r="AGZ453" s="3"/>
      <c r="AHA453" s="3"/>
      <c r="AHB453" s="3"/>
      <c r="AHC453" s="3"/>
      <c r="AHD453" s="3"/>
      <c r="AHE453" s="3"/>
      <c r="AHF453" s="3"/>
      <c r="AHG453" s="3"/>
      <c r="AHH453" s="3"/>
      <c r="AHI453" s="3"/>
      <c r="AHJ453" s="3"/>
      <c r="AHK453" s="3"/>
      <c r="AHL453" s="3"/>
      <c r="AHM453" s="3"/>
      <c r="AHN453" s="3"/>
      <c r="AHO453" s="3"/>
      <c r="AHP453" s="3"/>
      <c r="AHQ453" s="3"/>
      <c r="AHR453" s="3"/>
      <c r="AHS453" s="3"/>
      <c r="AHT453" s="3"/>
      <c r="AHU453" s="3"/>
      <c r="AHV453" s="3"/>
      <c r="AHW453" s="3"/>
      <c r="AHX453" s="3"/>
      <c r="AHY453" s="3"/>
      <c r="AHZ453" s="3"/>
      <c r="AIA453" s="3"/>
      <c r="AIB453" s="3"/>
      <c r="AIC453" s="3"/>
      <c r="AID453" s="3"/>
      <c r="AIE453" s="3"/>
      <c r="AIF453" s="3"/>
      <c r="AIG453" s="3"/>
      <c r="AIH453" s="3"/>
      <c r="AII453" s="3"/>
      <c r="AIJ453" s="3"/>
      <c r="AIK453" s="3"/>
      <c r="AIL453" s="3"/>
      <c r="AIM453" s="3"/>
      <c r="AIN453" s="3"/>
      <c r="AIO453" s="3"/>
      <c r="AIP453" s="3"/>
      <c r="AIQ453" s="3"/>
      <c r="AIR453" s="3"/>
      <c r="AIS453" s="3"/>
      <c r="AIT453" s="3"/>
      <c r="AIU453" s="3"/>
      <c r="AIV453" s="3"/>
      <c r="AIW453" s="3"/>
      <c r="AIX453" s="3"/>
      <c r="AIY453" s="3"/>
      <c r="AIZ453" s="3"/>
      <c r="AJA453" s="3"/>
      <c r="AJB453" s="3"/>
      <c r="AJC453" s="3"/>
      <c r="AJD453" s="3"/>
      <c r="AJE453" s="3"/>
      <c r="AJF453" s="3"/>
      <c r="AJG453" s="3"/>
      <c r="AJH453" s="3"/>
      <c r="AJI453" s="3"/>
      <c r="AJJ453" s="3"/>
      <c r="AJK453" s="3"/>
      <c r="AJL453" s="3"/>
      <c r="AJM453" s="3"/>
      <c r="AJN453" s="3"/>
      <c r="AJO453" s="3"/>
      <c r="AJP453" s="3"/>
      <c r="AJQ453" s="3"/>
      <c r="AJR453" s="3"/>
      <c r="AJS453" s="3"/>
      <c r="AJT453" s="3"/>
      <c r="AJU453" s="3"/>
      <c r="AJV453" s="3"/>
      <c r="AJW453" s="3"/>
      <c r="AJX453" s="3"/>
      <c r="AJY453" s="3"/>
      <c r="AJZ453" s="3"/>
      <c r="AKA453" s="3"/>
      <c r="AKB453" s="3"/>
      <c r="AKC453" s="3"/>
      <c r="AKD453" s="3"/>
      <c r="AKE453" s="3"/>
      <c r="AKF453" s="3"/>
      <c r="AKG453" s="3"/>
      <c r="AKH453" s="3"/>
      <c r="AKI453" s="3"/>
      <c r="AKJ453" s="3"/>
      <c r="AKK453" s="3"/>
      <c r="AKL453" s="3"/>
      <c r="AKM453" s="3"/>
      <c r="AKN453" s="3"/>
      <c r="AKO453" s="3"/>
      <c r="AKP453" s="3"/>
      <c r="AKQ453" s="3"/>
      <c r="AKR453" s="3"/>
      <c r="AKS453" s="3"/>
      <c r="AKT453" s="3"/>
      <c r="AKU453" s="3"/>
      <c r="AKV453" s="3"/>
      <c r="AKW453" s="3"/>
      <c r="AKX453" s="3"/>
      <c r="AKY453" s="3"/>
      <c r="AKZ453" s="3"/>
      <c r="ALA453" s="3"/>
      <c r="ALB453" s="3"/>
      <c r="ALC453" s="3"/>
      <c r="ALD453" s="3"/>
      <c r="ALE453" s="3"/>
      <c r="ALF453" s="3"/>
      <c r="ALG453" s="3"/>
      <c r="ALH453" s="3"/>
      <c r="ALI453" s="3"/>
      <c r="ALJ453" s="3"/>
      <c r="ALK453" s="3"/>
      <c r="ALL453" s="3"/>
      <c r="ALM453" s="3"/>
      <c r="ALN453" s="3"/>
      <c r="ALO453" s="3"/>
      <c r="ALP453" s="3"/>
      <c r="ALQ453" s="3"/>
      <c r="ALR453" s="3"/>
      <c r="ALS453" s="3"/>
      <c r="ALT453" s="3"/>
      <c r="ALU453" s="3"/>
      <c r="ALV453" s="3"/>
      <c r="ALW453" s="3"/>
      <c r="ALX453" s="3"/>
      <c r="ALY453" s="3"/>
      <c r="ALZ453" s="3"/>
      <c r="AMA453" s="3"/>
      <c r="AMB453" s="3"/>
      <c r="AMC453" s="3"/>
      <c r="AMD453" s="3"/>
      <c r="AME453" s="3"/>
      <c r="AMF453" s="3"/>
      <c r="AMG453" s="3"/>
      <c r="AMH453" s="3"/>
      <c r="AMI453" s="3"/>
      <c r="AMJ453" s="3"/>
      <c r="AMK453" s="3"/>
      <c r="AML453" s="3"/>
      <c r="AMM453" s="3"/>
      <c r="AMN453" s="3"/>
      <c r="AMO453" s="3"/>
      <c r="AMP453" s="1"/>
    </row>
    <row r="454" spans="1:1030" s="6" customFormat="1" x14ac:dyDescent="0.2">
      <c r="A454" s="3" t="str">
        <f t="shared" si="3603"/>
        <v>smo_human_4QIN</v>
      </c>
      <c r="B454" s="3" t="s">
        <v>33</v>
      </c>
      <c r="C454" s="3" t="s">
        <v>56</v>
      </c>
      <c r="D454" s="3" t="str">
        <f>IFERROR(MID(VLOOKUP($B454,Seqs!$A:$B,2,0),E454,1),"")</f>
        <v>T</v>
      </c>
      <c r="E454" s="105">
        <v>223</v>
      </c>
      <c r="F454" s="3" t="str">
        <f>IFERROR(MID(VLOOKUP($B454,Seqs!$A:$B,2,0),G454,1),"")</f>
        <v>D</v>
      </c>
      <c r="G454" s="3">
        <v>255</v>
      </c>
      <c r="H454" s="3" t="str">
        <f>IFERROR(MID(VLOOKUP($B454,Seqs!$A:$B,2,0),I454,1),"")</f>
        <v>W</v>
      </c>
      <c r="I454" s="23">
        <v>256</v>
      </c>
      <c r="J454" s="3" t="str">
        <f>IFERROR(MID(VLOOKUP($B454,Seqs!$A:$B,2,0),K454,1),"")</f>
        <v>N</v>
      </c>
      <c r="K454" s="23">
        <v>260</v>
      </c>
      <c r="L454" s="3" t="str">
        <f>IFERROR(MID(VLOOKUP($B454,Seqs!$A:$B,2,0),M454,1),"")</f>
        <v>R</v>
      </c>
      <c r="M454" s="3">
        <v>261</v>
      </c>
      <c r="N454" s="3" t="str">
        <f>IFERROR(MID(VLOOKUP($B454,Seqs!$A:$B,2,0),O454,1),"")</f>
        <v>F</v>
      </c>
      <c r="O454" s="3">
        <v>285</v>
      </c>
      <c r="P454" s="3" t="str">
        <f>IFERROR(MID(VLOOKUP($B454,Seqs!$A:$B,2,0),Q454,1),"")</f>
        <v/>
      </c>
      <c r="Q454" s="3" t="s">
        <v>23</v>
      </c>
      <c r="R454" s="3" t="str">
        <f>IFERROR(MID(VLOOKUP($B454,Seqs!$A:$B,2,0),S454,1),"")</f>
        <v/>
      </c>
      <c r="S454" s="3" t="s">
        <v>23</v>
      </c>
      <c r="T454" s="3" t="str">
        <f>IFERROR(MID(VLOOKUP($B454,Seqs!$A:$B,2,0),U454,1),"")</f>
        <v>L</v>
      </c>
      <c r="U454" s="3">
        <v>312</v>
      </c>
      <c r="V454" s="3" t="str">
        <f>IFERROR(MID(VLOOKUP($B454,Seqs!$A:$B,2,0),W454,1),"")</f>
        <v>A</v>
      </c>
      <c r="W454" s="3">
        <v>345</v>
      </c>
      <c r="X454" s="3" t="str">
        <f>IFERROR(MID(VLOOKUP($B454,Seqs!$A:$B,2,0),Y454,1),"")</f>
        <v/>
      </c>
      <c r="Y454" s="3" t="s">
        <v>23</v>
      </c>
      <c r="Z454" s="3" t="str">
        <f>IFERROR(MID(VLOOKUP($B454,Seqs!$A:$B,2,0),AA454,1),"")</f>
        <v/>
      </c>
      <c r="AA454" s="3" t="s">
        <v>23</v>
      </c>
      <c r="AB454" s="3" t="str">
        <f>IFERROR(MID(VLOOKUP($B454,Seqs!$A:$B,2,0),AC454,1),"")</f>
        <v>K</v>
      </c>
      <c r="AC454" s="9">
        <v>356</v>
      </c>
      <c r="AD454" s="3" t="str">
        <f>IFERROR(MID(VLOOKUP($B454,Seqs!$A:$B,2,0),AE454,1),"")</f>
        <v>A</v>
      </c>
      <c r="AE454" s="3">
        <v>379</v>
      </c>
      <c r="AF454" s="3" t="str">
        <f>IFERROR(MID(VLOOKUP($B454,Seqs!$A:$B,2,0),AG454,1),"")</f>
        <v>C</v>
      </c>
      <c r="AG454" s="3">
        <v>390</v>
      </c>
      <c r="AH454" s="3" t="str">
        <f>IFERROR(MID(VLOOKUP($B454,Seqs!$A:$B,2,0),AI454,1),"")</f>
        <v>V</v>
      </c>
      <c r="AI454" s="3">
        <v>392</v>
      </c>
      <c r="AJ454" s="3" t="str">
        <f>IFERROR(MID(VLOOKUP($B454,Seqs!$A:$B,2,0),AK454,1),"")</f>
        <v>N</v>
      </c>
      <c r="AK454" s="105">
        <v>396</v>
      </c>
      <c r="AL454" s="3" t="str">
        <f>IFERROR(MID(VLOOKUP($B454,Seqs!$A:$B,2,0),AM454,1),"")</f>
        <v>H</v>
      </c>
      <c r="AM454" s="3">
        <v>433</v>
      </c>
      <c r="AN454" s="3" t="str">
        <f>IFERROR(MID(VLOOKUP($B454,Seqs!$A:$B,2,0),AO454,1),"")</f>
        <v>E</v>
      </c>
      <c r="AO454" s="3">
        <v>447</v>
      </c>
      <c r="AP454" s="3" t="str">
        <f>IFERROR(MID(VLOOKUP($B454,Seqs!$A:$B,2,0),AQ454,1),"")</f>
        <v>A</v>
      </c>
      <c r="AQ454" s="3">
        <v>492</v>
      </c>
      <c r="AR454" s="3" t="str">
        <f>IFERROR(MID(VLOOKUP($B454,Seqs!$A:$B,2,0),AS454,1),"")</f>
        <v>S</v>
      </c>
      <c r="AS454" s="105">
        <v>514</v>
      </c>
      <c r="AT454" s="3" t="str">
        <f>IFERROR(MID(VLOOKUP($B454,Seqs!$A:$B,2,0),AU454,1),"")</f>
        <v>W</v>
      </c>
      <c r="AU454" s="3">
        <v>537</v>
      </c>
      <c r="AV454" s="3" t="str">
        <f>IFERROR(MID(VLOOKUP($B454,Seqs!$A:$B,2,0),AW454,1),"")</f>
        <v>T</v>
      </c>
      <c r="AW454" s="3">
        <v>538</v>
      </c>
      <c r="AX454" s="3" t="str">
        <f>IFERROR(MID(VLOOKUP($B454,Seqs!$A:$B,2,0),AY454,1),"")</f>
        <v>R</v>
      </c>
      <c r="AY454" s="3">
        <v>551</v>
      </c>
      <c r="AZ454" s="78" t="str">
        <f>VLOOKUP(B454,Classification!A:D,2,0)</f>
        <v>F</v>
      </c>
      <c r="BA454" s="94" t="str">
        <f>VLOOKUP(B454,Classification!A:D,4,0)</f>
        <v>Frizzled</v>
      </c>
      <c r="BB454" s="92" t="b">
        <f t="shared" si="3604"/>
        <v>1</v>
      </c>
      <c r="BC454" s="23">
        <f t="shared" si="3549"/>
        <v>248</v>
      </c>
      <c r="BD454" s="74" t="s">
        <v>23</v>
      </c>
      <c r="BE454" s="3" t="s">
        <v>1374</v>
      </c>
      <c r="BF454" s="118">
        <v>2.6</v>
      </c>
      <c r="BG454" s="49" t="s">
        <v>1377</v>
      </c>
      <c r="BH454" s="49" t="s">
        <v>1377</v>
      </c>
      <c r="BI454" s="3"/>
      <c r="BJ454" s="75" t="s">
        <v>1287</v>
      </c>
      <c r="BK454" s="57" t="s">
        <v>1287</v>
      </c>
      <c r="BL454" s="57" t="s">
        <v>1287</v>
      </c>
      <c r="BM454" s="57" t="s">
        <v>1287</v>
      </c>
      <c r="BN454" s="57" t="s">
        <v>1287</v>
      </c>
      <c r="BO454" s="57" t="s">
        <v>1287</v>
      </c>
      <c r="BP454" s="57" t="s">
        <v>1287</v>
      </c>
      <c r="BQ454" s="57" t="s">
        <v>1287</v>
      </c>
      <c r="BR454" s="57" t="s">
        <v>1287</v>
      </c>
      <c r="BS454" s="57" t="s">
        <v>1287</v>
      </c>
      <c r="BT454" s="57" t="s">
        <v>1287</v>
      </c>
      <c r="BU454" s="57" t="s">
        <v>1287</v>
      </c>
      <c r="BV454" s="75">
        <f t="shared" si="3550"/>
        <v>223</v>
      </c>
      <c r="BW454" s="71">
        <f t="shared" si="3551"/>
        <v>256</v>
      </c>
      <c r="BX454" s="72">
        <f t="shared" si="3552"/>
        <v>261</v>
      </c>
      <c r="BY454" s="71" t="str">
        <f t="shared" si="3553"/>
        <v>-</v>
      </c>
      <c r="BZ454" s="72">
        <f t="shared" si="3554"/>
        <v>312</v>
      </c>
      <c r="CA454" s="71" t="str">
        <f t="shared" si="3555"/>
        <v>-</v>
      </c>
      <c r="CB454" s="72">
        <f t="shared" si="3556"/>
        <v>356</v>
      </c>
      <c r="CC454" s="71">
        <f t="shared" si="3557"/>
        <v>390</v>
      </c>
      <c r="CD454" s="72">
        <f t="shared" si="3558"/>
        <v>396</v>
      </c>
      <c r="CE454" s="71">
        <f t="shared" si="3559"/>
        <v>447</v>
      </c>
      <c r="CF454" s="72">
        <f t="shared" si="3560"/>
        <v>514</v>
      </c>
      <c r="CG454" s="71">
        <f t="shared" si="3561"/>
        <v>538</v>
      </c>
      <c r="CH454" s="75">
        <f t="shared" si="3562"/>
        <v>255</v>
      </c>
      <c r="CI454" s="71">
        <f t="shared" si="3563"/>
        <v>260</v>
      </c>
      <c r="CJ454" s="72">
        <f t="shared" si="3564"/>
        <v>285</v>
      </c>
      <c r="CK454" s="72" t="str">
        <f t="shared" si="3565"/>
        <v>-</v>
      </c>
      <c r="CL454" s="72">
        <f t="shared" si="3566"/>
        <v>345</v>
      </c>
      <c r="CM454" s="72" t="str">
        <f t="shared" si="3567"/>
        <v>-</v>
      </c>
      <c r="CN454" s="72">
        <f t="shared" si="3568"/>
        <v>379</v>
      </c>
      <c r="CO454" s="72">
        <f t="shared" si="3569"/>
        <v>392</v>
      </c>
      <c r="CP454" s="72">
        <f t="shared" si="3570"/>
        <v>433</v>
      </c>
      <c r="CQ454" s="72">
        <f t="shared" si="3571"/>
        <v>492</v>
      </c>
      <c r="CR454" s="72">
        <f t="shared" si="3572"/>
        <v>537</v>
      </c>
      <c r="CS454" s="72">
        <f t="shared" si="3573"/>
        <v>551</v>
      </c>
      <c r="CT454" s="23">
        <f t="shared" si="3574"/>
        <v>1</v>
      </c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/>
      <c r="MX454" s="3"/>
      <c r="MY454" s="3"/>
      <c r="MZ454" s="3"/>
      <c r="NA454" s="3"/>
      <c r="NB454" s="3"/>
      <c r="NC454" s="3"/>
      <c r="ND454" s="3"/>
      <c r="NE454" s="3"/>
      <c r="NF454" s="3"/>
      <c r="NG454" s="3"/>
      <c r="NH454" s="3"/>
      <c r="NI454" s="3"/>
      <c r="NJ454" s="3"/>
      <c r="NK454" s="3"/>
      <c r="NL454" s="3"/>
      <c r="NM454" s="3"/>
      <c r="NN454" s="3"/>
      <c r="NO454" s="3"/>
      <c r="NP454" s="3"/>
      <c r="NQ454" s="3"/>
      <c r="NR454" s="3"/>
      <c r="NS454" s="3"/>
      <c r="NT454" s="3"/>
      <c r="NU454" s="3"/>
      <c r="NV454" s="3"/>
      <c r="NW454" s="3"/>
      <c r="NX454" s="3"/>
      <c r="NY454" s="3"/>
      <c r="NZ454" s="3"/>
      <c r="OA454" s="3"/>
      <c r="OB454" s="3"/>
      <c r="OC454" s="3"/>
      <c r="OD454" s="3"/>
      <c r="OE454" s="3"/>
      <c r="OF454" s="3"/>
      <c r="OG454" s="3"/>
      <c r="OH454" s="3"/>
      <c r="OI454" s="3"/>
      <c r="OJ454" s="3"/>
      <c r="OK454" s="3"/>
      <c r="OL454" s="3"/>
      <c r="OM454" s="3"/>
      <c r="ON454" s="3"/>
      <c r="OO454" s="3"/>
      <c r="OP454" s="3"/>
      <c r="OQ454" s="3"/>
      <c r="OR454" s="3"/>
      <c r="OS454" s="3"/>
      <c r="OT454" s="3"/>
      <c r="OU454" s="3"/>
      <c r="OV454" s="3"/>
      <c r="OW454" s="3"/>
      <c r="OX454" s="3"/>
      <c r="OY454" s="3"/>
      <c r="OZ454" s="3"/>
      <c r="PA454" s="3"/>
      <c r="PB454" s="3"/>
      <c r="PC454" s="3"/>
      <c r="PD454" s="3"/>
      <c r="PE454" s="3"/>
      <c r="PF454" s="3"/>
      <c r="PG454" s="3"/>
      <c r="PH454" s="3"/>
      <c r="PI454" s="3"/>
      <c r="PJ454" s="3"/>
      <c r="PK454" s="3"/>
      <c r="PL454" s="3"/>
      <c r="PM454" s="3"/>
      <c r="PN454" s="3"/>
      <c r="PO454" s="3"/>
      <c r="PP454" s="3"/>
      <c r="PQ454" s="3"/>
      <c r="PR454" s="3"/>
      <c r="PS454" s="3"/>
      <c r="PT454" s="3"/>
      <c r="PU454" s="3"/>
      <c r="PV454" s="3"/>
      <c r="PW454" s="3"/>
      <c r="PX454" s="3"/>
      <c r="PY454" s="3"/>
      <c r="PZ454" s="3"/>
      <c r="QA454" s="3"/>
      <c r="QB454" s="3"/>
      <c r="QC454" s="3"/>
      <c r="QD454" s="3"/>
      <c r="QE454" s="3"/>
      <c r="QF454" s="3"/>
      <c r="QG454" s="3"/>
      <c r="QH454" s="3"/>
      <c r="QI454" s="3"/>
      <c r="QJ454" s="3"/>
      <c r="QK454" s="3"/>
      <c r="QL454" s="3"/>
      <c r="QM454" s="3"/>
      <c r="QN454" s="3"/>
      <c r="QO454" s="3"/>
      <c r="QP454" s="3"/>
      <c r="QQ454" s="3"/>
      <c r="QR454" s="3"/>
      <c r="QS454" s="3"/>
      <c r="QT454" s="3"/>
      <c r="QU454" s="3"/>
      <c r="QV454" s="3"/>
      <c r="QW454" s="3"/>
      <c r="QX454" s="3"/>
      <c r="QY454" s="3"/>
      <c r="QZ454" s="3"/>
      <c r="RA454" s="3"/>
      <c r="RB454" s="3"/>
      <c r="RC454" s="3"/>
      <c r="RD454" s="3"/>
      <c r="RE454" s="3"/>
      <c r="RF454" s="3"/>
      <c r="RG454" s="3"/>
      <c r="RH454" s="3"/>
      <c r="RI454" s="3"/>
      <c r="RJ454" s="3"/>
      <c r="RK454" s="3"/>
      <c r="RL454" s="3"/>
      <c r="RM454" s="3"/>
      <c r="RN454" s="3"/>
      <c r="RO454" s="3"/>
      <c r="RP454" s="3"/>
      <c r="RQ454" s="3"/>
      <c r="RR454" s="3"/>
      <c r="RS454" s="3"/>
      <c r="RT454" s="3"/>
      <c r="RU454" s="3"/>
      <c r="RV454" s="3"/>
      <c r="RW454" s="3"/>
      <c r="RX454" s="3"/>
      <c r="RY454" s="3"/>
      <c r="RZ454" s="3"/>
      <c r="SA454" s="3"/>
      <c r="SB454" s="3"/>
      <c r="SC454" s="3"/>
      <c r="SD454" s="3"/>
      <c r="SE454" s="3"/>
      <c r="SF454" s="3"/>
      <c r="SG454" s="3"/>
      <c r="SH454" s="3"/>
      <c r="SI454" s="3"/>
      <c r="SJ454" s="3"/>
      <c r="SK454" s="3"/>
      <c r="SL454" s="3"/>
      <c r="SM454" s="3"/>
      <c r="SN454" s="3"/>
      <c r="SO454" s="3"/>
      <c r="SP454" s="3"/>
      <c r="SQ454" s="3"/>
      <c r="SR454" s="3"/>
      <c r="SS454" s="3"/>
      <c r="ST454" s="3"/>
      <c r="SU454" s="3"/>
      <c r="SV454" s="3"/>
      <c r="SW454" s="3"/>
      <c r="SX454" s="3"/>
      <c r="SY454" s="3"/>
      <c r="SZ454" s="3"/>
      <c r="TA454" s="3"/>
      <c r="TB454" s="3"/>
      <c r="TC454" s="3"/>
      <c r="TD454" s="3"/>
      <c r="TE454" s="3"/>
      <c r="TF454" s="3"/>
      <c r="TG454" s="3"/>
      <c r="TH454" s="3"/>
      <c r="TI454" s="3"/>
      <c r="TJ454" s="3"/>
      <c r="TK454" s="3"/>
      <c r="TL454" s="3"/>
      <c r="TM454" s="3"/>
      <c r="TN454" s="3"/>
      <c r="TO454" s="3"/>
      <c r="TP454" s="3"/>
      <c r="TQ454" s="3"/>
      <c r="TR454" s="3"/>
      <c r="TS454" s="3"/>
      <c r="TT454" s="3"/>
      <c r="TU454" s="3"/>
      <c r="TV454" s="3"/>
      <c r="TW454" s="3"/>
      <c r="TX454" s="3"/>
      <c r="TY454" s="3"/>
      <c r="TZ454" s="3"/>
      <c r="UA454" s="3"/>
      <c r="UB454" s="3"/>
      <c r="UC454" s="3"/>
      <c r="UD454" s="3"/>
      <c r="UE454" s="3"/>
      <c r="UF454" s="3"/>
      <c r="UG454" s="3"/>
      <c r="UH454" s="3"/>
      <c r="UI454" s="3"/>
      <c r="UJ454" s="3"/>
      <c r="UK454" s="3"/>
      <c r="UL454" s="3"/>
      <c r="UM454" s="3"/>
      <c r="UN454" s="3"/>
      <c r="UO454" s="3"/>
      <c r="UP454" s="3"/>
      <c r="UQ454" s="3"/>
      <c r="UR454" s="3"/>
      <c r="US454" s="3"/>
      <c r="UT454" s="3"/>
      <c r="UU454" s="3"/>
      <c r="UV454" s="3"/>
      <c r="UW454" s="3"/>
      <c r="UX454" s="3"/>
      <c r="UY454" s="3"/>
      <c r="UZ454" s="3"/>
      <c r="VA454" s="3"/>
      <c r="VB454" s="3"/>
      <c r="VC454" s="3"/>
      <c r="VD454" s="3"/>
      <c r="VE454" s="3"/>
      <c r="VF454" s="3"/>
      <c r="VG454" s="3"/>
      <c r="VH454" s="3"/>
      <c r="VI454" s="3"/>
      <c r="VJ454" s="3"/>
      <c r="VK454" s="3"/>
      <c r="VL454" s="3"/>
      <c r="VM454" s="3"/>
      <c r="VN454" s="3"/>
      <c r="VO454" s="3"/>
      <c r="VP454" s="3"/>
      <c r="VQ454" s="3"/>
      <c r="VR454" s="3"/>
      <c r="VS454" s="3"/>
      <c r="VT454" s="3"/>
      <c r="VU454" s="3"/>
      <c r="VV454" s="3"/>
      <c r="VW454" s="3"/>
      <c r="VX454" s="3"/>
      <c r="VY454" s="3"/>
      <c r="VZ454" s="3"/>
      <c r="WA454" s="3"/>
      <c r="WB454" s="3"/>
      <c r="WC454" s="3"/>
      <c r="WD454" s="3"/>
      <c r="WE454" s="3"/>
      <c r="WF454" s="3"/>
      <c r="WG454" s="3"/>
      <c r="WH454" s="3"/>
      <c r="WI454" s="3"/>
      <c r="WJ454" s="3"/>
      <c r="WK454" s="3"/>
      <c r="WL454" s="3"/>
      <c r="WM454" s="3"/>
      <c r="WN454" s="3"/>
      <c r="WO454" s="3"/>
      <c r="WP454" s="3"/>
      <c r="WQ454" s="3"/>
      <c r="WR454" s="3"/>
      <c r="WS454" s="3"/>
      <c r="WT454" s="3"/>
      <c r="WU454" s="3"/>
      <c r="WV454" s="3"/>
      <c r="WW454" s="3"/>
      <c r="WX454" s="3"/>
      <c r="WY454" s="3"/>
      <c r="WZ454" s="3"/>
      <c r="XA454" s="3"/>
      <c r="XB454" s="3"/>
      <c r="XC454" s="3"/>
      <c r="XD454" s="3"/>
      <c r="XE454" s="3"/>
      <c r="XF454" s="3"/>
      <c r="XG454" s="3"/>
      <c r="XH454" s="3"/>
      <c r="XI454" s="3"/>
      <c r="XJ454" s="3"/>
      <c r="XK454" s="3"/>
      <c r="XL454" s="3"/>
      <c r="XM454" s="3"/>
      <c r="XN454" s="3"/>
      <c r="XO454" s="3"/>
      <c r="XP454" s="3"/>
      <c r="XQ454" s="3"/>
      <c r="XR454" s="3"/>
      <c r="XS454" s="3"/>
      <c r="XT454" s="3"/>
      <c r="XU454" s="3"/>
      <c r="XV454" s="3"/>
      <c r="XW454" s="3"/>
      <c r="XX454" s="3"/>
      <c r="XY454" s="3"/>
      <c r="XZ454" s="3"/>
      <c r="YA454" s="3"/>
      <c r="YB454" s="3"/>
      <c r="YC454" s="3"/>
      <c r="YD454" s="3"/>
      <c r="YE454" s="3"/>
      <c r="YF454" s="3"/>
      <c r="YG454" s="3"/>
      <c r="YH454" s="3"/>
      <c r="YI454" s="3"/>
      <c r="YJ454" s="3"/>
      <c r="YK454" s="3"/>
      <c r="YL454" s="3"/>
      <c r="YM454" s="3"/>
      <c r="YN454" s="3"/>
      <c r="YO454" s="3"/>
      <c r="YP454" s="3"/>
      <c r="YQ454" s="3"/>
      <c r="YR454" s="3"/>
      <c r="YS454" s="3"/>
      <c r="YT454" s="3"/>
      <c r="YU454" s="3"/>
      <c r="YV454" s="3"/>
      <c r="YW454" s="3"/>
      <c r="YX454" s="3"/>
      <c r="YY454" s="3"/>
      <c r="YZ454" s="3"/>
      <c r="ZA454" s="3"/>
      <c r="ZB454" s="3"/>
      <c r="ZC454" s="3"/>
      <c r="ZD454" s="3"/>
      <c r="ZE454" s="3"/>
      <c r="ZF454" s="3"/>
      <c r="ZG454" s="3"/>
      <c r="ZH454" s="3"/>
      <c r="ZI454" s="3"/>
      <c r="ZJ454" s="3"/>
      <c r="ZK454" s="3"/>
      <c r="ZL454" s="3"/>
      <c r="ZM454" s="3"/>
      <c r="ZN454" s="3"/>
      <c r="ZO454" s="3"/>
      <c r="ZP454" s="3"/>
      <c r="ZQ454" s="3"/>
      <c r="ZR454" s="3"/>
      <c r="ZS454" s="3"/>
      <c r="ZT454" s="3"/>
      <c r="ZU454" s="3"/>
      <c r="ZV454" s="3"/>
      <c r="ZW454" s="3"/>
      <c r="ZX454" s="3"/>
      <c r="ZY454" s="3"/>
      <c r="ZZ454" s="3"/>
      <c r="AAA454" s="3"/>
      <c r="AAB454" s="3"/>
      <c r="AAC454" s="3"/>
      <c r="AAD454" s="3"/>
      <c r="AAE454" s="3"/>
      <c r="AAF454" s="3"/>
      <c r="AAG454" s="3"/>
      <c r="AAH454" s="3"/>
      <c r="AAI454" s="3"/>
      <c r="AAJ454" s="3"/>
      <c r="AAK454" s="3"/>
      <c r="AAL454" s="3"/>
      <c r="AAM454" s="3"/>
      <c r="AAN454" s="3"/>
      <c r="AAO454" s="3"/>
      <c r="AAP454" s="3"/>
      <c r="AAQ454" s="3"/>
      <c r="AAR454" s="3"/>
      <c r="AAS454" s="3"/>
      <c r="AAT454" s="3"/>
      <c r="AAU454" s="3"/>
      <c r="AAV454" s="3"/>
      <c r="AAW454" s="3"/>
      <c r="AAX454" s="3"/>
      <c r="AAY454" s="3"/>
      <c r="AAZ454" s="3"/>
      <c r="ABA454" s="3"/>
      <c r="ABB454" s="3"/>
      <c r="ABC454" s="3"/>
      <c r="ABD454" s="3"/>
      <c r="ABE454" s="3"/>
      <c r="ABF454" s="3"/>
      <c r="ABG454" s="3"/>
      <c r="ABH454" s="3"/>
      <c r="ABI454" s="3"/>
      <c r="ABJ454" s="3"/>
      <c r="ABK454" s="3"/>
      <c r="ABL454" s="3"/>
      <c r="ABM454" s="3"/>
      <c r="ABN454" s="3"/>
      <c r="ABO454" s="3"/>
      <c r="ABP454" s="3"/>
      <c r="ABQ454" s="3"/>
      <c r="ABR454" s="3"/>
      <c r="ABS454" s="3"/>
      <c r="ABT454" s="3"/>
      <c r="ABU454" s="3"/>
      <c r="ABV454" s="3"/>
      <c r="ABW454" s="3"/>
      <c r="ABX454" s="3"/>
      <c r="ABY454" s="3"/>
      <c r="ABZ454" s="3"/>
      <c r="ACA454" s="3"/>
      <c r="ACB454" s="3"/>
      <c r="ACC454" s="3"/>
      <c r="ACD454" s="3"/>
      <c r="ACE454" s="3"/>
      <c r="ACF454" s="3"/>
      <c r="ACG454" s="3"/>
      <c r="ACH454" s="3"/>
      <c r="ACI454" s="3"/>
      <c r="ACJ454" s="3"/>
      <c r="ACK454" s="3"/>
      <c r="ACL454" s="3"/>
      <c r="ACM454" s="3"/>
      <c r="ACN454" s="3"/>
      <c r="ACO454" s="3"/>
      <c r="ACP454" s="3"/>
      <c r="ACQ454" s="3"/>
      <c r="ACR454" s="3"/>
      <c r="ACS454" s="3"/>
      <c r="ACT454" s="3"/>
      <c r="ACU454" s="3"/>
      <c r="ACV454" s="3"/>
      <c r="ACW454" s="3"/>
      <c r="ACX454" s="3"/>
      <c r="ACY454" s="3"/>
      <c r="ACZ454" s="3"/>
      <c r="ADA454" s="3"/>
      <c r="ADB454" s="3"/>
      <c r="ADC454" s="3"/>
      <c r="ADD454" s="3"/>
      <c r="ADE454" s="3"/>
      <c r="ADF454" s="3"/>
      <c r="ADG454" s="3"/>
      <c r="ADH454" s="3"/>
      <c r="ADI454" s="3"/>
      <c r="ADJ454" s="3"/>
      <c r="ADK454" s="3"/>
      <c r="ADL454" s="3"/>
      <c r="ADM454" s="3"/>
      <c r="ADN454" s="3"/>
      <c r="ADO454" s="3"/>
      <c r="ADP454" s="3"/>
      <c r="ADQ454" s="3"/>
      <c r="ADR454" s="3"/>
      <c r="ADS454" s="3"/>
      <c r="ADT454" s="3"/>
      <c r="ADU454" s="3"/>
      <c r="ADV454" s="3"/>
      <c r="ADW454" s="3"/>
      <c r="ADX454" s="3"/>
      <c r="ADY454" s="3"/>
      <c r="ADZ454" s="3"/>
      <c r="AEA454" s="3"/>
      <c r="AEB454" s="3"/>
      <c r="AEC454" s="3"/>
      <c r="AED454" s="3"/>
      <c r="AEE454" s="3"/>
      <c r="AEF454" s="3"/>
      <c r="AEG454" s="3"/>
      <c r="AEH454" s="3"/>
      <c r="AEI454" s="3"/>
      <c r="AEJ454" s="3"/>
      <c r="AEK454" s="3"/>
      <c r="AEL454" s="3"/>
      <c r="AEM454" s="3"/>
      <c r="AEN454" s="3"/>
      <c r="AEO454" s="3"/>
      <c r="AEP454" s="3"/>
      <c r="AEQ454" s="3"/>
      <c r="AER454" s="3"/>
      <c r="AES454" s="3"/>
      <c r="AET454" s="3"/>
      <c r="AEU454" s="3"/>
      <c r="AEV454" s="3"/>
      <c r="AEW454" s="3"/>
      <c r="AEX454" s="3"/>
      <c r="AEY454" s="3"/>
      <c r="AEZ454" s="3"/>
      <c r="AFA454" s="3"/>
      <c r="AFB454" s="3"/>
      <c r="AFC454" s="3"/>
      <c r="AFD454" s="3"/>
      <c r="AFE454" s="3"/>
      <c r="AFF454" s="3"/>
      <c r="AFG454" s="3"/>
      <c r="AFH454" s="3"/>
      <c r="AFI454" s="3"/>
      <c r="AFJ454" s="3"/>
      <c r="AFK454" s="3"/>
      <c r="AFL454" s="3"/>
      <c r="AFM454" s="3"/>
      <c r="AFN454" s="3"/>
      <c r="AFO454" s="3"/>
      <c r="AFP454" s="3"/>
      <c r="AFQ454" s="3"/>
      <c r="AFR454" s="3"/>
      <c r="AFS454" s="3"/>
      <c r="AFT454" s="3"/>
      <c r="AFU454" s="3"/>
      <c r="AFV454" s="3"/>
      <c r="AFW454" s="3"/>
      <c r="AFX454" s="3"/>
      <c r="AFY454" s="3"/>
      <c r="AFZ454" s="3"/>
      <c r="AGA454" s="3"/>
      <c r="AGB454" s="3"/>
      <c r="AGC454" s="3"/>
      <c r="AGD454" s="3"/>
      <c r="AGE454" s="3"/>
      <c r="AGF454" s="3"/>
      <c r="AGG454" s="3"/>
      <c r="AGH454" s="3"/>
      <c r="AGI454" s="3"/>
      <c r="AGJ454" s="3"/>
      <c r="AGK454" s="3"/>
      <c r="AGL454" s="3"/>
      <c r="AGM454" s="3"/>
      <c r="AGN454" s="3"/>
      <c r="AGO454" s="3"/>
      <c r="AGP454" s="3"/>
      <c r="AGQ454" s="3"/>
      <c r="AGR454" s="3"/>
      <c r="AGS454" s="3"/>
      <c r="AGT454" s="3"/>
      <c r="AGU454" s="3"/>
      <c r="AGV454" s="3"/>
      <c r="AGW454" s="3"/>
      <c r="AGX454" s="3"/>
      <c r="AGY454" s="3"/>
      <c r="AGZ454" s="3"/>
      <c r="AHA454" s="3"/>
      <c r="AHB454" s="3"/>
      <c r="AHC454" s="3"/>
      <c r="AHD454" s="3"/>
      <c r="AHE454" s="3"/>
      <c r="AHF454" s="3"/>
      <c r="AHG454" s="3"/>
      <c r="AHH454" s="3"/>
      <c r="AHI454" s="3"/>
      <c r="AHJ454" s="3"/>
      <c r="AHK454" s="3"/>
      <c r="AHL454" s="3"/>
      <c r="AHM454" s="3"/>
      <c r="AHN454" s="3"/>
      <c r="AHO454" s="3"/>
      <c r="AHP454" s="3"/>
      <c r="AHQ454" s="3"/>
      <c r="AHR454" s="3"/>
      <c r="AHS454" s="3"/>
      <c r="AHT454" s="3"/>
      <c r="AHU454" s="3"/>
      <c r="AHV454" s="3"/>
      <c r="AHW454" s="3"/>
      <c r="AHX454" s="3"/>
      <c r="AHY454" s="3"/>
      <c r="AHZ454" s="3"/>
      <c r="AIA454" s="3"/>
      <c r="AIB454" s="3"/>
      <c r="AIC454" s="3"/>
      <c r="AID454" s="3"/>
      <c r="AIE454" s="3"/>
      <c r="AIF454" s="3"/>
      <c r="AIG454" s="3"/>
      <c r="AIH454" s="3"/>
      <c r="AII454" s="3"/>
      <c r="AIJ454" s="3"/>
      <c r="AIK454" s="3"/>
      <c r="AIL454" s="3"/>
      <c r="AIM454" s="3"/>
      <c r="AIN454" s="3"/>
      <c r="AIO454" s="3"/>
      <c r="AIP454" s="3"/>
      <c r="AIQ454" s="3"/>
      <c r="AIR454" s="3"/>
      <c r="AIS454" s="3"/>
      <c r="AIT454" s="3"/>
      <c r="AIU454" s="3"/>
      <c r="AIV454" s="3"/>
      <c r="AIW454" s="3"/>
      <c r="AIX454" s="3"/>
      <c r="AIY454" s="3"/>
      <c r="AIZ454" s="3"/>
      <c r="AJA454" s="3"/>
      <c r="AJB454" s="3"/>
      <c r="AJC454" s="3"/>
      <c r="AJD454" s="3"/>
      <c r="AJE454" s="3"/>
      <c r="AJF454" s="3"/>
      <c r="AJG454" s="3"/>
      <c r="AJH454" s="3"/>
      <c r="AJI454" s="3"/>
      <c r="AJJ454" s="3"/>
      <c r="AJK454" s="3"/>
      <c r="AJL454" s="3"/>
      <c r="AJM454" s="3"/>
      <c r="AJN454" s="3"/>
      <c r="AJO454" s="3"/>
      <c r="AJP454" s="3"/>
      <c r="AJQ454" s="3"/>
      <c r="AJR454" s="3"/>
      <c r="AJS454" s="3"/>
      <c r="AJT454" s="3"/>
      <c r="AJU454" s="3"/>
      <c r="AJV454" s="3"/>
      <c r="AJW454" s="3"/>
      <c r="AJX454" s="3"/>
      <c r="AJY454" s="3"/>
      <c r="AJZ454" s="3"/>
      <c r="AKA454" s="3"/>
      <c r="AKB454" s="3"/>
      <c r="AKC454" s="3"/>
      <c r="AKD454" s="3"/>
      <c r="AKE454" s="3"/>
      <c r="AKF454" s="3"/>
      <c r="AKG454" s="3"/>
      <c r="AKH454" s="3"/>
      <c r="AKI454" s="3"/>
      <c r="AKJ454" s="3"/>
      <c r="AKK454" s="3"/>
      <c r="AKL454" s="3"/>
      <c r="AKM454" s="3"/>
      <c r="AKN454" s="3"/>
      <c r="AKO454" s="3"/>
      <c r="AKP454" s="3"/>
      <c r="AKQ454" s="3"/>
      <c r="AKR454" s="3"/>
      <c r="AKS454" s="3"/>
      <c r="AKT454" s="3"/>
      <c r="AKU454" s="3"/>
      <c r="AKV454" s="3"/>
      <c r="AKW454" s="3"/>
      <c r="AKX454" s="3"/>
      <c r="AKY454" s="3"/>
      <c r="AKZ454" s="3"/>
      <c r="ALA454" s="3"/>
      <c r="ALB454" s="3"/>
      <c r="ALC454" s="3"/>
      <c r="ALD454" s="3"/>
      <c r="ALE454" s="3"/>
      <c r="ALF454" s="3"/>
      <c r="ALG454" s="3"/>
      <c r="ALH454" s="3"/>
      <c r="ALI454" s="3"/>
      <c r="ALJ454" s="3"/>
      <c r="ALK454" s="3"/>
      <c r="ALL454" s="3"/>
      <c r="ALM454" s="3"/>
      <c r="ALN454" s="3"/>
      <c r="ALO454" s="3"/>
      <c r="ALP454" s="3"/>
      <c r="ALQ454" s="3"/>
      <c r="ALR454" s="3"/>
      <c r="ALS454" s="3"/>
      <c r="ALT454" s="3"/>
      <c r="ALU454" s="3"/>
      <c r="ALV454" s="3"/>
      <c r="ALW454" s="3"/>
      <c r="ALX454" s="3"/>
      <c r="ALY454" s="3"/>
      <c r="ALZ454" s="3"/>
      <c r="AMA454" s="3"/>
      <c r="AMB454" s="3"/>
      <c r="AMC454" s="3"/>
      <c r="AMD454" s="3"/>
      <c r="AME454" s="3"/>
      <c r="AMF454" s="3"/>
      <c r="AMG454" s="3"/>
      <c r="AMH454" s="3"/>
      <c r="AMI454" s="3"/>
      <c r="AMJ454" s="3"/>
      <c r="AMK454" s="3"/>
      <c r="AML454" s="3"/>
      <c r="AMM454" s="3"/>
      <c r="AMN454" s="3"/>
      <c r="AMO454" s="3"/>
      <c r="AMP454" s="1"/>
    </row>
    <row r="455" spans="1:1030" s="6" customFormat="1" x14ac:dyDescent="0.2">
      <c r="A455" s="3" t="str">
        <f t="shared" si="3603"/>
        <v>smo_human_5L7D</v>
      </c>
      <c r="B455" s="3" t="s">
        <v>33</v>
      </c>
      <c r="C455" s="3" t="s">
        <v>1352</v>
      </c>
      <c r="D455" s="3" t="str">
        <f>IFERROR(MID(VLOOKUP($B455,Seqs!$A:$B,2,0),E455,1),"")</f>
        <v>T</v>
      </c>
      <c r="E455" s="105">
        <v>223</v>
      </c>
      <c r="F455" s="3" t="str">
        <f>IFERROR(MID(VLOOKUP($B455,Seqs!$A:$B,2,0),G455,1),"")</f>
        <v>D</v>
      </c>
      <c r="G455" s="3">
        <v>255</v>
      </c>
      <c r="H455" s="3" t="str">
        <f>IFERROR(MID(VLOOKUP($B455,Seqs!$A:$B,2,0),I455,1),"")</f>
        <v>W</v>
      </c>
      <c r="I455" s="23">
        <v>256</v>
      </c>
      <c r="J455" s="3" t="str">
        <f>IFERROR(MID(VLOOKUP($B455,Seqs!$A:$B,2,0),K455,1),"")</f>
        <v>N</v>
      </c>
      <c r="K455" s="23">
        <v>260</v>
      </c>
      <c r="L455" s="3" t="str">
        <f>IFERROR(MID(VLOOKUP($B455,Seqs!$A:$B,2,0),M455,1),"")</f>
        <v>R</v>
      </c>
      <c r="M455" s="3">
        <v>261</v>
      </c>
      <c r="N455" s="3" t="str">
        <f>IFERROR(MID(VLOOKUP($B455,Seqs!$A:$B,2,0),O455,1),"")</f>
        <v>F</v>
      </c>
      <c r="O455" s="3">
        <v>285</v>
      </c>
      <c r="P455" s="3" t="str">
        <f>IFERROR(MID(VLOOKUP($B455,Seqs!$A:$B,2,0),Q455,1),"")</f>
        <v/>
      </c>
      <c r="Q455" s="3" t="s">
        <v>23</v>
      </c>
      <c r="R455" s="3" t="str">
        <f>IFERROR(MID(VLOOKUP($B455,Seqs!$A:$B,2,0),S455,1),"")</f>
        <v/>
      </c>
      <c r="S455" s="3" t="s">
        <v>23</v>
      </c>
      <c r="T455" s="3" t="str">
        <f>IFERROR(MID(VLOOKUP($B455,Seqs!$A:$B,2,0),U455,1),"")</f>
        <v>L</v>
      </c>
      <c r="U455" s="3">
        <v>312</v>
      </c>
      <c r="V455" s="3" t="str">
        <f>IFERROR(MID(VLOOKUP($B455,Seqs!$A:$B,2,0),W455,1),"")</f>
        <v>L</v>
      </c>
      <c r="W455" s="3">
        <v>346</v>
      </c>
      <c r="X455" s="3" t="str">
        <f>IFERROR(MID(VLOOKUP($B455,Seqs!$A:$B,2,0),Y455,1),"")</f>
        <v/>
      </c>
      <c r="Y455" s="3" t="s">
        <v>23</v>
      </c>
      <c r="Z455" s="3" t="str">
        <f>IFERROR(MID(VLOOKUP($B455,Seqs!$A:$B,2,0),AA455,1),"")</f>
        <v/>
      </c>
      <c r="AA455" s="3" t="s">
        <v>23</v>
      </c>
      <c r="AB455" s="3" t="str">
        <f>IFERROR(MID(VLOOKUP($B455,Seqs!$A:$B,2,0),AC455,1),"")</f>
        <v>K</v>
      </c>
      <c r="AC455" s="9">
        <v>356</v>
      </c>
      <c r="AD455" s="3" t="str">
        <f>IFERROR(MID(VLOOKUP($B455,Seqs!$A:$B,2,0),AE455,1),"")</f>
        <v>V</v>
      </c>
      <c r="AE455" s="3">
        <v>378</v>
      </c>
      <c r="AF455" s="3" t="str">
        <f>IFERROR(MID(VLOOKUP($B455,Seqs!$A:$B,2,0),AG455,1),"")</f>
        <v>C</v>
      </c>
      <c r="AG455" s="3">
        <v>390</v>
      </c>
      <c r="AH455" s="3" t="str">
        <f>IFERROR(MID(VLOOKUP($B455,Seqs!$A:$B,2,0),AI455,1),"")</f>
        <v>V</v>
      </c>
      <c r="AI455" s="3">
        <v>392</v>
      </c>
      <c r="AJ455" s="3" t="str">
        <f>IFERROR(MID(VLOOKUP($B455,Seqs!$A:$B,2,0),AK455,1),"")</f>
        <v>N</v>
      </c>
      <c r="AK455" s="105">
        <v>396</v>
      </c>
      <c r="AL455" s="3" t="str">
        <f>IFERROR(MID(VLOOKUP($B455,Seqs!$A:$B,2,0),AM455,1),"")</f>
        <v>S</v>
      </c>
      <c r="AM455" s="3">
        <v>428</v>
      </c>
      <c r="AN455" s="3" t="str">
        <f>IFERROR(MID(VLOOKUP($B455,Seqs!$A:$B,2,0),AO455,1),"")</f>
        <v>E</v>
      </c>
      <c r="AO455" s="3">
        <v>447</v>
      </c>
      <c r="AP455" s="3" t="str">
        <f>IFERROR(MID(VLOOKUP($B455,Seqs!$A:$B,2,0),AQ455,1),"")</f>
        <v>I</v>
      </c>
      <c r="AQ455" s="3">
        <v>496</v>
      </c>
      <c r="AR455" s="3" t="str">
        <f>IFERROR(MID(VLOOKUP($B455,Seqs!$A:$B,2,0),AS455,1),"")</f>
        <v>S</v>
      </c>
      <c r="AS455" s="105">
        <v>514</v>
      </c>
      <c r="AT455" s="3" t="str">
        <f>IFERROR(MID(VLOOKUP($B455,Seqs!$A:$B,2,0),AU455,1),"")</f>
        <v>W</v>
      </c>
      <c r="AU455" s="3">
        <v>537</v>
      </c>
      <c r="AV455" s="3" t="str">
        <f>IFERROR(MID(VLOOKUP($B455,Seqs!$A:$B,2,0),AW455,1),"")</f>
        <v>T</v>
      </c>
      <c r="AW455" s="3">
        <v>538</v>
      </c>
      <c r="AX455" s="3" t="str">
        <f>IFERROR(MID(VLOOKUP($B455,Seqs!$A:$B,2,0),AY455,1),"")</f>
        <v>T</v>
      </c>
      <c r="AY455" s="3">
        <v>553</v>
      </c>
      <c r="AZ455" s="78" t="str">
        <f>VLOOKUP(B455,Classification!A:D,2,0)</f>
        <v>F</v>
      </c>
      <c r="BA455" s="94" t="str">
        <f>VLOOKUP(B455,Classification!A:D,4,0)</f>
        <v>Frizzled</v>
      </c>
      <c r="BB455" s="92" t="b">
        <f t="shared" si="3604"/>
        <v>1</v>
      </c>
      <c r="BC455" s="23">
        <f t="shared" si="3549"/>
        <v>249</v>
      </c>
      <c r="BD455" s="74" t="s">
        <v>1376</v>
      </c>
      <c r="BE455" s="3" t="s">
        <v>1374</v>
      </c>
      <c r="BF455" s="118">
        <v>3.2</v>
      </c>
      <c r="BG455" s="49" t="s">
        <v>1281</v>
      </c>
      <c r="BH455" s="49" t="s">
        <v>1377</v>
      </c>
      <c r="BI455" s="3"/>
      <c r="BJ455" s="75" t="s">
        <v>1287</v>
      </c>
      <c r="BK455" s="57" t="s">
        <v>1287</v>
      </c>
      <c r="BL455" s="57" t="s">
        <v>1287</v>
      </c>
      <c r="BM455" s="57" t="s">
        <v>1287</v>
      </c>
      <c r="BN455" s="57" t="s">
        <v>1287</v>
      </c>
      <c r="BO455" s="57" t="s">
        <v>1287</v>
      </c>
      <c r="BP455" s="57" t="s">
        <v>1287</v>
      </c>
      <c r="BQ455" s="57" t="s">
        <v>1287</v>
      </c>
      <c r="BR455" s="57" t="s">
        <v>1287</v>
      </c>
      <c r="BS455" s="57" t="s">
        <v>1287</v>
      </c>
      <c r="BT455" s="57" t="s">
        <v>1287</v>
      </c>
      <c r="BU455" s="57" t="s">
        <v>1287</v>
      </c>
      <c r="BV455" s="75">
        <f t="shared" si="3550"/>
        <v>223</v>
      </c>
      <c r="BW455" s="71">
        <f t="shared" si="3551"/>
        <v>256</v>
      </c>
      <c r="BX455" s="72">
        <f t="shared" si="3552"/>
        <v>261</v>
      </c>
      <c r="BY455" s="71" t="str">
        <f t="shared" si="3553"/>
        <v>-</v>
      </c>
      <c r="BZ455" s="72">
        <f t="shared" si="3554"/>
        <v>312</v>
      </c>
      <c r="CA455" s="71" t="str">
        <f t="shared" si="3555"/>
        <v>-</v>
      </c>
      <c r="CB455" s="72">
        <f t="shared" si="3556"/>
        <v>356</v>
      </c>
      <c r="CC455" s="71">
        <f t="shared" si="3557"/>
        <v>390</v>
      </c>
      <c r="CD455" s="72">
        <f t="shared" si="3558"/>
        <v>396</v>
      </c>
      <c r="CE455" s="71">
        <f t="shared" si="3559"/>
        <v>447</v>
      </c>
      <c r="CF455" s="72">
        <f t="shared" si="3560"/>
        <v>514</v>
      </c>
      <c r="CG455" s="71">
        <f t="shared" si="3561"/>
        <v>538</v>
      </c>
      <c r="CH455" s="75">
        <f t="shared" si="3562"/>
        <v>255</v>
      </c>
      <c r="CI455" s="71">
        <f t="shared" si="3563"/>
        <v>260</v>
      </c>
      <c r="CJ455" s="72">
        <f t="shared" si="3564"/>
        <v>285</v>
      </c>
      <c r="CK455" s="72" t="str">
        <f t="shared" si="3565"/>
        <v>-</v>
      </c>
      <c r="CL455" s="72">
        <f t="shared" si="3566"/>
        <v>346</v>
      </c>
      <c r="CM455" s="72" t="str">
        <f t="shared" si="3567"/>
        <v>-</v>
      </c>
      <c r="CN455" s="72">
        <f t="shared" si="3568"/>
        <v>378</v>
      </c>
      <c r="CO455" s="72">
        <f t="shared" si="3569"/>
        <v>392</v>
      </c>
      <c r="CP455" s="72">
        <f t="shared" si="3570"/>
        <v>428</v>
      </c>
      <c r="CQ455" s="72">
        <f t="shared" si="3571"/>
        <v>496</v>
      </c>
      <c r="CR455" s="72">
        <f t="shared" si="3572"/>
        <v>537</v>
      </c>
      <c r="CS455" s="72">
        <f t="shared" si="3573"/>
        <v>553</v>
      </c>
      <c r="CT455" s="23">
        <f t="shared" si="3574"/>
        <v>1</v>
      </c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/>
      <c r="MX455" s="3"/>
      <c r="MY455" s="3"/>
      <c r="MZ455" s="3"/>
      <c r="NA455" s="3"/>
      <c r="NB455" s="3"/>
      <c r="NC455" s="3"/>
      <c r="ND455" s="3"/>
      <c r="NE455" s="3"/>
      <c r="NF455" s="3"/>
      <c r="NG455" s="3"/>
      <c r="NH455" s="3"/>
      <c r="NI455" s="3"/>
      <c r="NJ455" s="3"/>
      <c r="NK455" s="3"/>
      <c r="NL455" s="3"/>
      <c r="NM455" s="3"/>
      <c r="NN455" s="3"/>
      <c r="NO455" s="3"/>
      <c r="NP455" s="3"/>
      <c r="NQ455" s="3"/>
      <c r="NR455" s="3"/>
      <c r="NS455" s="3"/>
      <c r="NT455" s="3"/>
      <c r="NU455" s="3"/>
      <c r="NV455" s="3"/>
      <c r="NW455" s="3"/>
      <c r="NX455" s="3"/>
      <c r="NY455" s="3"/>
      <c r="NZ455" s="3"/>
      <c r="OA455" s="3"/>
      <c r="OB455" s="3"/>
      <c r="OC455" s="3"/>
      <c r="OD455" s="3"/>
      <c r="OE455" s="3"/>
      <c r="OF455" s="3"/>
      <c r="OG455" s="3"/>
      <c r="OH455" s="3"/>
      <c r="OI455" s="3"/>
      <c r="OJ455" s="3"/>
      <c r="OK455" s="3"/>
      <c r="OL455" s="3"/>
      <c r="OM455" s="3"/>
      <c r="ON455" s="3"/>
      <c r="OO455" s="3"/>
      <c r="OP455" s="3"/>
      <c r="OQ455" s="3"/>
      <c r="OR455" s="3"/>
      <c r="OS455" s="3"/>
      <c r="OT455" s="3"/>
      <c r="OU455" s="3"/>
      <c r="OV455" s="3"/>
      <c r="OW455" s="3"/>
      <c r="OX455" s="3"/>
      <c r="OY455" s="3"/>
      <c r="OZ455" s="3"/>
      <c r="PA455" s="3"/>
      <c r="PB455" s="3"/>
      <c r="PC455" s="3"/>
      <c r="PD455" s="3"/>
      <c r="PE455" s="3"/>
      <c r="PF455" s="3"/>
      <c r="PG455" s="3"/>
      <c r="PH455" s="3"/>
      <c r="PI455" s="3"/>
      <c r="PJ455" s="3"/>
      <c r="PK455" s="3"/>
      <c r="PL455" s="3"/>
      <c r="PM455" s="3"/>
      <c r="PN455" s="3"/>
      <c r="PO455" s="3"/>
      <c r="PP455" s="3"/>
      <c r="PQ455" s="3"/>
      <c r="PR455" s="3"/>
      <c r="PS455" s="3"/>
      <c r="PT455" s="3"/>
      <c r="PU455" s="3"/>
      <c r="PV455" s="3"/>
      <c r="PW455" s="3"/>
      <c r="PX455" s="3"/>
      <c r="PY455" s="3"/>
      <c r="PZ455" s="3"/>
      <c r="QA455" s="3"/>
      <c r="QB455" s="3"/>
      <c r="QC455" s="3"/>
      <c r="QD455" s="3"/>
      <c r="QE455" s="3"/>
      <c r="QF455" s="3"/>
      <c r="QG455" s="3"/>
      <c r="QH455" s="3"/>
      <c r="QI455" s="3"/>
      <c r="QJ455" s="3"/>
      <c r="QK455" s="3"/>
      <c r="QL455" s="3"/>
      <c r="QM455" s="3"/>
      <c r="QN455" s="3"/>
      <c r="QO455" s="3"/>
      <c r="QP455" s="3"/>
      <c r="QQ455" s="3"/>
      <c r="QR455" s="3"/>
      <c r="QS455" s="3"/>
      <c r="QT455" s="3"/>
      <c r="QU455" s="3"/>
      <c r="QV455" s="3"/>
      <c r="QW455" s="3"/>
      <c r="QX455" s="3"/>
      <c r="QY455" s="3"/>
      <c r="QZ455" s="3"/>
      <c r="RA455" s="3"/>
      <c r="RB455" s="3"/>
      <c r="RC455" s="3"/>
      <c r="RD455" s="3"/>
      <c r="RE455" s="3"/>
      <c r="RF455" s="3"/>
      <c r="RG455" s="3"/>
      <c r="RH455" s="3"/>
      <c r="RI455" s="3"/>
      <c r="RJ455" s="3"/>
      <c r="RK455" s="3"/>
      <c r="RL455" s="3"/>
      <c r="RM455" s="3"/>
      <c r="RN455" s="3"/>
      <c r="RO455" s="3"/>
      <c r="RP455" s="3"/>
      <c r="RQ455" s="3"/>
      <c r="RR455" s="3"/>
      <c r="RS455" s="3"/>
      <c r="RT455" s="3"/>
      <c r="RU455" s="3"/>
      <c r="RV455" s="3"/>
      <c r="RW455" s="3"/>
      <c r="RX455" s="3"/>
      <c r="RY455" s="3"/>
      <c r="RZ455" s="3"/>
      <c r="SA455" s="3"/>
      <c r="SB455" s="3"/>
      <c r="SC455" s="3"/>
      <c r="SD455" s="3"/>
      <c r="SE455" s="3"/>
      <c r="SF455" s="3"/>
      <c r="SG455" s="3"/>
      <c r="SH455" s="3"/>
      <c r="SI455" s="3"/>
      <c r="SJ455" s="3"/>
      <c r="SK455" s="3"/>
      <c r="SL455" s="3"/>
      <c r="SM455" s="3"/>
      <c r="SN455" s="3"/>
      <c r="SO455" s="3"/>
      <c r="SP455" s="3"/>
      <c r="SQ455" s="3"/>
      <c r="SR455" s="3"/>
      <c r="SS455" s="3"/>
      <c r="ST455" s="3"/>
      <c r="SU455" s="3"/>
      <c r="SV455" s="3"/>
      <c r="SW455" s="3"/>
      <c r="SX455" s="3"/>
      <c r="SY455" s="3"/>
      <c r="SZ455" s="3"/>
      <c r="TA455" s="3"/>
      <c r="TB455" s="3"/>
      <c r="TC455" s="3"/>
      <c r="TD455" s="3"/>
      <c r="TE455" s="3"/>
      <c r="TF455" s="3"/>
      <c r="TG455" s="3"/>
      <c r="TH455" s="3"/>
      <c r="TI455" s="3"/>
      <c r="TJ455" s="3"/>
      <c r="TK455" s="3"/>
      <c r="TL455" s="3"/>
      <c r="TM455" s="3"/>
      <c r="TN455" s="3"/>
      <c r="TO455" s="3"/>
      <c r="TP455" s="3"/>
      <c r="TQ455" s="3"/>
      <c r="TR455" s="3"/>
      <c r="TS455" s="3"/>
      <c r="TT455" s="3"/>
      <c r="TU455" s="3"/>
      <c r="TV455" s="3"/>
      <c r="TW455" s="3"/>
      <c r="TX455" s="3"/>
      <c r="TY455" s="3"/>
      <c r="TZ455" s="3"/>
      <c r="UA455" s="3"/>
      <c r="UB455" s="3"/>
      <c r="UC455" s="3"/>
      <c r="UD455" s="3"/>
      <c r="UE455" s="3"/>
      <c r="UF455" s="3"/>
      <c r="UG455" s="3"/>
      <c r="UH455" s="3"/>
      <c r="UI455" s="3"/>
      <c r="UJ455" s="3"/>
      <c r="UK455" s="3"/>
      <c r="UL455" s="3"/>
      <c r="UM455" s="3"/>
      <c r="UN455" s="3"/>
      <c r="UO455" s="3"/>
      <c r="UP455" s="3"/>
      <c r="UQ455" s="3"/>
      <c r="UR455" s="3"/>
      <c r="US455" s="3"/>
      <c r="UT455" s="3"/>
      <c r="UU455" s="3"/>
      <c r="UV455" s="3"/>
      <c r="UW455" s="3"/>
      <c r="UX455" s="3"/>
      <c r="UY455" s="3"/>
      <c r="UZ455" s="3"/>
      <c r="VA455" s="3"/>
      <c r="VB455" s="3"/>
      <c r="VC455" s="3"/>
      <c r="VD455" s="3"/>
      <c r="VE455" s="3"/>
      <c r="VF455" s="3"/>
      <c r="VG455" s="3"/>
      <c r="VH455" s="3"/>
      <c r="VI455" s="3"/>
      <c r="VJ455" s="3"/>
      <c r="VK455" s="3"/>
      <c r="VL455" s="3"/>
      <c r="VM455" s="3"/>
      <c r="VN455" s="3"/>
      <c r="VO455" s="3"/>
      <c r="VP455" s="3"/>
      <c r="VQ455" s="3"/>
      <c r="VR455" s="3"/>
      <c r="VS455" s="3"/>
      <c r="VT455" s="3"/>
      <c r="VU455" s="3"/>
      <c r="VV455" s="3"/>
      <c r="VW455" s="3"/>
      <c r="VX455" s="3"/>
      <c r="VY455" s="3"/>
      <c r="VZ455" s="3"/>
      <c r="WA455" s="3"/>
      <c r="WB455" s="3"/>
      <c r="WC455" s="3"/>
      <c r="WD455" s="3"/>
      <c r="WE455" s="3"/>
      <c r="WF455" s="3"/>
      <c r="WG455" s="3"/>
      <c r="WH455" s="3"/>
      <c r="WI455" s="3"/>
      <c r="WJ455" s="3"/>
      <c r="WK455" s="3"/>
      <c r="WL455" s="3"/>
      <c r="WM455" s="3"/>
      <c r="WN455" s="3"/>
      <c r="WO455" s="3"/>
      <c r="WP455" s="3"/>
      <c r="WQ455" s="3"/>
      <c r="WR455" s="3"/>
      <c r="WS455" s="3"/>
      <c r="WT455" s="3"/>
      <c r="WU455" s="3"/>
      <c r="WV455" s="3"/>
      <c r="WW455" s="3"/>
      <c r="WX455" s="3"/>
      <c r="WY455" s="3"/>
      <c r="WZ455" s="3"/>
      <c r="XA455" s="3"/>
      <c r="XB455" s="3"/>
      <c r="XC455" s="3"/>
      <c r="XD455" s="3"/>
      <c r="XE455" s="3"/>
      <c r="XF455" s="3"/>
      <c r="XG455" s="3"/>
      <c r="XH455" s="3"/>
      <c r="XI455" s="3"/>
      <c r="XJ455" s="3"/>
      <c r="XK455" s="3"/>
      <c r="XL455" s="3"/>
      <c r="XM455" s="3"/>
      <c r="XN455" s="3"/>
      <c r="XO455" s="3"/>
      <c r="XP455" s="3"/>
      <c r="XQ455" s="3"/>
      <c r="XR455" s="3"/>
      <c r="XS455" s="3"/>
      <c r="XT455" s="3"/>
      <c r="XU455" s="3"/>
      <c r="XV455" s="3"/>
      <c r="XW455" s="3"/>
      <c r="XX455" s="3"/>
      <c r="XY455" s="3"/>
      <c r="XZ455" s="3"/>
      <c r="YA455" s="3"/>
      <c r="YB455" s="3"/>
      <c r="YC455" s="3"/>
      <c r="YD455" s="3"/>
      <c r="YE455" s="3"/>
      <c r="YF455" s="3"/>
      <c r="YG455" s="3"/>
      <c r="YH455" s="3"/>
      <c r="YI455" s="3"/>
      <c r="YJ455" s="3"/>
      <c r="YK455" s="3"/>
      <c r="YL455" s="3"/>
      <c r="YM455" s="3"/>
      <c r="YN455" s="3"/>
      <c r="YO455" s="3"/>
      <c r="YP455" s="3"/>
      <c r="YQ455" s="3"/>
      <c r="YR455" s="3"/>
      <c r="YS455" s="3"/>
      <c r="YT455" s="3"/>
      <c r="YU455" s="3"/>
      <c r="YV455" s="3"/>
      <c r="YW455" s="3"/>
      <c r="YX455" s="3"/>
      <c r="YY455" s="3"/>
      <c r="YZ455" s="3"/>
      <c r="ZA455" s="3"/>
      <c r="ZB455" s="3"/>
      <c r="ZC455" s="3"/>
      <c r="ZD455" s="3"/>
      <c r="ZE455" s="3"/>
      <c r="ZF455" s="3"/>
      <c r="ZG455" s="3"/>
      <c r="ZH455" s="3"/>
      <c r="ZI455" s="3"/>
      <c r="ZJ455" s="3"/>
      <c r="ZK455" s="3"/>
      <c r="ZL455" s="3"/>
      <c r="ZM455" s="3"/>
      <c r="ZN455" s="3"/>
      <c r="ZO455" s="3"/>
      <c r="ZP455" s="3"/>
      <c r="ZQ455" s="3"/>
      <c r="ZR455" s="3"/>
      <c r="ZS455" s="3"/>
      <c r="ZT455" s="3"/>
      <c r="ZU455" s="3"/>
      <c r="ZV455" s="3"/>
      <c r="ZW455" s="3"/>
      <c r="ZX455" s="3"/>
      <c r="ZY455" s="3"/>
      <c r="ZZ455" s="3"/>
      <c r="AAA455" s="3"/>
      <c r="AAB455" s="3"/>
      <c r="AAC455" s="3"/>
      <c r="AAD455" s="3"/>
      <c r="AAE455" s="3"/>
      <c r="AAF455" s="3"/>
      <c r="AAG455" s="3"/>
      <c r="AAH455" s="3"/>
      <c r="AAI455" s="3"/>
      <c r="AAJ455" s="3"/>
      <c r="AAK455" s="3"/>
      <c r="AAL455" s="3"/>
      <c r="AAM455" s="3"/>
      <c r="AAN455" s="3"/>
      <c r="AAO455" s="3"/>
      <c r="AAP455" s="3"/>
      <c r="AAQ455" s="3"/>
      <c r="AAR455" s="3"/>
      <c r="AAS455" s="3"/>
      <c r="AAT455" s="3"/>
      <c r="AAU455" s="3"/>
      <c r="AAV455" s="3"/>
      <c r="AAW455" s="3"/>
      <c r="AAX455" s="3"/>
      <c r="AAY455" s="3"/>
      <c r="AAZ455" s="3"/>
      <c r="ABA455" s="3"/>
      <c r="ABB455" s="3"/>
      <c r="ABC455" s="3"/>
      <c r="ABD455" s="3"/>
      <c r="ABE455" s="3"/>
      <c r="ABF455" s="3"/>
      <c r="ABG455" s="3"/>
      <c r="ABH455" s="3"/>
      <c r="ABI455" s="3"/>
      <c r="ABJ455" s="3"/>
      <c r="ABK455" s="3"/>
      <c r="ABL455" s="3"/>
      <c r="ABM455" s="3"/>
      <c r="ABN455" s="3"/>
      <c r="ABO455" s="3"/>
      <c r="ABP455" s="3"/>
      <c r="ABQ455" s="3"/>
      <c r="ABR455" s="3"/>
      <c r="ABS455" s="3"/>
      <c r="ABT455" s="3"/>
      <c r="ABU455" s="3"/>
      <c r="ABV455" s="3"/>
      <c r="ABW455" s="3"/>
      <c r="ABX455" s="3"/>
      <c r="ABY455" s="3"/>
      <c r="ABZ455" s="3"/>
      <c r="ACA455" s="3"/>
      <c r="ACB455" s="3"/>
      <c r="ACC455" s="3"/>
      <c r="ACD455" s="3"/>
      <c r="ACE455" s="3"/>
      <c r="ACF455" s="3"/>
      <c r="ACG455" s="3"/>
      <c r="ACH455" s="3"/>
      <c r="ACI455" s="3"/>
      <c r="ACJ455" s="3"/>
      <c r="ACK455" s="3"/>
      <c r="ACL455" s="3"/>
      <c r="ACM455" s="3"/>
      <c r="ACN455" s="3"/>
      <c r="ACO455" s="3"/>
      <c r="ACP455" s="3"/>
      <c r="ACQ455" s="3"/>
      <c r="ACR455" s="3"/>
      <c r="ACS455" s="3"/>
      <c r="ACT455" s="3"/>
      <c r="ACU455" s="3"/>
      <c r="ACV455" s="3"/>
      <c r="ACW455" s="3"/>
      <c r="ACX455" s="3"/>
      <c r="ACY455" s="3"/>
      <c r="ACZ455" s="3"/>
      <c r="ADA455" s="3"/>
      <c r="ADB455" s="3"/>
      <c r="ADC455" s="3"/>
      <c r="ADD455" s="3"/>
      <c r="ADE455" s="3"/>
      <c r="ADF455" s="3"/>
      <c r="ADG455" s="3"/>
      <c r="ADH455" s="3"/>
      <c r="ADI455" s="3"/>
      <c r="ADJ455" s="3"/>
      <c r="ADK455" s="3"/>
      <c r="ADL455" s="3"/>
      <c r="ADM455" s="3"/>
      <c r="ADN455" s="3"/>
      <c r="ADO455" s="3"/>
      <c r="ADP455" s="3"/>
      <c r="ADQ455" s="3"/>
      <c r="ADR455" s="3"/>
      <c r="ADS455" s="3"/>
      <c r="ADT455" s="3"/>
      <c r="ADU455" s="3"/>
      <c r="ADV455" s="3"/>
      <c r="ADW455" s="3"/>
      <c r="ADX455" s="3"/>
      <c r="ADY455" s="3"/>
      <c r="ADZ455" s="3"/>
      <c r="AEA455" s="3"/>
      <c r="AEB455" s="3"/>
      <c r="AEC455" s="3"/>
      <c r="AED455" s="3"/>
      <c r="AEE455" s="3"/>
      <c r="AEF455" s="3"/>
      <c r="AEG455" s="3"/>
      <c r="AEH455" s="3"/>
      <c r="AEI455" s="3"/>
      <c r="AEJ455" s="3"/>
      <c r="AEK455" s="3"/>
      <c r="AEL455" s="3"/>
      <c r="AEM455" s="3"/>
      <c r="AEN455" s="3"/>
      <c r="AEO455" s="3"/>
      <c r="AEP455" s="3"/>
      <c r="AEQ455" s="3"/>
      <c r="AER455" s="3"/>
      <c r="AES455" s="3"/>
      <c r="AET455" s="3"/>
      <c r="AEU455" s="3"/>
      <c r="AEV455" s="3"/>
      <c r="AEW455" s="3"/>
      <c r="AEX455" s="3"/>
      <c r="AEY455" s="3"/>
      <c r="AEZ455" s="3"/>
      <c r="AFA455" s="3"/>
      <c r="AFB455" s="3"/>
      <c r="AFC455" s="3"/>
      <c r="AFD455" s="3"/>
      <c r="AFE455" s="3"/>
      <c r="AFF455" s="3"/>
      <c r="AFG455" s="3"/>
      <c r="AFH455" s="3"/>
      <c r="AFI455" s="3"/>
      <c r="AFJ455" s="3"/>
      <c r="AFK455" s="3"/>
      <c r="AFL455" s="3"/>
      <c r="AFM455" s="3"/>
      <c r="AFN455" s="3"/>
      <c r="AFO455" s="3"/>
      <c r="AFP455" s="3"/>
      <c r="AFQ455" s="3"/>
      <c r="AFR455" s="3"/>
      <c r="AFS455" s="3"/>
      <c r="AFT455" s="3"/>
      <c r="AFU455" s="3"/>
      <c r="AFV455" s="3"/>
      <c r="AFW455" s="3"/>
      <c r="AFX455" s="3"/>
      <c r="AFY455" s="3"/>
      <c r="AFZ455" s="3"/>
      <c r="AGA455" s="3"/>
      <c r="AGB455" s="3"/>
      <c r="AGC455" s="3"/>
      <c r="AGD455" s="3"/>
      <c r="AGE455" s="3"/>
      <c r="AGF455" s="3"/>
      <c r="AGG455" s="3"/>
      <c r="AGH455" s="3"/>
      <c r="AGI455" s="3"/>
      <c r="AGJ455" s="3"/>
      <c r="AGK455" s="3"/>
      <c r="AGL455" s="3"/>
      <c r="AGM455" s="3"/>
      <c r="AGN455" s="3"/>
      <c r="AGO455" s="3"/>
      <c r="AGP455" s="3"/>
      <c r="AGQ455" s="3"/>
      <c r="AGR455" s="3"/>
      <c r="AGS455" s="3"/>
      <c r="AGT455" s="3"/>
      <c r="AGU455" s="3"/>
      <c r="AGV455" s="3"/>
      <c r="AGW455" s="3"/>
      <c r="AGX455" s="3"/>
      <c r="AGY455" s="3"/>
      <c r="AGZ455" s="3"/>
      <c r="AHA455" s="3"/>
      <c r="AHB455" s="3"/>
      <c r="AHC455" s="3"/>
      <c r="AHD455" s="3"/>
      <c r="AHE455" s="3"/>
      <c r="AHF455" s="3"/>
      <c r="AHG455" s="3"/>
      <c r="AHH455" s="3"/>
      <c r="AHI455" s="3"/>
      <c r="AHJ455" s="3"/>
      <c r="AHK455" s="3"/>
      <c r="AHL455" s="3"/>
      <c r="AHM455" s="3"/>
      <c r="AHN455" s="3"/>
      <c r="AHO455" s="3"/>
      <c r="AHP455" s="3"/>
      <c r="AHQ455" s="3"/>
      <c r="AHR455" s="3"/>
      <c r="AHS455" s="3"/>
      <c r="AHT455" s="3"/>
      <c r="AHU455" s="3"/>
      <c r="AHV455" s="3"/>
      <c r="AHW455" s="3"/>
      <c r="AHX455" s="3"/>
      <c r="AHY455" s="3"/>
      <c r="AHZ455" s="3"/>
      <c r="AIA455" s="3"/>
      <c r="AIB455" s="3"/>
      <c r="AIC455" s="3"/>
      <c r="AID455" s="3"/>
      <c r="AIE455" s="3"/>
      <c r="AIF455" s="3"/>
      <c r="AIG455" s="3"/>
      <c r="AIH455" s="3"/>
      <c r="AII455" s="3"/>
      <c r="AIJ455" s="3"/>
      <c r="AIK455" s="3"/>
      <c r="AIL455" s="3"/>
      <c r="AIM455" s="3"/>
      <c r="AIN455" s="3"/>
      <c r="AIO455" s="3"/>
      <c r="AIP455" s="3"/>
      <c r="AIQ455" s="3"/>
      <c r="AIR455" s="3"/>
      <c r="AIS455" s="3"/>
      <c r="AIT455" s="3"/>
      <c r="AIU455" s="3"/>
      <c r="AIV455" s="3"/>
      <c r="AIW455" s="3"/>
      <c r="AIX455" s="3"/>
      <c r="AIY455" s="3"/>
      <c r="AIZ455" s="3"/>
      <c r="AJA455" s="3"/>
      <c r="AJB455" s="3"/>
      <c r="AJC455" s="3"/>
      <c r="AJD455" s="3"/>
      <c r="AJE455" s="3"/>
      <c r="AJF455" s="3"/>
      <c r="AJG455" s="3"/>
      <c r="AJH455" s="3"/>
      <c r="AJI455" s="3"/>
      <c r="AJJ455" s="3"/>
      <c r="AJK455" s="3"/>
      <c r="AJL455" s="3"/>
      <c r="AJM455" s="3"/>
      <c r="AJN455" s="3"/>
      <c r="AJO455" s="3"/>
      <c r="AJP455" s="3"/>
      <c r="AJQ455" s="3"/>
      <c r="AJR455" s="3"/>
      <c r="AJS455" s="3"/>
      <c r="AJT455" s="3"/>
      <c r="AJU455" s="3"/>
      <c r="AJV455" s="3"/>
      <c r="AJW455" s="3"/>
      <c r="AJX455" s="3"/>
      <c r="AJY455" s="3"/>
      <c r="AJZ455" s="3"/>
      <c r="AKA455" s="3"/>
      <c r="AKB455" s="3"/>
      <c r="AKC455" s="3"/>
      <c r="AKD455" s="3"/>
      <c r="AKE455" s="3"/>
      <c r="AKF455" s="3"/>
      <c r="AKG455" s="3"/>
      <c r="AKH455" s="3"/>
      <c r="AKI455" s="3"/>
      <c r="AKJ455" s="3"/>
      <c r="AKK455" s="3"/>
      <c r="AKL455" s="3"/>
      <c r="AKM455" s="3"/>
      <c r="AKN455" s="3"/>
      <c r="AKO455" s="3"/>
      <c r="AKP455" s="3"/>
      <c r="AKQ455" s="3"/>
      <c r="AKR455" s="3"/>
      <c r="AKS455" s="3"/>
      <c r="AKT455" s="3"/>
      <c r="AKU455" s="3"/>
      <c r="AKV455" s="3"/>
      <c r="AKW455" s="3"/>
      <c r="AKX455" s="3"/>
      <c r="AKY455" s="3"/>
      <c r="AKZ455" s="3"/>
      <c r="ALA455" s="3"/>
      <c r="ALB455" s="3"/>
      <c r="ALC455" s="3"/>
      <c r="ALD455" s="3"/>
      <c r="ALE455" s="3"/>
      <c r="ALF455" s="3"/>
      <c r="ALG455" s="3"/>
      <c r="ALH455" s="3"/>
      <c r="ALI455" s="3"/>
      <c r="ALJ455" s="3"/>
      <c r="ALK455" s="3"/>
      <c r="ALL455" s="3"/>
      <c r="ALM455" s="3"/>
      <c r="ALN455" s="3"/>
      <c r="ALO455" s="3"/>
      <c r="ALP455" s="3"/>
      <c r="ALQ455" s="3"/>
      <c r="ALR455" s="3"/>
      <c r="ALS455" s="3"/>
      <c r="ALT455" s="3"/>
      <c r="ALU455" s="3"/>
      <c r="ALV455" s="3"/>
      <c r="ALW455" s="3"/>
      <c r="ALX455" s="3"/>
      <c r="ALY455" s="3"/>
      <c r="ALZ455" s="3"/>
      <c r="AMA455" s="3"/>
      <c r="AMB455" s="3"/>
      <c r="AMC455" s="3"/>
      <c r="AMD455" s="3"/>
      <c r="AME455" s="3"/>
      <c r="AMF455" s="3"/>
      <c r="AMG455" s="3"/>
      <c r="AMH455" s="3"/>
      <c r="AMI455" s="3"/>
      <c r="AMJ455" s="3"/>
      <c r="AMK455" s="3"/>
      <c r="AML455" s="3"/>
      <c r="AMM455" s="3"/>
      <c r="AMN455" s="3"/>
      <c r="AMO455" s="3"/>
      <c r="AMP455" s="1"/>
    </row>
    <row r="456" spans="1:1030" s="6" customFormat="1" x14ac:dyDescent="0.2">
      <c r="A456" s="3" t="str">
        <f t="shared" si="3603"/>
        <v>smo_human_5L7I</v>
      </c>
      <c r="B456" s="3" t="s">
        <v>33</v>
      </c>
      <c r="C456" s="3" t="s">
        <v>1353</v>
      </c>
      <c r="D456" s="3" t="str">
        <f>IFERROR(MID(VLOOKUP($B456,Seqs!$A:$B,2,0),E456,1),"")</f>
        <v>T</v>
      </c>
      <c r="E456" s="105">
        <v>223</v>
      </c>
      <c r="F456" s="3" t="str">
        <f>IFERROR(MID(VLOOKUP($B456,Seqs!$A:$B,2,0),G456,1),"")</f>
        <v>D</v>
      </c>
      <c r="G456" s="3">
        <v>255</v>
      </c>
      <c r="H456" s="3" t="str">
        <f>IFERROR(MID(VLOOKUP($B456,Seqs!$A:$B,2,0),I456,1),"")</f>
        <v>W</v>
      </c>
      <c r="I456" s="23">
        <v>256</v>
      </c>
      <c r="J456" s="3" t="str">
        <f>IFERROR(MID(VLOOKUP($B456,Seqs!$A:$B,2,0),K456,1),"")</f>
        <v>N</v>
      </c>
      <c r="K456" s="23">
        <v>260</v>
      </c>
      <c r="L456" s="3" t="str">
        <f>IFERROR(MID(VLOOKUP($B456,Seqs!$A:$B,2,0),M456,1),"")</f>
        <v>R</v>
      </c>
      <c r="M456" s="3">
        <v>261</v>
      </c>
      <c r="N456" s="3" t="str">
        <f>IFERROR(MID(VLOOKUP($B456,Seqs!$A:$B,2,0),O456,1),"")</f>
        <v>F</v>
      </c>
      <c r="O456" s="3">
        <v>285</v>
      </c>
      <c r="P456" s="3" t="str">
        <f>IFERROR(MID(VLOOKUP($B456,Seqs!$A:$B,2,0),Q456,1),"")</f>
        <v/>
      </c>
      <c r="Q456" s="3" t="s">
        <v>23</v>
      </c>
      <c r="R456" s="3" t="str">
        <f>IFERROR(MID(VLOOKUP($B456,Seqs!$A:$B,2,0),S456,1),"")</f>
        <v/>
      </c>
      <c r="S456" s="3" t="s">
        <v>23</v>
      </c>
      <c r="T456" s="3" t="str">
        <f>IFERROR(MID(VLOOKUP($B456,Seqs!$A:$B,2,0),U456,1),"")</f>
        <v>L</v>
      </c>
      <c r="U456" s="3">
        <v>312</v>
      </c>
      <c r="V456" s="3" t="str">
        <f>IFERROR(MID(VLOOKUP($B456,Seqs!$A:$B,2,0),W456,1),"")</f>
        <v>L</v>
      </c>
      <c r="W456" s="3">
        <v>346</v>
      </c>
      <c r="X456" s="3" t="str">
        <f>IFERROR(MID(VLOOKUP($B456,Seqs!$A:$B,2,0),Y456,1),"")</f>
        <v/>
      </c>
      <c r="Y456" s="3" t="s">
        <v>23</v>
      </c>
      <c r="Z456" s="3" t="str">
        <f>IFERROR(MID(VLOOKUP($B456,Seqs!$A:$B,2,0),AA456,1),"")</f>
        <v/>
      </c>
      <c r="AA456" s="3" t="s">
        <v>23</v>
      </c>
      <c r="AB456" s="3" t="str">
        <f>IFERROR(MID(VLOOKUP($B456,Seqs!$A:$B,2,0),AC456,1),"")</f>
        <v>K</v>
      </c>
      <c r="AC456" s="9">
        <v>356</v>
      </c>
      <c r="AD456" s="3" t="str">
        <f>IFERROR(MID(VLOOKUP($B456,Seqs!$A:$B,2,0),AE456,1),"")</f>
        <v>V</v>
      </c>
      <c r="AE456" s="3">
        <v>378</v>
      </c>
      <c r="AF456" s="3" t="str">
        <f>IFERROR(MID(VLOOKUP($B456,Seqs!$A:$B,2,0),AG456,1),"")</f>
        <v>C</v>
      </c>
      <c r="AG456" s="3">
        <v>390</v>
      </c>
      <c r="AH456" s="3" t="str">
        <f>IFERROR(MID(VLOOKUP($B456,Seqs!$A:$B,2,0),AI456,1),"")</f>
        <v>V</v>
      </c>
      <c r="AI456" s="3">
        <v>392</v>
      </c>
      <c r="AJ456" s="3" t="str">
        <f>IFERROR(MID(VLOOKUP($B456,Seqs!$A:$B,2,0),AK456,1),"")</f>
        <v>N</v>
      </c>
      <c r="AK456" s="105">
        <v>396</v>
      </c>
      <c r="AL456" s="3" t="str">
        <f>IFERROR(MID(VLOOKUP($B456,Seqs!$A:$B,2,0),AM456,1),"")</f>
        <v>S</v>
      </c>
      <c r="AM456" s="3">
        <v>428</v>
      </c>
      <c r="AN456" s="3" t="str">
        <f>IFERROR(MID(VLOOKUP($B456,Seqs!$A:$B,2,0),AO456,1),"")</f>
        <v>E</v>
      </c>
      <c r="AO456" s="3">
        <v>447</v>
      </c>
      <c r="AP456" s="3" t="str">
        <f>IFERROR(MID(VLOOKUP($B456,Seqs!$A:$B,2,0),AQ456,1),"")</f>
        <v>N</v>
      </c>
      <c r="AQ456" s="3">
        <v>493</v>
      </c>
      <c r="AR456" s="3" t="str">
        <f>IFERROR(MID(VLOOKUP($B456,Seqs!$A:$B,2,0),AS456,1),"")</f>
        <v>S</v>
      </c>
      <c r="AS456" s="105">
        <v>514</v>
      </c>
      <c r="AT456" s="3" t="str">
        <f>IFERROR(MID(VLOOKUP($B456,Seqs!$A:$B,2,0),AU456,1),"")</f>
        <v>W</v>
      </c>
      <c r="AU456" s="3">
        <v>537</v>
      </c>
      <c r="AV456" s="3" t="str">
        <f>IFERROR(MID(VLOOKUP($B456,Seqs!$A:$B,2,0),AW456,1),"")</f>
        <v>T</v>
      </c>
      <c r="AW456" s="3">
        <v>538</v>
      </c>
      <c r="AX456" s="3" t="str">
        <f>IFERROR(MID(VLOOKUP($B456,Seqs!$A:$B,2,0),AY456,1),"")</f>
        <v>R</v>
      </c>
      <c r="AY456" s="3">
        <v>551</v>
      </c>
      <c r="AZ456" s="78" t="str">
        <f>VLOOKUP(B456,Classification!A:D,2,0)</f>
        <v>F</v>
      </c>
      <c r="BA456" s="94" t="str">
        <f>VLOOKUP(B456,Classification!A:D,4,0)</f>
        <v>Frizzled</v>
      </c>
      <c r="BB456" s="92" t="b">
        <f t="shared" si="3604"/>
        <v>1</v>
      </c>
      <c r="BC456" s="23">
        <f t="shared" si="3549"/>
        <v>244</v>
      </c>
      <c r="BD456" s="74" t="s">
        <v>23</v>
      </c>
      <c r="BE456" s="3" t="s">
        <v>1374</v>
      </c>
      <c r="BF456" s="118">
        <v>3.3</v>
      </c>
      <c r="BG456" s="49" t="s">
        <v>1281</v>
      </c>
      <c r="BH456" s="49" t="s">
        <v>1377</v>
      </c>
      <c r="BI456" s="3" t="s">
        <v>1361</v>
      </c>
      <c r="BJ456" s="75" t="s">
        <v>1287</v>
      </c>
      <c r="BK456" s="57" t="s">
        <v>1287</v>
      </c>
      <c r="BL456" s="57" t="s">
        <v>1287</v>
      </c>
      <c r="BM456" s="57" t="s">
        <v>1287</v>
      </c>
      <c r="BN456" s="57" t="s">
        <v>1287</v>
      </c>
      <c r="BO456" s="57" t="s">
        <v>1287</v>
      </c>
      <c r="BP456" s="57" t="s">
        <v>1287</v>
      </c>
      <c r="BQ456" s="57" t="s">
        <v>1287</v>
      </c>
      <c r="BR456" s="57" t="s">
        <v>1287</v>
      </c>
      <c r="BS456" s="57" t="s">
        <v>1287</v>
      </c>
      <c r="BT456" s="57" t="s">
        <v>1287</v>
      </c>
      <c r="BU456" s="57" t="s">
        <v>1287</v>
      </c>
      <c r="BV456" s="75">
        <f t="shared" si="3550"/>
        <v>223</v>
      </c>
      <c r="BW456" s="71">
        <f t="shared" si="3551"/>
        <v>256</v>
      </c>
      <c r="BX456" s="72">
        <f t="shared" si="3552"/>
        <v>261</v>
      </c>
      <c r="BY456" s="71" t="str">
        <f t="shared" si="3553"/>
        <v>-</v>
      </c>
      <c r="BZ456" s="72">
        <f t="shared" si="3554"/>
        <v>312</v>
      </c>
      <c r="CA456" s="71" t="str">
        <f t="shared" si="3555"/>
        <v>-</v>
      </c>
      <c r="CB456" s="72">
        <f t="shared" si="3556"/>
        <v>356</v>
      </c>
      <c r="CC456" s="71">
        <f t="shared" si="3557"/>
        <v>390</v>
      </c>
      <c r="CD456" s="72">
        <f t="shared" si="3558"/>
        <v>396</v>
      </c>
      <c r="CE456" s="71">
        <f t="shared" si="3559"/>
        <v>447</v>
      </c>
      <c r="CF456" s="72">
        <f t="shared" si="3560"/>
        <v>514</v>
      </c>
      <c r="CG456" s="71">
        <f t="shared" si="3561"/>
        <v>538</v>
      </c>
      <c r="CH456" s="75">
        <f t="shared" si="3562"/>
        <v>255</v>
      </c>
      <c r="CI456" s="71">
        <f t="shared" si="3563"/>
        <v>260</v>
      </c>
      <c r="CJ456" s="72">
        <f t="shared" si="3564"/>
        <v>285</v>
      </c>
      <c r="CK456" s="72" t="str">
        <f t="shared" si="3565"/>
        <v>-</v>
      </c>
      <c r="CL456" s="72">
        <f t="shared" si="3566"/>
        <v>346</v>
      </c>
      <c r="CM456" s="72" t="str">
        <f t="shared" si="3567"/>
        <v>-</v>
      </c>
      <c r="CN456" s="72">
        <f t="shared" si="3568"/>
        <v>378</v>
      </c>
      <c r="CO456" s="72">
        <f t="shared" si="3569"/>
        <v>392</v>
      </c>
      <c r="CP456" s="72">
        <f t="shared" si="3570"/>
        <v>428</v>
      </c>
      <c r="CQ456" s="72">
        <f t="shared" si="3571"/>
        <v>493</v>
      </c>
      <c r="CR456" s="72">
        <f t="shared" si="3572"/>
        <v>537</v>
      </c>
      <c r="CS456" s="72">
        <f t="shared" si="3573"/>
        <v>551</v>
      </c>
      <c r="CT456" s="23">
        <f t="shared" si="3574"/>
        <v>1</v>
      </c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/>
      <c r="MX456" s="3"/>
      <c r="MY456" s="3"/>
      <c r="MZ456" s="3"/>
      <c r="NA456" s="3"/>
      <c r="NB456" s="3"/>
      <c r="NC456" s="3"/>
      <c r="ND456" s="3"/>
      <c r="NE456" s="3"/>
      <c r="NF456" s="3"/>
      <c r="NG456" s="3"/>
      <c r="NH456" s="3"/>
      <c r="NI456" s="3"/>
      <c r="NJ456" s="3"/>
      <c r="NK456" s="3"/>
      <c r="NL456" s="3"/>
      <c r="NM456" s="3"/>
      <c r="NN456" s="3"/>
      <c r="NO456" s="3"/>
      <c r="NP456" s="3"/>
      <c r="NQ456" s="3"/>
      <c r="NR456" s="3"/>
      <c r="NS456" s="3"/>
      <c r="NT456" s="3"/>
      <c r="NU456" s="3"/>
      <c r="NV456" s="3"/>
      <c r="NW456" s="3"/>
      <c r="NX456" s="3"/>
      <c r="NY456" s="3"/>
      <c r="NZ456" s="3"/>
      <c r="OA456" s="3"/>
      <c r="OB456" s="3"/>
      <c r="OC456" s="3"/>
      <c r="OD456" s="3"/>
      <c r="OE456" s="3"/>
      <c r="OF456" s="3"/>
      <c r="OG456" s="3"/>
      <c r="OH456" s="3"/>
      <c r="OI456" s="3"/>
      <c r="OJ456" s="3"/>
      <c r="OK456" s="3"/>
      <c r="OL456" s="3"/>
      <c r="OM456" s="3"/>
      <c r="ON456" s="3"/>
      <c r="OO456" s="3"/>
      <c r="OP456" s="3"/>
      <c r="OQ456" s="3"/>
      <c r="OR456" s="3"/>
      <c r="OS456" s="3"/>
      <c r="OT456" s="3"/>
      <c r="OU456" s="3"/>
      <c r="OV456" s="3"/>
      <c r="OW456" s="3"/>
      <c r="OX456" s="3"/>
      <c r="OY456" s="3"/>
      <c r="OZ456" s="3"/>
      <c r="PA456" s="3"/>
      <c r="PB456" s="3"/>
      <c r="PC456" s="3"/>
      <c r="PD456" s="3"/>
      <c r="PE456" s="3"/>
      <c r="PF456" s="3"/>
      <c r="PG456" s="3"/>
      <c r="PH456" s="3"/>
      <c r="PI456" s="3"/>
      <c r="PJ456" s="3"/>
      <c r="PK456" s="3"/>
      <c r="PL456" s="3"/>
      <c r="PM456" s="3"/>
      <c r="PN456" s="3"/>
      <c r="PO456" s="3"/>
      <c r="PP456" s="3"/>
      <c r="PQ456" s="3"/>
      <c r="PR456" s="3"/>
      <c r="PS456" s="3"/>
      <c r="PT456" s="3"/>
      <c r="PU456" s="3"/>
      <c r="PV456" s="3"/>
      <c r="PW456" s="3"/>
      <c r="PX456" s="3"/>
      <c r="PY456" s="3"/>
      <c r="PZ456" s="3"/>
      <c r="QA456" s="3"/>
      <c r="QB456" s="3"/>
      <c r="QC456" s="3"/>
      <c r="QD456" s="3"/>
      <c r="QE456" s="3"/>
      <c r="QF456" s="3"/>
      <c r="QG456" s="3"/>
      <c r="QH456" s="3"/>
      <c r="QI456" s="3"/>
      <c r="QJ456" s="3"/>
      <c r="QK456" s="3"/>
      <c r="QL456" s="3"/>
      <c r="QM456" s="3"/>
      <c r="QN456" s="3"/>
      <c r="QO456" s="3"/>
      <c r="QP456" s="3"/>
      <c r="QQ456" s="3"/>
      <c r="QR456" s="3"/>
      <c r="QS456" s="3"/>
      <c r="QT456" s="3"/>
      <c r="QU456" s="3"/>
      <c r="QV456" s="3"/>
      <c r="QW456" s="3"/>
      <c r="QX456" s="3"/>
      <c r="QY456" s="3"/>
      <c r="QZ456" s="3"/>
      <c r="RA456" s="3"/>
      <c r="RB456" s="3"/>
      <c r="RC456" s="3"/>
      <c r="RD456" s="3"/>
      <c r="RE456" s="3"/>
      <c r="RF456" s="3"/>
      <c r="RG456" s="3"/>
      <c r="RH456" s="3"/>
      <c r="RI456" s="3"/>
      <c r="RJ456" s="3"/>
      <c r="RK456" s="3"/>
      <c r="RL456" s="3"/>
      <c r="RM456" s="3"/>
      <c r="RN456" s="3"/>
      <c r="RO456" s="3"/>
      <c r="RP456" s="3"/>
      <c r="RQ456" s="3"/>
      <c r="RR456" s="3"/>
      <c r="RS456" s="3"/>
      <c r="RT456" s="3"/>
      <c r="RU456" s="3"/>
      <c r="RV456" s="3"/>
      <c r="RW456" s="3"/>
      <c r="RX456" s="3"/>
      <c r="RY456" s="3"/>
      <c r="RZ456" s="3"/>
      <c r="SA456" s="3"/>
      <c r="SB456" s="3"/>
      <c r="SC456" s="3"/>
      <c r="SD456" s="3"/>
      <c r="SE456" s="3"/>
      <c r="SF456" s="3"/>
      <c r="SG456" s="3"/>
      <c r="SH456" s="3"/>
      <c r="SI456" s="3"/>
      <c r="SJ456" s="3"/>
      <c r="SK456" s="3"/>
      <c r="SL456" s="3"/>
      <c r="SM456" s="3"/>
      <c r="SN456" s="3"/>
      <c r="SO456" s="3"/>
      <c r="SP456" s="3"/>
      <c r="SQ456" s="3"/>
      <c r="SR456" s="3"/>
      <c r="SS456" s="3"/>
      <c r="ST456" s="3"/>
      <c r="SU456" s="3"/>
      <c r="SV456" s="3"/>
      <c r="SW456" s="3"/>
      <c r="SX456" s="3"/>
      <c r="SY456" s="3"/>
      <c r="SZ456" s="3"/>
      <c r="TA456" s="3"/>
      <c r="TB456" s="3"/>
      <c r="TC456" s="3"/>
      <c r="TD456" s="3"/>
      <c r="TE456" s="3"/>
      <c r="TF456" s="3"/>
      <c r="TG456" s="3"/>
      <c r="TH456" s="3"/>
      <c r="TI456" s="3"/>
      <c r="TJ456" s="3"/>
      <c r="TK456" s="3"/>
      <c r="TL456" s="3"/>
      <c r="TM456" s="3"/>
      <c r="TN456" s="3"/>
      <c r="TO456" s="3"/>
      <c r="TP456" s="3"/>
      <c r="TQ456" s="3"/>
      <c r="TR456" s="3"/>
      <c r="TS456" s="3"/>
      <c r="TT456" s="3"/>
      <c r="TU456" s="3"/>
      <c r="TV456" s="3"/>
      <c r="TW456" s="3"/>
      <c r="TX456" s="3"/>
      <c r="TY456" s="3"/>
      <c r="TZ456" s="3"/>
      <c r="UA456" s="3"/>
      <c r="UB456" s="3"/>
      <c r="UC456" s="3"/>
      <c r="UD456" s="3"/>
      <c r="UE456" s="3"/>
      <c r="UF456" s="3"/>
      <c r="UG456" s="3"/>
      <c r="UH456" s="3"/>
      <c r="UI456" s="3"/>
      <c r="UJ456" s="3"/>
      <c r="UK456" s="3"/>
      <c r="UL456" s="3"/>
      <c r="UM456" s="3"/>
      <c r="UN456" s="3"/>
      <c r="UO456" s="3"/>
      <c r="UP456" s="3"/>
      <c r="UQ456" s="3"/>
      <c r="UR456" s="3"/>
      <c r="US456" s="3"/>
      <c r="UT456" s="3"/>
      <c r="UU456" s="3"/>
      <c r="UV456" s="3"/>
      <c r="UW456" s="3"/>
      <c r="UX456" s="3"/>
      <c r="UY456" s="3"/>
      <c r="UZ456" s="3"/>
      <c r="VA456" s="3"/>
      <c r="VB456" s="3"/>
      <c r="VC456" s="3"/>
      <c r="VD456" s="3"/>
      <c r="VE456" s="3"/>
      <c r="VF456" s="3"/>
      <c r="VG456" s="3"/>
      <c r="VH456" s="3"/>
      <c r="VI456" s="3"/>
      <c r="VJ456" s="3"/>
      <c r="VK456" s="3"/>
      <c r="VL456" s="3"/>
      <c r="VM456" s="3"/>
      <c r="VN456" s="3"/>
      <c r="VO456" s="3"/>
      <c r="VP456" s="3"/>
      <c r="VQ456" s="3"/>
      <c r="VR456" s="3"/>
      <c r="VS456" s="3"/>
      <c r="VT456" s="3"/>
      <c r="VU456" s="3"/>
      <c r="VV456" s="3"/>
      <c r="VW456" s="3"/>
      <c r="VX456" s="3"/>
      <c r="VY456" s="3"/>
      <c r="VZ456" s="3"/>
      <c r="WA456" s="3"/>
      <c r="WB456" s="3"/>
      <c r="WC456" s="3"/>
      <c r="WD456" s="3"/>
      <c r="WE456" s="3"/>
      <c r="WF456" s="3"/>
      <c r="WG456" s="3"/>
      <c r="WH456" s="3"/>
      <c r="WI456" s="3"/>
      <c r="WJ456" s="3"/>
      <c r="WK456" s="3"/>
      <c r="WL456" s="3"/>
      <c r="WM456" s="3"/>
      <c r="WN456" s="3"/>
      <c r="WO456" s="3"/>
      <c r="WP456" s="3"/>
      <c r="WQ456" s="3"/>
      <c r="WR456" s="3"/>
      <c r="WS456" s="3"/>
      <c r="WT456" s="3"/>
      <c r="WU456" s="3"/>
      <c r="WV456" s="3"/>
      <c r="WW456" s="3"/>
      <c r="WX456" s="3"/>
      <c r="WY456" s="3"/>
      <c r="WZ456" s="3"/>
      <c r="XA456" s="3"/>
      <c r="XB456" s="3"/>
      <c r="XC456" s="3"/>
      <c r="XD456" s="3"/>
      <c r="XE456" s="3"/>
      <c r="XF456" s="3"/>
      <c r="XG456" s="3"/>
      <c r="XH456" s="3"/>
      <c r="XI456" s="3"/>
      <c r="XJ456" s="3"/>
      <c r="XK456" s="3"/>
      <c r="XL456" s="3"/>
      <c r="XM456" s="3"/>
      <c r="XN456" s="3"/>
      <c r="XO456" s="3"/>
      <c r="XP456" s="3"/>
      <c r="XQ456" s="3"/>
      <c r="XR456" s="3"/>
      <c r="XS456" s="3"/>
      <c r="XT456" s="3"/>
      <c r="XU456" s="3"/>
      <c r="XV456" s="3"/>
      <c r="XW456" s="3"/>
      <c r="XX456" s="3"/>
      <c r="XY456" s="3"/>
      <c r="XZ456" s="3"/>
      <c r="YA456" s="3"/>
      <c r="YB456" s="3"/>
      <c r="YC456" s="3"/>
      <c r="YD456" s="3"/>
      <c r="YE456" s="3"/>
      <c r="YF456" s="3"/>
      <c r="YG456" s="3"/>
      <c r="YH456" s="3"/>
      <c r="YI456" s="3"/>
      <c r="YJ456" s="3"/>
      <c r="YK456" s="3"/>
      <c r="YL456" s="3"/>
      <c r="YM456" s="3"/>
      <c r="YN456" s="3"/>
      <c r="YO456" s="3"/>
      <c r="YP456" s="3"/>
      <c r="YQ456" s="3"/>
      <c r="YR456" s="3"/>
      <c r="YS456" s="3"/>
      <c r="YT456" s="3"/>
      <c r="YU456" s="3"/>
      <c r="YV456" s="3"/>
      <c r="YW456" s="3"/>
      <c r="YX456" s="3"/>
      <c r="YY456" s="3"/>
      <c r="YZ456" s="3"/>
      <c r="ZA456" s="3"/>
      <c r="ZB456" s="3"/>
      <c r="ZC456" s="3"/>
      <c r="ZD456" s="3"/>
      <c r="ZE456" s="3"/>
      <c r="ZF456" s="3"/>
      <c r="ZG456" s="3"/>
      <c r="ZH456" s="3"/>
      <c r="ZI456" s="3"/>
      <c r="ZJ456" s="3"/>
      <c r="ZK456" s="3"/>
      <c r="ZL456" s="3"/>
      <c r="ZM456" s="3"/>
      <c r="ZN456" s="3"/>
      <c r="ZO456" s="3"/>
      <c r="ZP456" s="3"/>
      <c r="ZQ456" s="3"/>
      <c r="ZR456" s="3"/>
      <c r="ZS456" s="3"/>
      <c r="ZT456" s="3"/>
      <c r="ZU456" s="3"/>
      <c r="ZV456" s="3"/>
      <c r="ZW456" s="3"/>
      <c r="ZX456" s="3"/>
      <c r="ZY456" s="3"/>
      <c r="ZZ456" s="3"/>
      <c r="AAA456" s="3"/>
      <c r="AAB456" s="3"/>
      <c r="AAC456" s="3"/>
      <c r="AAD456" s="3"/>
      <c r="AAE456" s="3"/>
      <c r="AAF456" s="3"/>
      <c r="AAG456" s="3"/>
      <c r="AAH456" s="3"/>
      <c r="AAI456" s="3"/>
      <c r="AAJ456" s="3"/>
      <c r="AAK456" s="3"/>
      <c r="AAL456" s="3"/>
      <c r="AAM456" s="3"/>
      <c r="AAN456" s="3"/>
      <c r="AAO456" s="3"/>
      <c r="AAP456" s="3"/>
      <c r="AAQ456" s="3"/>
      <c r="AAR456" s="3"/>
      <c r="AAS456" s="3"/>
      <c r="AAT456" s="3"/>
      <c r="AAU456" s="3"/>
      <c r="AAV456" s="3"/>
      <c r="AAW456" s="3"/>
      <c r="AAX456" s="3"/>
      <c r="AAY456" s="3"/>
      <c r="AAZ456" s="3"/>
      <c r="ABA456" s="3"/>
      <c r="ABB456" s="3"/>
      <c r="ABC456" s="3"/>
      <c r="ABD456" s="3"/>
      <c r="ABE456" s="3"/>
      <c r="ABF456" s="3"/>
      <c r="ABG456" s="3"/>
      <c r="ABH456" s="3"/>
      <c r="ABI456" s="3"/>
      <c r="ABJ456" s="3"/>
      <c r="ABK456" s="3"/>
      <c r="ABL456" s="3"/>
      <c r="ABM456" s="3"/>
      <c r="ABN456" s="3"/>
      <c r="ABO456" s="3"/>
      <c r="ABP456" s="3"/>
      <c r="ABQ456" s="3"/>
      <c r="ABR456" s="3"/>
      <c r="ABS456" s="3"/>
      <c r="ABT456" s="3"/>
      <c r="ABU456" s="3"/>
      <c r="ABV456" s="3"/>
      <c r="ABW456" s="3"/>
      <c r="ABX456" s="3"/>
      <c r="ABY456" s="3"/>
      <c r="ABZ456" s="3"/>
      <c r="ACA456" s="3"/>
      <c r="ACB456" s="3"/>
      <c r="ACC456" s="3"/>
      <c r="ACD456" s="3"/>
      <c r="ACE456" s="3"/>
      <c r="ACF456" s="3"/>
      <c r="ACG456" s="3"/>
      <c r="ACH456" s="3"/>
      <c r="ACI456" s="3"/>
      <c r="ACJ456" s="3"/>
      <c r="ACK456" s="3"/>
      <c r="ACL456" s="3"/>
      <c r="ACM456" s="3"/>
      <c r="ACN456" s="3"/>
      <c r="ACO456" s="3"/>
      <c r="ACP456" s="3"/>
      <c r="ACQ456" s="3"/>
      <c r="ACR456" s="3"/>
      <c r="ACS456" s="3"/>
      <c r="ACT456" s="3"/>
      <c r="ACU456" s="3"/>
      <c r="ACV456" s="3"/>
      <c r="ACW456" s="3"/>
      <c r="ACX456" s="3"/>
      <c r="ACY456" s="3"/>
      <c r="ACZ456" s="3"/>
      <c r="ADA456" s="3"/>
      <c r="ADB456" s="3"/>
      <c r="ADC456" s="3"/>
      <c r="ADD456" s="3"/>
      <c r="ADE456" s="3"/>
      <c r="ADF456" s="3"/>
      <c r="ADG456" s="3"/>
      <c r="ADH456" s="3"/>
      <c r="ADI456" s="3"/>
      <c r="ADJ456" s="3"/>
      <c r="ADK456" s="3"/>
      <c r="ADL456" s="3"/>
      <c r="ADM456" s="3"/>
      <c r="ADN456" s="3"/>
      <c r="ADO456" s="3"/>
      <c r="ADP456" s="3"/>
      <c r="ADQ456" s="3"/>
      <c r="ADR456" s="3"/>
      <c r="ADS456" s="3"/>
      <c r="ADT456" s="3"/>
      <c r="ADU456" s="3"/>
      <c r="ADV456" s="3"/>
      <c r="ADW456" s="3"/>
      <c r="ADX456" s="3"/>
      <c r="ADY456" s="3"/>
      <c r="ADZ456" s="3"/>
      <c r="AEA456" s="3"/>
      <c r="AEB456" s="3"/>
      <c r="AEC456" s="3"/>
      <c r="AED456" s="3"/>
      <c r="AEE456" s="3"/>
      <c r="AEF456" s="3"/>
      <c r="AEG456" s="3"/>
      <c r="AEH456" s="3"/>
      <c r="AEI456" s="3"/>
      <c r="AEJ456" s="3"/>
      <c r="AEK456" s="3"/>
      <c r="AEL456" s="3"/>
      <c r="AEM456" s="3"/>
      <c r="AEN456" s="3"/>
      <c r="AEO456" s="3"/>
      <c r="AEP456" s="3"/>
      <c r="AEQ456" s="3"/>
      <c r="AER456" s="3"/>
      <c r="AES456" s="3"/>
      <c r="AET456" s="3"/>
      <c r="AEU456" s="3"/>
      <c r="AEV456" s="3"/>
      <c r="AEW456" s="3"/>
      <c r="AEX456" s="3"/>
      <c r="AEY456" s="3"/>
      <c r="AEZ456" s="3"/>
      <c r="AFA456" s="3"/>
      <c r="AFB456" s="3"/>
      <c r="AFC456" s="3"/>
      <c r="AFD456" s="3"/>
      <c r="AFE456" s="3"/>
      <c r="AFF456" s="3"/>
      <c r="AFG456" s="3"/>
      <c r="AFH456" s="3"/>
      <c r="AFI456" s="3"/>
      <c r="AFJ456" s="3"/>
      <c r="AFK456" s="3"/>
      <c r="AFL456" s="3"/>
      <c r="AFM456" s="3"/>
      <c r="AFN456" s="3"/>
      <c r="AFO456" s="3"/>
      <c r="AFP456" s="3"/>
      <c r="AFQ456" s="3"/>
      <c r="AFR456" s="3"/>
      <c r="AFS456" s="3"/>
      <c r="AFT456" s="3"/>
      <c r="AFU456" s="3"/>
      <c r="AFV456" s="3"/>
      <c r="AFW456" s="3"/>
      <c r="AFX456" s="3"/>
      <c r="AFY456" s="3"/>
      <c r="AFZ456" s="3"/>
      <c r="AGA456" s="3"/>
      <c r="AGB456" s="3"/>
      <c r="AGC456" s="3"/>
      <c r="AGD456" s="3"/>
      <c r="AGE456" s="3"/>
      <c r="AGF456" s="3"/>
      <c r="AGG456" s="3"/>
      <c r="AGH456" s="3"/>
      <c r="AGI456" s="3"/>
      <c r="AGJ456" s="3"/>
      <c r="AGK456" s="3"/>
      <c r="AGL456" s="3"/>
      <c r="AGM456" s="3"/>
      <c r="AGN456" s="3"/>
      <c r="AGO456" s="3"/>
      <c r="AGP456" s="3"/>
      <c r="AGQ456" s="3"/>
      <c r="AGR456" s="3"/>
      <c r="AGS456" s="3"/>
      <c r="AGT456" s="3"/>
      <c r="AGU456" s="3"/>
      <c r="AGV456" s="3"/>
      <c r="AGW456" s="3"/>
      <c r="AGX456" s="3"/>
      <c r="AGY456" s="3"/>
      <c r="AGZ456" s="3"/>
      <c r="AHA456" s="3"/>
      <c r="AHB456" s="3"/>
      <c r="AHC456" s="3"/>
      <c r="AHD456" s="3"/>
      <c r="AHE456" s="3"/>
      <c r="AHF456" s="3"/>
      <c r="AHG456" s="3"/>
      <c r="AHH456" s="3"/>
      <c r="AHI456" s="3"/>
      <c r="AHJ456" s="3"/>
      <c r="AHK456" s="3"/>
      <c r="AHL456" s="3"/>
      <c r="AHM456" s="3"/>
      <c r="AHN456" s="3"/>
      <c r="AHO456" s="3"/>
      <c r="AHP456" s="3"/>
      <c r="AHQ456" s="3"/>
      <c r="AHR456" s="3"/>
      <c r="AHS456" s="3"/>
      <c r="AHT456" s="3"/>
      <c r="AHU456" s="3"/>
      <c r="AHV456" s="3"/>
      <c r="AHW456" s="3"/>
      <c r="AHX456" s="3"/>
      <c r="AHY456" s="3"/>
      <c r="AHZ456" s="3"/>
      <c r="AIA456" s="3"/>
      <c r="AIB456" s="3"/>
      <c r="AIC456" s="3"/>
      <c r="AID456" s="3"/>
      <c r="AIE456" s="3"/>
      <c r="AIF456" s="3"/>
      <c r="AIG456" s="3"/>
      <c r="AIH456" s="3"/>
      <c r="AII456" s="3"/>
      <c r="AIJ456" s="3"/>
      <c r="AIK456" s="3"/>
      <c r="AIL456" s="3"/>
      <c r="AIM456" s="3"/>
      <c r="AIN456" s="3"/>
      <c r="AIO456" s="3"/>
      <c r="AIP456" s="3"/>
      <c r="AIQ456" s="3"/>
      <c r="AIR456" s="3"/>
      <c r="AIS456" s="3"/>
      <c r="AIT456" s="3"/>
      <c r="AIU456" s="3"/>
      <c r="AIV456" s="3"/>
      <c r="AIW456" s="3"/>
      <c r="AIX456" s="3"/>
      <c r="AIY456" s="3"/>
      <c r="AIZ456" s="3"/>
      <c r="AJA456" s="3"/>
      <c r="AJB456" s="3"/>
      <c r="AJC456" s="3"/>
      <c r="AJD456" s="3"/>
      <c r="AJE456" s="3"/>
      <c r="AJF456" s="3"/>
      <c r="AJG456" s="3"/>
      <c r="AJH456" s="3"/>
      <c r="AJI456" s="3"/>
      <c r="AJJ456" s="3"/>
      <c r="AJK456" s="3"/>
      <c r="AJL456" s="3"/>
      <c r="AJM456" s="3"/>
      <c r="AJN456" s="3"/>
      <c r="AJO456" s="3"/>
      <c r="AJP456" s="3"/>
      <c r="AJQ456" s="3"/>
      <c r="AJR456" s="3"/>
      <c r="AJS456" s="3"/>
      <c r="AJT456" s="3"/>
      <c r="AJU456" s="3"/>
      <c r="AJV456" s="3"/>
      <c r="AJW456" s="3"/>
      <c r="AJX456" s="3"/>
      <c r="AJY456" s="3"/>
      <c r="AJZ456" s="3"/>
      <c r="AKA456" s="3"/>
      <c r="AKB456" s="3"/>
      <c r="AKC456" s="3"/>
      <c r="AKD456" s="3"/>
      <c r="AKE456" s="3"/>
      <c r="AKF456" s="3"/>
      <c r="AKG456" s="3"/>
      <c r="AKH456" s="3"/>
      <c r="AKI456" s="3"/>
      <c r="AKJ456" s="3"/>
      <c r="AKK456" s="3"/>
      <c r="AKL456" s="3"/>
      <c r="AKM456" s="3"/>
      <c r="AKN456" s="3"/>
      <c r="AKO456" s="3"/>
      <c r="AKP456" s="3"/>
      <c r="AKQ456" s="3"/>
      <c r="AKR456" s="3"/>
      <c r="AKS456" s="3"/>
      <c r="AKT456" s="3"/>
      <c r="AKU456" s="3"/>
      <c r="AKV456" s="3"/>
      <c r="AKW456" s="3"/>
      <c r="AKX456" s="3"/>
      <c r="AKY456" s="3"/>
      <c r="AKZ456" s="3"/>
      <c r="ALA456" s="3"/>
      <c r="ALB456" s="3"/>
      <c r="ALC456" s="3"/>
      <c r="ALD456" s="3"/>
      <c r="ALE456" s="3"/>
      <c r="ALF456" s="3"/>
      <c r="ALG456" s="3"/>
      <c r="ALH456" s="3"/>
      <c r="ALI456" s="3"/>
      <c r="ALJ456" s="3"/>
      <c r="ALK456" s="3"/>
      <c r="ALL456" s="3"/>
      <c r="ALM456" s="3"/>
      <c r="ALN456" s="3"/>
      <c r="ALO456" s="3"/>
      <c r="ALP456" s="3"/>
      <c r="ALQ456" s="3"/>
      <c r="ALR456" s="3"/>
      <c r="ALS456" s="3"/>
      <c r="ALT456" s="3"/>
      <c r="ALU456" s="3"/>
      <c r="ALV456" s="3"/>
      <c r="ALW456" s="3"/>
      <c r="ALX456" s="3"/>
      <c r="ALY456" s="3"/>
      <c r="ALZ456" s="3"/>
      <c r="AMA456" s="3"/>
      <c r="AMB456" s="3"/>
      <c r="AMC456" s="3"/>
      <c r="AMD456" s="3"/>
      <c r="AME456" s="3"/>
      <c r="AMF456" s="3"/>
      <c r="AMG456" s="3"/>
      <c r="AMH456" s="3"/>
      <c r="AMI456" s="3"/>
      <c r="AMJ456" s="3"/>
      <c r="AMK456" s="3"/>
      <c r="AML456" s="3"/>
      <c r="AMM456" s="3"/>
      <c r="AMN456" s="3"/>
      <c r="AMO456" s="3"/>
      <c r="AMP456" s="1"/>
    </row>
    <row r="457" spans="1:1030" x14ac:dyDescent="0.2">
      <c r="A457" s="3" t="str">
        <f t="shared" ref="A457:A464" si="4025">CONCATENATE(B457,"_",C457)</f>
        <v>smo_human_5V56</v>
      </c>
      <c r="B457" s="3" t="s">
        <v>33</v>
      </c>
      <c r="C457" s="3" t="s">
        <v>1477</v>
      </c>
      <c r="D457" s="3" t="str">
        <f>IFERROR(MID(VLOOKUP($B457,Seqs!$A:$B,2,0),E457,1),"")</f>
        <v>T</v>
      </c>
      <c r="E457" s="3">
        <v>223</v>
      </c>
      <c r="F457" s="3" t="str">
        <f>IFERROR(MID(VLOOKUP($B457,Seqs!$A:$B,2,0),G457,1),"")</f>
        <v>D</v>
      </c>
      <c r="G457" s="3">
        <v>255</v>
      </c>
      <c r="H457" s="3" t="str">
        <f>IFERROR(MID(VLOOKUP($B457,Seqs!$A:$B,2,0),I457,1),"")</f>
        <v>W</v>
      </c>
      <c r="I457" s="23">
        <v>256</v>
      </c>
      <c r="J457" s="3" t="str">
        <f>IFERROR(MID(VLOOKUP($B457,Seqs!$A:$B,2,0),K457,1),"")</f>
        <v>N</v>
      </c>
      <c r="K457" s="23">
        <v>260</v>
      </c>
      <c r="L457" s="3" t="str">
        <f>IFERROR(MID(VLOOKUP($B457,Seqs!$A:$B,2,0),M457,1),"")</f>
        <v>R</v>
      </c>
      <c r="M457" s="3">
        <v>261</v>
      </c>
      <c r="N457" s="3" t="str">
        <f>IFERROR(MID(VLOOKUP($B457,Seqs!$A:$B,2,0),O457,1),"")</f>
        <v>F</v>
      </c>
      <c r="O457" s="3">
        <v>285</v>
      </c>
      <c r="P457" s="3" t="str">
        <f>IFERROR(MID(VLOOKUP($B457,Seqs!$A:$B,2,0),Q457,1),"")</f>
        <v/>
      </c>
      <c r="Q457" s="3" t="s">
        <v>23</v>
      </c>
      <c r="R457" s="3" t="str">
        <f>IFERROR(MID(VLOOKUP($B457,Seqs!$A:$B,2,0),S457,1),"")</f>
        <v/>
      </c>
      <c r="S457" s="3" t="s">
        <v>23</v>
      </c>
      <c r="T457" s="3" t="str">
        <f>IFERROR(MID(VLOOKUP($B457,Seqs!$A:$B,2,0),U457,1),"")</f>
        <v>L</v>
      </c>
      <c r="U457" s="3">
        <v>312</v>
      </c>
      <c r="V457" s="3" t="str">
        <f>IFERROR(MID(VLOOKUP($B457,Seqs!$A:$B,2,0),W457,1),"")</f>
        <v>S</v>
      </c>
      <c r="W457" s="3">
        <v>342</v>
      </c>
      <c r="X457" s="3" t="str">
        <f>IFERROR(MID(VLOOKUP($B457,Seqs!$A:$B,2,0),Y457,1),"")</f>
        <v/>
      </c>
      <c r="Y457" s="3" t="s">
        <v>23</v>
      </c>
      <c r="Z457" s="3" t="str">
        <f>IFERROR(MID(VLOOKUP($B457,Seqs!$A:$B,2,0),AA457,1),"")</f>
        <v/>
      </c>
      <c r="AA457" s="3" t="s">
        <v>23</v>
      </c>
      <c r="AB457" s="3" t="str">
        <f>IFERROR(MID(VLOOKUP($B457,Seqs!$A:$B,2,0),AC457,1),"")</f>
        <v>K</v>
      </c>
      <c r="AC457" s="3">
        <v>356</v>
      </c>
      <c r="AD457" s="3" t="str">
        <f>IFERROR(MID(VLOOKUP($B457,Seqs!$A:$B,2,0),AE457,1),"")</f>
        <v>V</v>
      </c>
      <c r="AE457" s="3">
        <v>378</v>
      </c>
      <c r="AF457" s="3" t="str">
        <f>IFERROR(MID(VLOOKUP($B457,Seqs!$A:$B,2,0),AG457,1),"")</f>
        <v>C</v>
      </c>
      <c r="AG457" s="3">
        <v>390</v>
      </c>
      <c r="AH457" s="3" t="str">
        <f>IFERROR(MID(VLOOKUP($B457,Seqs!$A:$B,2,0),AI457,1),"")</f>
        <v>V</v>
      </c>
      <c r="AI457" s="3">
        <v>392</v>
      </c>
      <c r="AJ457" s="3" t="str">
        <f>IFERROR(MID(VLOOKUP($B457,Seqs!$A:$B,2,0),AK457,1),"")</f>
        <v>N</v>
      </c>
      <c r="AK457" s="3">
        <v>396</v>
      </c>
      <c r="AL457" s="3" t="str">
        <f>IFERROR(MID(VLOOKUP($B457,Seqs!$A:$B,2,0),AM457,1),"")</f>
        <v>I</v>
      </c>
      <c r="AM457" s="3">
        <v>429</v>
      </c>
      <c r="AN457" s="3" t="str">
        <f>IFERROR(MID(VLOOKUP($B457,Seqs!$A:$B,2,0),AO457,1),"")</f>
        <v>N</v>
      </c>
      <c r="AO457" s="3">
        <v>446</v>
      </c>
      <c r="AP457" s="3" t="str">
        <f>IFERROR(MID(VLOOKUP($B457,Seqs!$A:$B,2,0),AQ457,1),"")</f>
        <v>N</v>
      </c>
      <c r="AQ457" s="3">
        <v>493</v>
      </c>
      <c r="AR457" s="3" t="str">
        <f>IFERROR(MID(VLOOKUP($B457,Seqs!$A:$B,2,0),AS457,1),"")</f>
        <v>S</v>
      </c>
      <c r="AS457" s="3">
        <v>514</v>
      </c>
      <c r="AT457" s="3" t="str">
        <f>IFERROR(MID(VLOOKUP($B457,Seqs!$A:$B,2,0),AU457,1),"")</f>
        <v>W</v>
      </c>
      <c r="AU457" s="3">
        <v>537</v>
      </c>
      <c r="AV457" s="3" t="str">
        <f>IFERROR(MID(VLOOKUP($B457,Seqs!$A:$B,2,0),AW457,1),"")</f>
        <v>T</v>
      </c>
      <c r="AW457" s="3">
        <v>538</v>
      </c>
      <c r="AX457" s="3" t="str">
        <f>IFERROR(MID(VLOOKUP($B457,Seqs!$A:$B,2,0),AY457,1),"")</f>
        <v>T</v>
      </c>
      <c r="AY457" s="3">
        <v>553</v>
      </c>
      <c r="AZ457" s="78" t="str">
        <f>VLOOKUP(B457,Classification!A:D,2,0)</f>
        <v>F</v>
      </c>
      <c r="BA457" s="94" t="str">
        <f>VLOOKUP(B457,Classification!A:D,4,0)</f>
        <v>Frizzled</v>
      </c>
      <c r="BB457" s="92" t="b">
        <f t="shared" ref="BB457:BB464" si="4026">AND(E457&lt;G457,OR(G457&lt;I457,I457="-"),OR(I457&lt;K457,I457="-"),OR(K457&lt;M457,K457="-"),M457&lt;O457,OR(O457&lt;Q457,Q457="-"),OR(Q457&lt;S457,Q457="-"),OR(S457&lt;U457,S457="-"),U457&lt;W457,OR(W457&lt;Y457,Y457="-"),OR(Y457&lt;AA457,Y457="-"),OR(AA457&lt;AC457,AA457="-"),AC457&lt;AE457,OR(AE457&lt;AG457,AG457="-"),OR(AG457&lt;AI457,AG457="-"),OR(AI457&lt;AK457,AI457="-"),AK457&lt;AM457,AM457&lt;AO457,AO457&lt;AQ457,AQ457&lt;AS457,AS457&lt;AU457,OR(AU457&lt;AW457,AW457="-"),OR(AW457&lt;AY457,AW457="-"))</f>
        <v>1</v>
      </c>
      <c r="BC457" s="23">
        <f t="shared" ref="BC457:BC464" si="4027">_xlfn.AGGREGATE(9,6,CH457:CS457)-_xlfn.AGGREGATE(9,6,BV457:CG457)+12</f>
        <v>244</v>
      </c>
      <c r="BD457" s="74" t="s">
        <v>23</v>
      </c>
      <c r="BE457" s="3" t="s">
        <v>1374</v>
      </c>
      <c r="BF457" s="118">
        <v>2.9</v>
      </c>
      <c r="BG457" s="49" t="s">
        <v>1281</v>
      </c>
      <c r="BH457" s="49" t="s">
        <v>1281</v>
      </c>
      <c r="BJ457" s="75" t="s">
        <v>1287</v>
      </c>
      <c r="BK457" s="57" t="s">
        <v>1287</v>
      </c>
      <c r="BL457" s="57" t="s">
        <v>1287</v>
      </c>
      <c r="BM457" s="57" t="s">
        <v>1287</v>
      </c>
      <c r="BN457" s="57" t="s">
        <v>1287</v>
      </c>
      <c r="BO457" s="57" t="s">
        <v>1287</v>
      </c>
      <c r="BP457" s="57" t="s">
        <v>1287</v>
      </c>
      <c r="BQ457" s="57" t="s">
        <v>1287</v>
      </c>
      <c r="BR457" s="57" t="s">
        <v>1287</v>
      </c>
      <c r="BS457" s="57" t="s">
        <v>1287</v>
      </c>
      <c r="BT457" s="57" t="s">
        <v>1287</v>
      </c>
      <c r="BU457" s="57" t="s">
        <v>1287</v>
      </c>
      <c r="BV457" s="75">
        <f t="shared" ref="BV457:BV464" si="4028">E457</f>
        <v>223</v>
      </c>
      <c r="BW457" s="71">
        <f t="shared" ref="BW457:BW464" si="4029">I457</f>
        <v>256</v>
      </c>
      <c r="BX457" s="72">
        <f t="shared" ref="BX457:BX464" si="4030">M457</f>
        <v>261</v>
      </c>
      <c r="BY457" s="71" t="str">
        <f t="shared" ref="BY457:BY464" si="4031">Q457</f>
        <v>-</v>
      </c>
      <c r="BZ457" s="72">
        <f t="shared" ref="BZ457:BZ464" si="4032">U457</f>
        <v>312</v>
      </c>
      <c r="CA457" s="71" t="str">
        <f t="shared" ref="CA457:CA464" si="4033">Y457</f>
        <v>-</v>
      </c>
      <c r="CB457" s="72">
        <f t="shared" ref="CB457:CB464" si="4034">AC457</f>
        <v>356</v>
      </c>
      <c r="CC457" s="71">
        <f t="shared" ref="CC457:CC464" si="4035">AG457</f>
        <v>390</v>
      </c>
      <c r="CD457" s="72">
        <f t="shared" ref="CD457:CD464" si="4036">AK457</f>
        <v>396</v>
      </c>
      <c r="CE457" s="71">
        <f t="shared" ref="CE457:CE464" si="4037">AO457</f>
        <v>446</v>
      </c>
      <c r="CF457" s="72">
        <f t="shared" ref="CF457:CF464" si="4038">AS457</f>
        <v>514</v>
      </c>
      <c r="CG457" s="71">
        <f t="shared" ref="CG457:CG464" si="4039">AW457</f>
        <v>538</v>
      </c>
      <c r="CH457" s="75">
        <f t="shared" ref="CH457:CH464" si="4040">G457</f>
        <v>255</v>
      </c>
      <c r="CI457" s="71">
        <f t="shared" ref="CI457:CI464" si="4041">K457</f>
        <v>260</v>
      </c>
      <c r="CJ457" s="72">
        <f t="shared" ref="CJ457:CJ464" si="4042">O457</f>
        <v>285</v>
      </c>
      <c r="CK457" s="72" t="str">
        <f t="shared" ref="CK457:CK464" si="4043">S457</f>
        <v>-</v>
      </c>
      <c r="CL457" s="72">
        <f t="shared" ref="CL457:CL464" si="4044">W457</f>
        <v>342</v>
      </c>
      <c r="CM457" s="72" t="str">
        <f t="shared" ref="CM457:CM464" si="4045">AA457</f>
        <v>-</v>
      </c>
      <c r="CN457" s="72">
        <f t="shared" ref="CN457:CN464" si="4046">AE457</f>
        <v>378</v>
      </c>
      <c r="CO457" s="72">
        <f t="shared" ref="CO457:CO464" si="4047">AI457</f>
        <v>392</v>
      </c>
      <c r="CP457" s="72">
        <f t="shared" ref="CP457:CP464" si="4048">AM457</f>
        <v>429</v>
      </c>
      <c r="CQ457" s="72">
        <f t="shared" ref="CQ457:CQ464" si="4049">AQ457</f>
        <v>493</v>
      </c>
      <c r="CR457" s="72">
        <f t="shared" ref="CR457:CR464" si="4050">AU457</f>
        <v>537</v>
      </c>
      <c r="CS457" s="72">
        <f t="shared" ref="CS457:CS464" si="4051">AY457</f>
        <v>553</v>
      </c>
      <c r="CT457" s="23">
        <f t="shared" ref="CT457:CT464" si="4052">M457-K457</f>
        <v>1</v>
      </c>
    </row>
    <row r="458" spans="1:1030" x14ac:dyDescent="0.2">
      <c r="A458" s="3" t="str">
        <f t="shared" si="4025"/>
        <v>smo_human_5V57</v>
      </c>
      <c r="B458" s="3" t="s">
        <v>33</v>
      </c>
      <c r="C458" s="3" t="s">
        <v>1478</v>
      </c>
      <c r="D458" s="3" t="str">
        <f>IFERROR(MID(VLOOKUP($B458,Seqs!$A:$B,2,0),E458,1),"")</f>
        <v>T</v>
      </c>
      <c r="E458" s="3">
        <v>223</v>
      </c>
      <c r="F458" s="3" t="str">
        <f>IFERROR(MID(VLOOKUP($B458,Seqs!$A:$B,2,0),G458,1),"")</f>
        <v>D</v>
      </c>
      <c r="G458" s="3">
        <v>255</v>
      </c>
      <c r="H458" s="3" t="str">
        <f>IFERROR(MID(VLOOKUP($B458,Seqs!$A:$B,2,0),I458,1),"")</f>
        <v>W</v>
      </c>
      <c r="I458" s="23">
        <v>256</v>
      </c>
      <c r="J458" s="3" t="str">
        <f>IFERROR(MID(VLOOKUP($B458,Seqs!$A:$B,2,0),K458,1),"")</f>
        <v>N</v>
      </c>
      <c r="K458" s="23">
        <v>260</v>
      </c>
      <c r="L458" s="3" t="str">
        <f>IFERROR(MID(VLOOKUP($B458,Seqs!$A:$B,2,0),M458,1),"")</f>
        <v>R</v>
      </c>
      <c r="M458" s="3">
        <v>261</v>
      </c>
      <c r="N458" s="3" t="str">
        <f>IFERROR(MID(VLOOKUP($B458,Seqs!$A:$B,2,0),O458,1),"")</f>
        <v>F</v>
      </c>
      <c r="O458" s="3">
        <v>285</v>
      </c>
      <c r="P458" s="3" t="str">
        <f>IFERROR(MID(VLOOKUP($B458,Seqs!$A:$B,2,0),Q458,1),"")</f>
        <v/>
      </c>
      <c r="Q458" s="3" t="s">
        <v>23</v>
      </c>
      <c r="R458" s="3" t="str">
        <f>IFERROR(MID(VLOOKUP($B458,Seqs!$A:$B,2,0),S458,1),"")</f>
        <v/>
      </c>
      <c r="S458" s="3" t="s">
        <v>23</v>
      </c>
      <c r="T458" s="3" t="str">
        <f>IFERROR(MID(VLOOKUP($B458,Seqs!$A:$B,2,0),U458,1),"")</f>
        <v>L</v>
      </c>
      <c r="U458" s="3">
        <v>312</v>
      </c>
      <c r="V458" s="3" t="str">
        <f>IFERROR(MID(VLOOKUP($B458,Seqs!$A:$B,2,0),W458,1),"")</f>
        <v>S</v>
      </c>
      <c r="W458" s="3">
        <v>342</v>
      </c>
      <c r="X458" s="3" t="str">
        <f>IFERROR(MID(VLOOKUP($B458,Seqs!$A:$B,2,0),Y458,1),"")</f>
        <v/>
      </c>
      <c r="Y458" s="3" t="s">
        <v>23</v>
      </c>
      <c r="Z458" s="3" t="str">
        <f>IFERROR(MID(VLOOKUP($B458,Seqs!$A:$B,2,0),AA458,1),"")</f>
        <v/>
      </c>
      <c r="AA458" s="3" t="s">
        <v>23</v>
      </c>
      <c r="AB458" s="3" t="str">
        <f>IFERROR(MID(VLOOKUP($B458,Seqs!$A:$B,2,0),AC458,1),"")</f>
        <v>T</v>
      </c>
      <c r="AC458" s="3">
        <v>357</v>
      </c>
      <c r="AD458" s="3" t="str">
        <f>IFERROR(MID(VLOOKUP($B458,Seqs!$A:$B,2,0),AE458,1),"")</f>
        <v>V</v>
      </c>
      <c r="AE458" s="3">
        <v>378</v>
      </c>
      <c r="AF458" s="3" t="str">
        <f>IFERROR(MID(VLOOKUP($B458,Seqs!$A:$B,2,0),AG458,1),"")</f>
        <v>C</v>
      </c>
      <c r="AG458" s="3">
        <v>390</v>
      </c>
      <c r="AH458" s="3" t="str">
        <f>IFERROR(MID(VLOOKUP($B458,Seqs!$A:$B,2,0),AI458,1),"")</f>
        <v>V</v>
      </c>
      <c r="AI458" s="3">
        <v>392</v>
      </c>
      <c r="AJ458" s="3" t="str">
        <f>IFERROR(MID(VLOOKUP($B458,Seqs!$A:$B,2,0),AK458,1),"")</f>
        <v>N</v>
      </c>
      <c r="AK458" s="3">
        <v>396</v>
      </c>
      <c r="AL458" s="3" t="str">
        <f>IFERROR(MID(VLOOKUP($B458,Seqs!$A:$B,2,0),AM458,1),"")</f>
        <v>N</v>
      </c>
      <c r="AM458" s="3">
        <v>432</v>
      </c>
      <c r="AN458" s="3" t="str">
        <f>IFERROR(MID(VLOOKUP($B458,Seqs!$A:$B,2,0),AO458,1),"")</f>
        <v>E</v>
      </c>
      <c r="AO458" s="3">
        <v>447</v>
      </c>
      <c r="AP458" s="3" t="str">
        <f>IFERROR(MID(VLOOKUP($B458,Seqs!$A:$B,2,0),AQ458,1),"")</f>
        <v>N</v>
      </c>
      <c r="AQ458" s="3">
        <v>493</v>
      </c>
      <c r="AR458" s="3" t="str">
        <f>IFERROR(MID(VLOOKUP($B458,Seqs!$A:$B,2,0),AS458,1),"")</f>
        <v>S</v>
      </c>
      <c r="AS458" s="3">
        <v>514</v>
      </c>
      <c r="AT458" s="3" t="str">
        <f>IFERROR(MID(VLOOKUP($B458,Seqs!$A:$B,2,0),AU458,1),"")</f>
        <v>W</v>
      </c>
      <c r="AU458" s="3">
        <v>537</v>
      </c>
      <c r="AV458" s="3" t="str">
        <f>IFERROR(MID(VLOOKUP($B458,Seqs!$A:$B,2,0),AW458,1),"")</f>
        <v>T</v>
      </c>
      <c r="AW458" s="3">
        <v>538</v>
      </c>
      <c r="AX458" s="3" t="str">
        <f>IFERROR(MID(VLOOKUP($B458,Seqs!$A:$B,2,0),AY458,1),"")</f>
        <v>G</v>
      </c>
      <c r="AY458" s="3">
        <v>554</v>
      </c>
      <c r="AZ458" s="78" t="str">
        <f>VLOOKUP(B458,Classification!A:D,2,0)</f>
        <v>F</v>
      </c>
      <c r="BA458" s="94" t="str">
        <f>VLOOKUP(B458,Classification!A:D,4,0)</f>
        <v>Frizzled</v>
      </c>
      <c r="BB458" s="92" t="b">
        <f t="shared" si="4026"/>
        <v>1</v>
      </c>
      <c r="BC458" s="23">
        <f t="shared" si="4027"/>
        <v>246</v>
      </c>
      <c r="BD458" s="74" t="s">
        <v>23</v>
      </c>
      <c r="BE458" s="3" t="s">
        <v>1374</v>
      </c>
      <c r="BF458" s="118">
        <v>3</v>
      </c>
      <c r="BG458" s="49" t="s">
        <v>1</v>
      </c>
      <c r="BH458" s="49" t="s">
        <v>1</v>
      </c>
      <c r="BJ458" s="75" t="s">
        <v>1287</v>
      </c>
      <c r="BK458" s="57" t="s">
        <v>1287</v>
      </c>
      <c r="BL458" s="57" t="s">
        <v>1287</v>
      </c>
      <c r="BM458" s="57" t="s">
        <v>1287</v>
      </c>
      <c r="BN458" s="57" t="s">
        <v>1287</v>
      </c>
      <c r="BO458" s="57" t="s">
        <v>1287</v>
      </c>
      <c r="BP458" s="57" t="s">
        <v>1287</v>
      </c>
      <c r="BQ458" s="57" t="s">
        <v>1287</v>
      </c>
      <c r="BR458" s="57" t="s">
        <v>1287</v>
      </c>
      <c r="BS458" s="57" t="s">
        <v>1287</v>
      </c>
      <c r="BT458" s="57" t="s">
        <v>1287</v>
      </c>
      <c r="BU458" s="57" t="s">
        <v>1287</v>
      </c>
      <c r="BV458" s="75">
        <f t="shared" si="4028"/>
        <v>223</v>
      </c>
      <c r="BW458" s="71">
        <f t="shared" si="4029"/>
        <v>256</v>
      </c>
      <c r="BX458" s="72">
        <f t="shared" si="4030"/>
        <v>261</v>
      </c>
      <c r="BY458" s="71" t="str">
        <f t="shared" si="4031"/>
        <v>-</v>
      </c>
      <c r="BZ458" s="72">
        <f t="shared" si="4032"/>
        <v>312</v>
      </c>
      <c r="CA458" s="71" t="str">
        <f t="shared" si="4033"/>
        <v>-</v>
      </c>
      <c r="CB458" s="72">
        <f t="shared" si="4034"/>
        <v>357</v>
      </c>
      <c r="CC458" s="71">
        <f t="shared" si="4035"/>
        <v>390</v>
      </c>
      <c r="CD458" s="72">
        <f t="shared" si="4036"/>
        <v>396</v>
      </c>
      <c r="CE458" s="71">
        <f t="shared" si="4037"/>
        <v>447</v>
      </c>
      <c r="CF458" s="72">
        <f t="shared" si="4038"/>
        <v>514</v>
      </c>
      <c r="CG458" s="71">
        <f t="shared" si="4039"/>
        <v>538</v>
      </c>
      <c r="CH458" s="75">
        <f t="shared" si="4040"/>
        <v>255</v>
      </c>
      <c r="CI458" s="71">
        <f t="shared" si="4041"/>
        <v>260</v>
      </c>
      <c r="CJ458" s="72">
        <f t="shared" si="4042"/>
        <v>285</v>
      </c>
      <c r="CK458" s="72" t="str">
        <f t="shared" si="4043"/>
        <v>-</v>
      </c>
      <c r="CL458" s="72">
        <f t="shared" si="4044"/>
        <v>342</v>
      </c>
      <c r="CM458" s="72" t="str">
        <f t="shared" si="4045"/>
        <v>-</v>
      </c>
      <c r="CN458" s="72">
        <f t="shared" si="4046"/>
        <v>378</v>
      </c>
      <c r="CO458" s="72">
        <f t="shared" si="4047"/>
        <v>392</v>
      </c>
      <c r="CP458" s="72">
        <f t="shared" si="4048"/>
        <v>432</v>
      </c>
      <c r="CQ458" s="72">
        <f t="shared" si="4049"/>
        <v>493</v>
      </c>
      <c r="CR458" s="72">
        <f t="shared" si="4050"/>
        <v>537</v>
      </c>
      <c r="CS458" s="72">
        <f t="shared" si="4051"/>
        <v>554</v>
      </c>
      <c r="CT458" s="23">
        <f t="shared" si="4052"/>
        <v>1</v>
      </c>
    </row>
    <row r="459" spans="1:1030" x14ac:dyDescent="0.2">
      <c r="A459" s="3" t="str">
        <f t="shared" si="4025"/>
        <v>smo_human_6OT0</v>
      </c>
      <c r="B459" s="3" t="s">
        <v>33</v>
      </c>
      <c r="C459" s="3" t="s">
        <v>1580</v>
      </c>
      <c r="D459" s="3" t="str">
        <f>IFERROR(MID(VLOOKUP($B459,Seqs!$A:$B,2,0),E459,1),"")</f>
        <v>T</v>
      </c>
      <c r="E459" s="3">
        <v>223</v>
      </c>
      <c r="F459" s="3" t="str">
        <f>IFERROR(MID(VLOOKUP($B459,Seqs!$A:$B,2,0),G459,1),"")</f>
        <v>D</v>
      </c>
      <c r="G459" s="3">
        <v>255</v>
      </c>
      <c r="H459" s="3" t="str">
        <f>IFERROR(MID(VLOOKUP($B459,Seqs!$A:$B,2,0),I459,1),"")</f>
        <v>W</v>
      </c>
      <c r="I459" s="23">
        <v>256</v>
      </c>
      <c r="J459" s="3" t="str">
        <f>IFERROR(MID(VLOOKUP($B459,Seqs!$A:$B,2,0),K459,1),"")</f>
        <v>N</v>
      </c>
      <c r="K459" s="23">
        <v>260</v>
      </c>
      <c r="L459" s="3" t="str">
        <f>IFERROR(MID(VLOOKUP($B459,Seqs!$A:$B,2,0),M459,1),"")</f>
        <v>P</v>
      </c>
      <c r="M459" s="3">
        <v>263</v>
      </c>
      <c r="N459" s="3" t="str">
        <f>IFERROR(MID(VLOOKUP($B459,Seqs!$A:$B,2,0),O459,1),"")</f>
        <v>A</v>
      </c>
      <c r="O459" s="3">
        <v>283</v>
      </c>
      <c r="P459" s="3" t="str">
        <f>IFERROR(MID(VLOOKUP($B459,Seqs!$A:$B,2,0),Q459,1),"")</f>
        <v/>
      </c>
      <c r="Q459" s="3" t="s">
        <v>23</v>
      </c>
      <c r="R459" s="3" t="str">
        <f>IFERROR(MID(VLOOKUP($B459,Seqs!$A:$B,2,0),S459,1),"")</f>
        <v/>
      </c>
      <c r="S459" s="3" t="s">
        <v>23</v>
      </c>
      <c r="T459" s="3" t="str">
        <f>IFERROR(MID(VLOOKUP($B459,Seqs!$A:$B,2,0),U459,1),"")</f>
        <v>C</v>
      </c>
      <c r="U459" s="3">
        <v>314</v>
      </c>
      <c r="V459" s="3" t="str">
        <f>IFERROR(MID(VLOOKUP($B459,Seqs!$A:$B,2,0),W459,1),"")</f>
        <v>A</v>
      </c>
      <c r="W459" s="3">
        <v>345</v>
      </c>
      <c r="X459" s="3" t="str">
        <f>IFERROR(MID(VLOOKUP($B459,Seqs!$A:$B,2,0),Y459,1),"")</f>
        <v/>
      </c>
      <c r="Y459" s="3" t="s">
        <v>23</v>
      </c>
      <c r="Z459" s="3" t="str">
        <f>IFERROR(MID(VLOOKUP($B459,Seqs!$A:$B,2,0),AA459,1),"")</f>
        <v/>
      </c>
      <c r="AA459" s="3" t="s">
        <v>23</v>
      </c>
      <c r="AB459" s="3" t="str">
        <f>IFERROR(MID(VLOOKUP($B459,Seqs!$A:$B,2,0),AC459,1),"")</f>
        <v>K</v>
      </c>
      <c r="AC459" s="3">
        <v>356</v>
      </c>
      <c r="AD459" s="3" t="str">
        <f>IFERROR(MID(VLOOKUP($B459,Seqs!$A:$B,2,0),AE459,1),"")</f>
        <v>L</v>
      </c>
      <c r="AE459" s="3">
        <v>376</v>
      </c>
      <c r="AF459" s="3" t="str">
        <f>IFERROR(MID(VLOOKUP($B459,Seqs!$A:$B,2,0),AG459,1),"")</f>
        <v>C</v>
      </c>
      <c r="AG459" s="3">
        <v>390</v>
      </c>
      <c r="AH459" s="3" t="str">
        <f>IFERROR(MID(VLOOKUP($B459,Seqs!$A:$B,2,0),AI459,1),"")</f>
        <v>V</v>
      </c>
      <c r="AI459" s="3">
        <v>392</v>
      </c>
      <c r="AJ459" s="3" t="str">
        <f>IFERROR(MID(VLOOKUP($B459,Seqs!$A:$B,2,0),AK459,1),"")</f>
        <v>A</v>
      </c>
      <c r="AK459" s="3">
        <v>406</v>
      </c>
      <c r="AL459" s="3" t="str">
        <f>IFERROR(MID(VLOOKUP($B459,Seqs!$A:$B,2,0),AM459,1),"")</f>
        <v>S</v>
      </c>
      <c r="AM459" s="3">
        <v>428</v>
      </c>
      <c r="AN459" s="3" t="str">
        <f>IFERROR(MID(VLOOKUP($B459,Seqs!$A:$B,2,0),AO459,1),"")</f>
        <v>S</v>
      </c>
      <c r="AO459" s="3">
        <v>438</v>
      </c>
      <c r="AP459" s="3" t="str">
        <f>IFERROR(MID(VLOOKUP($B459,Seqs!$A:$B,2,0),AQ459,1),"")</f>
        <v>V</v>
      </c>
      <c r="AQ459" s="3">
        <v>494</v>
      </c>
      <c r="AR459" s="3" t="str">
        <f>IFERROR(MID(VLOOKUP($B459,Seqs!$A:$B,2,0),AS459,1),"")</f>
        <v>L</v>
      </c>
      <c r="AS459" s="3">
        <v>516</v>
      </c>
      <c r="AT459" s="3" t="str">
        <f>IFERROR(MID(VLOOKUP($B459,Seqs!$A:$B,2,0),AU459,1),"")</f>
        <v>W</v>
      </c>
      <c r="AU459" s="3">
        <v>537</v>
      </c>
      <c r="AV459" s="3" t="str">
        <f>IFERROR(MID(VLOOKUP($B459,Seqs!$A:$B,2,0),AW459,1),"")</f>
        <v>A</v>
      </c>
      <c r="AW459" s="3">
        <v>540</v>
      </c>
      <c r="AX459" s="3" t="str">
        <f>IFERROR(MID(VLOOKUP($B459,Seqs!$A:$B,2,0),AY459,1),"")</f>
        <v>L</v>
      </c>
      <c r="AY459" s="3">
        <v>552</v>
      </c>
      <c r="AZ459" s="78" t="str">
        <f>VLOOKUP(B459,Classification!A:D,2,0)</f>
        <v>F</v>
      </c>
      <c r="BA459" s="94" t="str">
        <f>VLOOKUP(B459,Classification!A:D,4,0)</f>
        <v>Frizzled</v>
      </c>
      <c r="BB459" s="92" t="b">
        <f t="shared" si="4026"/>
        <v>1</v>
      </c>
      <c r="BC459" s="23">
        <f t="shared" si="4027"/>
        <v>232</v>
      </c>
      <c r="BD459" s="74" t="s">
        <v>1375</v>
      </c>
      <c r="BE459" s="3" t="s">
        <v>1291</v>
      </c>
      <c r="BF459" s="118">
        <v>3.84</v>
      </c>
      <c r="BG459" s="49" t="s">
        <v>1422</v>
      </c>
      <c r="BH459" s="49" t="s">
        <v>1422</v>
      </c>
      <c r="BJ459" s="75" t="s">
        <v>1287</v>
      </c>
      <c r="BK459" s="57" t="s">
        <v>1287</v>
      </c>
      <c r="BL459" s="57" t="s">
        <v>1287</v>
      </c>
      <c r="BM459" s="57" t="s">
        <v>1287</v>
      </c>
      <c r="BN459" s="57" t="s">
        <v>1287</v>
      </c>
      <c r="BO459" s="57" t="s">
        <v>1287</v>
      </c>
      <c r="BP459" s="57" t="s">
        <v>1287</v>
      </c>
      <c r="BQ459" s="57" t="s">
        <v>1287</v>
      </c>
      <c r="BR459" s="57" t="s">
        <v>1287</v>
      </c>
      <c r="BS459" s="57" t="s">
        <v>1287</v>
      </c>
      <c r="BT459" s="57" t="s">
        <v>1287</v>
      </c>
      <c r="BU459" s="57" t="s">
        <v>1287</v>
      </c>
      <c r="BV459" s="75">
        <f t="shared" si="4028"/>
        <v>223</v>
      </c>
      <c r="BW459" s="71">
        <f t="shared" si="4029"/>
        <v>256</v>
      </c>
      <c r="BX459" s="72">
        <f t="shared" si="4030"/>
        <v>263</v>
      </c>
      <c r="BY459" s="71" t="str">
        <f t="shared" si="4031"/>
        <v>-</v>
      </c>
      <c r="BZ459" s="72">
        <f t="shared" si="4032"/>
        <v>314</v>
      </c>
      <c r="CA459" s="71" t="str">
        <f t="shared" si="4033"/>
        <v>-</v>
      </c>
      <c r="CB459" s="72">
        <f t="shared" si="4034"/>
        <v>356</v>
      </c>
      <c r="CC459" s="71">
        <f t="shared" si="4035"/>
        <v>390</v>
      </c>
      <c r="CD459" s="72">
        <f t="shared" si="4036"/>
        <v>406</v>
      </c>
      <c r="CE459" s="71">
        <f t="shared" si="4037"/>
        <v>438</v>
      </c>
      <c r="CF459" s="72">
        <f t="shared" si="4038"/>
        <v>516</v>
      </c>
      <c r="CG459" s="71">
        <f t="shared" si="4039"/>
        <v>540</v>
      </c>
      <c r="CH459" s="75">
        <f t="shared" si="4040"/>
        <v>255</v>
      </c>
      <c r="CI459" s="71">
        <f t="shared" si="4041"/>
        <v>260</v>
      </c>
      <c r="CJ459" s="72">
        <f t="shared" si="4042"/>
        <v>283</v>
      </c>
      <c r="CK459" s="72" t="str">
        <f t="shared" si="4043"/>
        <v>-</v>
      </c>
      <c r="CL459" s="72">
        <f t="shared" si="4044"/>
        <v>345</v>
      </c>
      <c r="CM459" s="72" t="str">
        <f t="shared" si="4045"/>
        <v>-</v>
      </c>
      <c r="CN459" s="72">
        <f t="shared" si="4046"/>
        <v>376</v>
      </c>
      <c r="CO459" s="72">
        <f t="shared" si="4047"/>
        <v>392</v>
      </c>
      <c r="CP459" s="72">
        <f t="shared" si="4048"/>
        <v>428</v>
      </c>
      <c r="CQ459" s="72">
        <f t="shared" si="4049"/>
        <v>494</v>
      </c>
      <c r="CR459" s="72">
        <f t="shared" si="4050"/>
        <v>537</v>
      </c>
      <c r="CS459" s="72">
        <f t="shared" si="4051"/>
        <v>552</v>
      </c>
      <c r="CT459" s="23">
        <f t="shared" si="4052"/>
        <v>3</v>
      </c>
    </row>
    <row r="460" spans="1:1030" s="12" customFormat="1" x14ac:dyDescent="0.2">
      <c r="A460" s="9" t="str">
        <f t="shared" ref="A460:A461" si="4053">CONCATENATE(B460,"_",C460)</f>
        <v>smo_mouse__wt</v>
      </c>
      <c r="B460" s="9" t="s">
        <v>1594</v>
      </c>
      <c r="C460" s="9" t="s">
        <v>100</v>
      </c>
      <c r="D460" s="9" t="str">
        <f>IFERROR(MID(VLOOKUP($B460,Seqs!$A:$B,2,0),E460,1),"")</f>
        <v>T</v>
      </c>
      <c r="E460" s="9">
        <v>227</v>
      </c>
      <c r="F460" s="9" t="str">
        <f>IFERROR(MID(VLOOKUP($B460,Seqs!$A:$B,2,0),G460,1),"")</f>
        <v>D</v>
      </c>
      <c r="G460" s="9">
        <v>259</v>
      </c>
      <c r="H460" s="9" t="str">
        <f>IFERROR(MID(VLOOKUP($B460,Seqs!$A:$B,2,0),I460,1),"")</f>
        <v>W</v>
      </c>
      <c r="I460" s="109">
        <v>260</v>
      </c>
      <c r="J460" s="9" t="str">
        <f>IFERROR(MID(VLOOKUP($B460,Seqs!$A:$B,2,0),K460,1),"")</f>
        <v>N</v>
      </c>
      <c r="K460" s="109">
        <v>264</v>
      </c>
      <c r="L460" s="9" t="str">
        <f>IFERROR(MID(VLOOKUP($B460,Seqs!$A:$B,2,0),M460,1),"")</f>
        <v>R</v>
      </c>
      <c r="M460" s="9">
        <v>265</v>
      </c>
      <c r="N460" s="9" t="str">
        <f>IFERROR(MID(VLOOKUP($B460,Seqs!$A:$B,2,0),O460,1),"")</f>
        <v>F</v>
      </c>
      <c r="O460" s="9">
        <v>289</v>
      </c>
      <c r="P460" s="9" t="str">
        <f>IFERROR(MID(VLOOKUP($B460,Seqs!$A:$B,2,0),Q460,1),"")</f>
        <v/>
      </c>
      <c r="Q460" s="9" t="s">
        <v>23</v>
      </c>
      <c r="R460" s="9" t="str">
        <f>IFERROR(MID(VLOOKUP($B460,Seqs!$A:$B,2,0),S460,1),"")</f>
        <v/>
      </c>
      <c r="S460" s="9" t="s">
        <v>23</v>
      </c>
      <c r="T460" s="9" t="str">
        <f>IFERROR(MID(VLOOKUP($B460,Seqs!$A:$B,2,0),U460,1),"")</f>
        <v>L</v>
      </c>
      <c r="U460" s="9">
        <v>316</v>
      </c>
      <c r="V460" s="9" t="str">
        <f>IFERROR(MID(VLOOKUP($B460,Seqs!$A:$B,2,0),W460,1),"")</f>
        <v>A</v>
      </c>
      <c r="W460" s="9">
        <v>349</v>
      </c>
      <c r="X460" s="9" t="str">
        <f>IFERROR(MID(VLOOKUP($B460,Seqs!$A:$B,2,0),Y460,1),"")</f>
        <v/>
      </c>
      <c r="Y460" s="9" t="s">
        <v>23</v>
      </c>
      <c r="Z460" s="9" t="str">
        <f>IFERROR(MID(VLOOKUP($B460,Seqs!$A:$B,2,0),AA460,1),"")</f>
        <v/>
      </c>
      <c r="AA460" s="9" t="s">
        <v>23</v>
      </c>
      <c r="AB460" s="9" t="str">
        <f>IFERROR(MID(VLOOKUP($B460,Seqs!$A:$B,2,0),AC460,1),"")</f>
        <v>K</v>
      </c>
      <c r="AC460" s="9">
        <v>360</v>
      </c>
      <c r="AD460" s="9" t="str">
        <f>IFERROR(MID(VLOOKUP($B460,Seqs!$A:$B,2,0),AE460,1),"")</f>
        <v>A</v>
      </c>
      <c r="AE460" s="9">
        <v>383</v>
      </c>
      <c r="AF460" s="9" t="str">
        <f>IFERROR(MID(VLOOKUP($B460,Seqs!$A:$B,2,0),AG460,1),"")</f>
        <v>C</v>
      </c>
      <c r="AG460" s="9">
        <v>394</v>
      </c>
      <c r="AH460" s="9" t="str">
        <f>IFERROR(MID(VLOOKUP($B460,Seqs!$A:$B,2,0),AI460,1),"")</f>
        <v>V</v>
      </c>
      <c r="AI460" s="9">
        <v>396</v>
      </c>
      <c r="AJ460" s="9" t="str">
        <f>IFERROR(MID(VLOOKUP($B460,Seqs!$A:$B,2,0),AK460,1),"")</f>
        <v>N</v>
      </c>
      <c r="AK460" s="9">
        <v>400</v>
      </c>
      <c r="AL460" s="9" t="str">
        <f>IFERROR(MID(VLOOKUP($B460,Seqs!$A:$B,2,0),AM460,1),"")</f>
        <v>H</v>
      </c>
      <c r="AM460" s="9">
        <v>437</v>
      </c>
      <c r="AN460" s="9" t="str">
        <f>IFERROR(MID(VLOOKUP($B460,Seqs!$A:$B,2,0),AO460,1),"")</f>
        <v>S</v>
      </c>
      <c r="AO460" s="9">
        <v>442</v>
      </c>
      <c r="AP460" s="9" t="str">
        <f>IFERROR(MID(VLOOKUP($B460,Seqs!$A:$B,2,0),AQ460,1),"")</f>
        <v>I</v>
      </c>
      <c r="AQ460" s="9">
        <v>500</v>
      </c>
      <c r="AR460" s="9" t="str">
        <f>IFERROR(MID(VLOOKUP($B460,Seqs!$A:$B,2,0),AS460,1),"")</f>
        <v>S</v>
      </c>
      <c r="AS460" s="9">
        <v>518</v>
      </c>
      <c r="AT460" s="9" t="str">
        <f>IFERROR(MID(VLOOKUP($B460,Seqs!$A:$B,2,0),AU460,1),"")</f>
        <v>W</v>
      </c>
      <c r="AU460" s="9">
        <v>541</v>
      </c>
      <c r="AV460" s="9" t="str">
        <f>IFERROR(MID(VLOOKUP($B460,Seqs!$A:$B,2,0),AW460,1),"")</f>
        <v>T</v>
      </c>
      <c r="AW460" s="9">
        <v>542</v>
      </c>
      <c r="AX460" s="9" t="str">
        <f>IFERROR(MID(VLOOKUP($B460,Seqs!$A:$B,2,0),AY460,1),"")</f>
        <v>T</v>
      </c>
      <c r="AY460" s="9">
        <v>557</v>
      </c>
      <c r="AZ460" s="134" t="str">
        <f>VLOOKUP(B460,Classification!A:D,2,0)</f>
        <v>F</v>
      </c>
      <c r="BA460" s="98" t="str">
        <f>VLOOKUP(B460,Classification!A:D,4,0)</f>
        <v>Frizzled</v>
      </c>
      <c r="BB460" s="135" t="b">
        <f t="shared" ref="BB460:BB461" si="4054">AND(E460&lt;G460,OR(G460&lt;I460,I460="-"),OR(I460&lt;K460,I460="-"),OR(K460&lt;M460,K460="-"),M460&lt;O460,OR(O460&lt;Q460,Q460="-"),OR(Q460&lt;S460,Q460="-"),OR(S460&lt;U460,S460="-"),U460&lt;W460,OR(W460&lt;Y460,Y460="-"),OR(Y460&lt;AA460,Y460="-"),OR(AA460&lt;AC460,AA460="-"),AC460&lt;AE460,OR(AE460&lt;AG460,AG460="-"),OR(AG460&lt;AI460,AG460="-"),OR(AI460&lt;AK460,AI460="-"),AK460&lt;AM460,AM460&lt;AO460,AO460&lt;AQ460,AQ460&lt;AS460,AS460&lt;AU460,OR(AU460&lt;AW460,AW460="-"),OR(AW460&lt;AY460,AW460="-"))</f>
        <v>1</v>
      </c>
      <c r="BC460" s="109">
        <f t="shared" ref="BC460:BC461" si="4055">_xlfn.AGGREGATE(9,6,CH460:CS460)-_xlfn.AGGREGATE(9,6,BV460:CG460)+12</f>
        <v>263</v>
      </c>
      <c r="BD460" s="123" t="s">
        <v>23</v>
      </c>
      <c r="BE460" s="9" t="s">
        <v>1291</v>
      </c>
      <c r="BF460" s="119">
        <v>4.84</v>
      </c>
      <c r="BG460" s="51" t="s">
        <v>1422</v>
      </c>
      <c r="BH460" s="51" t="s">
        <v>1422</v>
      </c>
      <c r="BI460" s="9"/>
      <c r="BJ460" s="136" t="s">
        <v>1287</v>
      </c>
      <c r="BK460" s="112" t="s">
        <v>1287</v>
      </c>
      <c r="BL460" s="112" t="s">
        <v>1287</v>
      </c>
      <c r="BM460" s="112" t="s">
        <v>1287</v>
      </c>
      <c r="BN460" s="112" t="s">
        <v>1287</v>
      </c>
      <c r="BO460" s="112" t="s">
        <v>1287</v>
      </c>
      <c r="BP460" s="112" t="s">
        <v>1287</v>
      </c>
      <c r="BQ460" s="112" t="s">
        <v>1287</v>
      </c>
      <c r="BR460" s="112" t="s">
        <v>1287</v>
      </c>
      <c r="BS460" s="112" t="s">
        <v>1287</v>
      </c>
      <c r="BT460" s="112" t="s">
        <v>1287</v>
      </c>
      <c r="BU460" s="112" t="s">
        <v>1287</v>
      </c>
      <c r="BV460" s="136">
        <f t="shared" ref="BV460:BV461" si="4056">E460</f>
        <v>227</v>
      </c>
      <c r="BW460" s="113">
        <f t="shared" ref="BW460:BW461" si="4057">I460</f>
        <v>260</v>
      </c>
      <c r="BX460" s="114">
        <f t="shared" ref="BX460:BX461" si="4058">M460</f>
        <v>265</v>
      </c>
      <c r="BY460" s="113" t="str">
        <f t="shared" ref="BY460:BY461" si="4059">Q460</f>
        <v>-</v>
      </c>
      <c r="BZ460" s="114">
        <f t="shared" ref="BZ460:BZ461" si="4060">U460</f>
        <v>316</v>
      </c>
      <c r="CA460" s="113" t="str">
        <f t="shared" ref="CA460:CA461" si="4061">Y460</f>
        <v>-</v>
      </c>
      <c r="CB460" s="114">
        <f t="shared" ref="CB460:CB461" si="4062">AC460</f>
        <v>360</v>
      </c>
      <c r="CC460" s="113">
        <f t="shared" ref="CC460:CC461" si="4063">AG460</f>
        <v>394</v>
      </c>
      <c r="CD460" s="114">
        <f t="shared" ref="CD460:CD461" si="4064">AK460</f>
        <v>400</v>
      </c>
      <c r="CE460" s="113">
        <f t="shared" ref="CE460:CE461" si="4065">AO460</f>
        <v>442</v>
      </c>
      <c r="CF460" s="114">
        <f t="shared" ref="CF460:CF461" si="4066">AS460</f>
        <v>518</v>
      </c>
      <c r="CG460" s="113">
        <f t="shared" ref="CG460:CG461" si="4067">AW460</f>
        <v>542</v>
      </c>
      <c r="CH460" s="136">
        <f t="shared" ref="CH460:CH461" si="4068">G460</f>
        <v>259</v>
      </c>
      <c r="CI460" s="113">
        <f t="shared" ref="CI460:CI461" si="4069">K460</f>
        <v>264</v>
      </c>
      <c r="CJ460" s="114">
        <f t="shared" ref="CJ460:CJ461" si="4070">O460</f>
        <v>289</v>
      </c>
      <c r="CK460" s="114" t="str">
        <f t="shared" ref="CK460:CK461" si="4071">S460</f>
        <v>-</v>
      </c>
      <c r="CL460" s="114">
        <f t="shared" ref="CL460:CL461" si="4072">W460</f>
        <v>349</v>
      </c>
      <c r="CM460" s="114" t="str">
        <f t="shared" ref="CM460:CM461" si="4073">AA460</f>
        <v>-</v>
      </c>
      <c r="CN460" s="114">
        <f t="shared" ref="CN460:CN461" si="4074">AE460</f>
        <v>383</v>
      </c>
      <c r="CO460" s="114">
        <f t="shared" ref="CO460:CO461" si="4075">AI460</f>
        <v>396</v>
      </c>
      <c r="CP460" s="114">
        <f t="shared" ref="CP460:CP461" si="4076">AM460</f>
        <v>437</v>
      </c>
      <c r="CQ460" s="114">
        <f t="shared" ref="CQ460:CQ461" si="4077">AQ460</f>
        <v>500</v>
      </c>
      <c r="CR460" s="114">
        <f t="shared" ref="CR460:CR461" si="4078">AU460</f>
        <v>541</v>
      </c>
      <c r="CS460" s="114">
        <f t="shared" ref="CS460:CS461" si="4079">AY460</f>
        <v>557</v>
      </c>
      <c r="CT460" s="109">
        <f t="shared" ref="CT460:CT461" si="4080">M460-K460</f>
        <v>1</v>
      </c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  <c r="HO460" s="9"/>
      <c r="HP460" s="9"/>
      <c r="HQ460" s="9"/>
      <c r="HR460" s="9"/>
      <c r="HS460" s="9"/>
      <c r="HT460" s="9"/>
      <c r="HU460" s="9"/>
      <c r="HV460" s="9"/>
      <c r="HW460" s="9"/>
      <c r="HX460" s="9"/>
      <c r="HY460" s="9"/>
      <c r="HZ460" s="9"/>
      <c r="IA460" s="9"/>
      <c r="IB460" s="9"/>
      <c r="IC460" s="9"/>
      <c r="ID460" s="9"/>
      <c r="IE460" s="9"/>
      <c r="IF460" s="9"/>
      <c r="IG460" s="9"/>
      <c r="IH460" s="9"/>
      <c r="II460" s="9"/>
      <c r="IJ460" s="9"/>
      <c r="IK460" s="9"/>
      <c r="IL460" s="9"/>
      <c r="IM460" s="9"/>
      <c r="IN460" s="9"/>
      <c r="IO460" s="9"/>
      <c r="IP460" s="9"/>
      <c r="IQ460" s="9"/>
      <c r="IR460" s="9"/>
      <c r="IS460" s="9"/>
      <c r="IT460" s="9"/>
      <c r="IU460" s="9"/>
      <c r="IV460" s="9"/>
      <c r="IW460" s="9"/>
      <c r="IX460" s="9"/>
      <c r="IY460" s="9"/>
      <c r="IZ460" s="9"/>
      <c r="JA460" s="9"/>
      <c r="JB460" s="9"/>
      <c r="JC460" s="9"/>
      <c r="JD460" s="9"/>
      <c r="JE460" s="9"/>
      <c r="JF460" s="9"/>
      <c r="JG460" s="9"/>
      <c r="JH460" s="9"/>
      <c r="JI460" s="9"/>
      <c r="JJ460" s="9"/>
      <c r="JK460" s="9"/>
      <c r="JL460" s="9"/>
      <c r="JM460" s="9"/>
      <c r="JN460" s="9"/>
      <c r="JO460" s="9"/>
      <c r="JP460" s="9"/>
      <c r="JQ460" s="9"/>
      <c r="JR460" s="9"/>
      <c r="JS460" s="9"/>
      <c r="JT460" s="9"/>
      <c r="JU460" s="9"/>
      <c r="JV460" s="9"/>
      <c r="JW460" s="9"/>
      <c r="JX460" s="9"/>
      <c r="JY460" s="9"/>
      <c r="JZ460" s="9"/>
      <c r="KA460" s="9"/>
      <c r="KB460" s="9"/>
      <c r="KC460" s="9"/>
      <c r="KD460" s="9"/>
      <c r="KE460" s="9"/>
      <c r="KF460" s="9"/>
      <c r="KG460" s="9"/>
      <c r="KH460" s="9"/>
      <c r="KI460" s="9"/>
      <c r="KJ460" s="9"/>
      <c r="KK460" s="9"/>
      <c r="KL460" s="9"/>
      <c r="KM460" s="9"/>
      <c r="KN460" s="9"/>
      <c r="KO460" s="9"/>
      <c r="KP460" s="9"/>
      <c r="KQ460" s="9"/>
      <c r="KR460" s="9"/>
      <c r="KS460" s="9"/>
      <c r="KT460" s="9"/>
      <c r="KU460" s="9"/>
      <c r="KV460" s="9"/>
      <c r="KW460" s="9"/>
      <c r="KX460" s="9"/>
      <c r="KY460" s="9"/>
      <c r="KZ460" s="9"/>
      <c r="LA460" s="9"/>
      <c r="LB460" s="9"/>
      <c r="LC460" s="9"/>
      <c r="LD460" s="9"/>
      <c r="LE460" s="9"/>
      <c r="LF460" s="9"/>
      <c r="LG460" s="9"/>
      <c r="LH460" s="9"/>
      <c r="LI460" s="9"/>
      <c r="LJ460" s="9"/>
      <c r="LK460" s="9"/>
      <c r="LL460" s="9"/>
      <c r="LM460" s="9"/>
      <c r="LN460" s="9"/>
      <c r="LO460" s="9"/>
      <c r="LP460" s="9"/>
      <c r="LQ460" s="9"/>
      <c r="LR460" s="9"/>
      <c r="LS460" s="9"/>
      <c r="LT460" s="9"/>
      <c r="LU460" s="9"/>
      <c r="LV460" s="9"/>
      <c r="LW460" s="9"/>
      <c r="LX460" s="9"/>
      <c r="LY460" s="9"/>
      <c r="LZ460" s="9"/>
      <c r="MA460" s="9"/>
      <c r="MB460" s="9"/>
      <c r="MC460" s="9"/>
      <c r="MD460" s="9"/>
      <c r="ME460" s="9"/>
      <c r="MF460" s="9"/>
      <c r="MG460" s="9"/>
      <c r="MH460" s="9"/>
      <c r="MI460" s="9"/>
      <c r="MJ460" s="9"/>
      <c r="MK460" s="9"/>
      <c r="ML460" s="9"/>
      <c r="MM460" s="9"/>
      <c r="MN460" s="9"/>
      <c r="MO460" s="9"/>
      <c r="MP460" s="9"/>
      <c r="MQ460" s="9"/>
      <c r="MR460" s="9"/>
      <c r="MS460" s="9"/>
      <c r="MT460" s="9"/>
      <c r="MU460" s="9"/>
      <c r="MV460" s="9"/>
      <c r="MW460" s="9"/>
      <c r="MX460" s="9"/>
      <c r="MY460" s="9"/>
      <c r="MZ460" s="9"/>
      <c r="NA460" s="9"/>
      <c r="NB460" s="9"/>
      <c r="NC460" s="9"/>
      <c r="ND460" s="9"/>
      <c r="NE460" s="9"/>
      <c r="NF460" s="9"/>
      <c r="NG460" s="9"/>
      <c r="NH460" s="9"/>
      <c r="NI460" s="9"/>
      <c r="NJ460" s="9"/>
      <c r="NK460" s="9"/>
      <c r="NL460" s="9"/>
      <c r="NM460" s="9"/>
      <c r="NN460" s="9"/>
      <c r="NO460" s="9"/>
      <c r="NP460" s="9"/>
      <c r="NQ460" s="9"/>
      <c r="NR460" s="9"/>
      <c r="NS460" s="9"/>
      <c r="NT460" s="9"/>
      <c r="NU460" s="9"/>
      <c r="NV460" s="9"/>
      <c r="NW460" s="9"/>
      <c r="NX460" s="9"/>
      <c r="NY460" s="9"/>
      <c r="NZ460" s="9"/>
      <c r="OA460" s="9"/>
      <c r="OB460" s="9"/>
      <c r="OC460" s="9"/>
      <c r="OD460" s="9"/>
      <c r="OE460" s="9"/>
      <c r="OF460" s="9"/>
      <c r="OG460" s="9"/>
      <c r="OH460" s="9"/>
      <c r="OI460" s="9"/>
      <c r="OJ460" s="9"/>
      <c r="OK460" s="9"/>
      <c r="OL460" s="9"/>
      <c r="OM460" s="9"/>
      <c r="ON460" s="9"/>
      <c r="OO460" s="9"/>
      <c r="OP460" s="9"/>
      <c r="OQ460" s="9"/>
      <c r="OR460" s="9"/>
      <c r="OS460" s="9"/>
      <c r="OT460" s="9"/>
      <c r="OU460" s="9"/>
      <c r="OV460" s="9"/>
      <c r="OW460" s="9"/>
      <c r="OX460" s="9"/>
      <c r="OY460" s="9"/>
      <c r="OZ460" s="9"/>
      <c r="PA460" s="9"/>
      <c r="PB460" s="9"/>
      <c r="PC460" s="9"/>
      <c r="PD460" s="9"/>
      <c r="PE460" s="9"/>
      <c r="PF460" s="9"/>
      <c r="PG460" s="9"/>
      <c r="PH460" s="9"/>
      <c r="PI460" s="9"/>
      <c r="PJ460" s="9"/>
      <c r="PK460" s="9"/>
      <c r="PL460" s="9"/>
      <c r="PM460" s="9"/>
      <c r="PN460" s="9"/>
      <c r="PO460" s="9"/>
      <c r="PP460" s="9"/>
      <c r="PQ460" s="9"/>
      <c r="PR460" s="9"/>
      <c r="PS460" s="9"/>
      <c r="PT460" s="9"/>
      <c r="PU460" s="9"/>
      <c r="PV460" s="9"/>
      <c r="PW460" s="9"/>
      <c r="PX460" s="9"/>
      <c r="PY460" s="9"/>
      <c r="PZ460" s="9"/>
      <c r="QA460" s="9"/>
      <c r="QB460" s="9"/>
      <c r="QC460" s="9"/>
      <c r="QD460" s="9"/>
      <c r="QE460" s="9"/>
      <c r="QF460" s="9"/>
      <c r="QG460" s="9"/>
      <c r="QH460" s="9"/>
      <c r="QI460" s="9"/>
      <c r="QJ460" s="9"/>
      <c r="QK460" s="9"/>
      <c r="QL460" s="9"/>
      <c r="QM460" s="9"/>
      <c r="QN460" s="9"/>
      <c r="QO460" s="9"/>
      <c r="QP460" s="9"/>
      <c r="QQ460" s="9"/>
      <c r="QR460" s="9"/>
      <c r="QS460" s="9"/>
      <c r="QT460" s="9"/>
      <c r="QU460" s="9"/>
      <c r="QV460" s="9"/>
      <c r="QW460" s="9"/>
      <c r="QX460" s="9"/>
      <c r="QY460" s="9"/>
      <c r="QZ460" s="9"/>
      <c r="RA460" s="9"/>
      <c r="RB460" s="9"/>
      <c r="RC460" s="9"/>
      <c r="RD460" s="9"/>
      <c r="RE460" s="9"/>
      <c r="RF460" s="9"/>
      <c r="RG460" s="9"/>
      <c r="RH460" s="9"/>
      <c r="RI460" s="9"/>
      <c r="RJ460" s="9"/>
      <c r="RK460" s="9"/>
      <c r="RL460" s="9"/>
      <c r="RM460" s="9"/>
      <c r="RN460" s="9"/>
      <c r="RO460" s="9"/>
      <c r="RP460" s="9"/>
      <c r="RQ460" s="9"/>
      <c r="RR460" s="9"/>
      <c r="RS460" s="9"/>
      <c r="RT460" s="9"/>
      <c r="RU460" s="9"/>
      <c r="RV460" s="9"/>
      <c r="RW460" s="9"/>
      <c r="RX460" s="9"/>
      <c r="RY460" s="9"/>
      <c r="RZ460" s="9"/>
      <c r="SA460" s="9"/>
      <c r="SB460" s="9"/>
      <c r="SC460" s="9"/>
      <c r="SD460" s="9"/>
      <c r="SE460" s="9"/>
      <c r="SF460" s="9"/>
      <c r="SG460" s="9"/>
      <c r="SH460" s="9"/>
      <c r="SI460" s="9"/>
      <c r="SJ460" s="9"/>
      <c r="SK460" s="9"/>
      <c r="SL460" s="9"/>
      <c r="SM460" s="9"/>
      <c r="SN460" s="9"/>
      <c r="SO460" s="9"/>
      <c r="SP460" s="9"/>
      <c r="SQ460" s="9"/>
      <c r="SR460" s="9"/>
      <c r="SS460" s="9"/>
      <c r="ST460" s="9"/>
      <c r="SU460" s="9"/>
      <c r="SV460" s="9"/>
      <c r="SW460" s="9"/>
      <c r="SX460" s="9"/>
      <c r="SY460" s="9"/>
      <c r="SZ460" s="9"/>
      <c r="TA460" s="9"/>
      <c r="TB460" s="9"/>
      <c r="TC460" s="9"/>
      <c r="TD460" s="9"/>
      <c r="TE460" s="9"/>
      <c r="TF460" s="9"/>
      <c r="TG460" s="9"/>
      <c r="TH460" s="9"/>
      <c r="TI460" s="9"/>
      <c r="TJ460" s="9"/>
      <c r="TK460" s="9"/>
      <c r="TL460" s="9"/>
      <c r="TM460" s="9"/>
      <c r="TN460" s="9"/>
      <c r="TO460" s="9"/>
      <c r="TP460" s="9"/>
      <c r="TQ460" s="9"/>
      <c r="TR460" s="9"/>
      <c r="TS460" s="9"/>
      <c r="TT460" s="9"/>
      <c r="TU460" s="9"/>
      <c r="TV460" s="9"/>
      <c r="TW460" s="9"/>
      <c r="TX460" s="9"/>
      <c r="TY460" s="9"/>
      <c r="TZ460" s="9"/>
      <c r="UA460" s="9"/>
      <c r="UB460" s="9"/>
      <c r="UC460" s="9"/>
      <c r="UD460" s="9"/>
      <c r="UE460" s="9"/>
      <c r="UF460" s="9"/>
      <c r="UG460" s="9"/>
      <c r="UH460" s="9"/>
      <c r="UI460" s="9"/>
      <c r="UJ460" s="9"/>
      <c r="UK460" s="9"/>
      <c r="UL460" s="9"/>
      <c r="UM460" s="9"/>
      <c r="UN460" s="9"/>
      <c r="UO460" s="9"/>
      <c r="UP460" s="9"/>
      <c r="UQ460" s="9"/>
      <c r="UR460" s="9"/>
      <c r="US460" s="9"/>
      <c r="UT460" s="9"/>
      <c r="UU460" s="9"/>
      <c r="UV460" s="9"/>
      <c r="UW460" s="9"/>
      <c r="UX460" s="9"/>
      <c r="UY460" s="9"/>
      <c r="UZ460" s="9"/>
      <c r="VA460" s="9"/>
      <c r="VB460" s="9"/>
      <c r="VC460" s="9"/>
      <c r="VD460" s="9"/>
      <c r="VE460" s="9"/>
      <c r="VF460" s="9"/>
      <c r="VG460" s="9"/>
      <c r="VH460" s="9"/>
      <c r="VI460" s="9"/>
      <c r="VJ460" s="9"/>
      <c r="VK460" s="9"/>
      <c r="VL460" s="9"/>
      <c r="VM460" s="9"/>
      <c r="VN460" s="9"/>
      <c r="VO460" s="9"/>
      <c r="VP460" s="9"/>
      <c r="VQ460" s="9"/>
      <c r="VR460" s="9"/>
      <c r="VS460" s="9"/>
      <c r="VT460" s="9"/>
      <c r="VU460" s="9"/>
      <c r="VV460" s="9"/>
      <c r="VW460" s="9"/>
      <c r="VX460" s="9"/>
      <c r="VY460" s="9"/>
      <c r="VZ460" s="9"/>
      <c r="WA460" s="9"/>
      <c r="WB460" s="9"/>
      <c r="WC460" s="9"/>
      <c r="WD460" s="9"/>
      <c r="WE460" s="9"/>
      <c r="WF460" s="9"/>
      <c r="WG460" s="9"/>
      <c r="WH460" s="9"/>
      <c r="WI460" s="9"/>
      <c r="WJ460" s="9"/>
      <c r="WK460" s="9"/>
      <c r="WL460" s="9"/>
      <c r="WM460" s="9"/>
      <c r="WN460" s="9"/>
      <c r="WO460" s="9"/>
      <c r="WP460" s="9"/>
      <c r="WQ460" s="9"/>
      <c r="WR460" s="9"/>
      <c r="WS460" s="9"/>
      <c r="WT460" s="9"/>
      <c r="WU460" s="9"/>
      <c r="WV460" s="9"/>
      <c r="WW460" s="9"/>
      <c r="WX460" s="9"/>
      <c r="WY460" s="9"/>
      <c r="WZ460" s="9"/>
      <c r="XA460" s="9"/>
      <c r="XB460" s="9"/>
      <c r="XC460" s="9"/>
      <c r="XD460" s="9"/>
      <c r="XE460" s="9"/>
      <c r="XF460" s="9"/>
      <c r="XG460" s="9"/>
      <c r="XH460" s="9"/>
      <c r="XI460" s="9"/>
      <c r="XJ460" s="9"/>
      <c r="XK460" s="9"/>
      <c r="XL460" s="9"/>
      <c r="XM460" s="9"/>
      <c r="XN460" s="9"/>
      <c r="XO460" s="9"/>
      <c r="XP460" s="9"/>
      <c r="XQ460" s="9"/>
      <c r="XR460" s="9"/>
      <c r="XS460" s="9"/>
      <c r="XT460" s="9"/>
      <c r="XU460" s="9"/>
      <c r="XV460" s="9"/>
      <c r="XW460" s="9"/>
      <c r="XX460" s="9"/>
      <c r="XY460" s="9"/>
      <c r="XZ460" s="9"/>
      <c r="YA460" s="9"/>
      <c r="YB460" s="9"/>
      <c r="YC460" s="9"/>
      <c r="YD460" s="9"/>
      <c r="YE460" s="9"/>
      <c r="YF460" s="9"/>
      <c r="YG460" s="9"/>
      <c r="YH460" s="9"/>
      <c r="YI460" s="9"/>
      <c r="YJ460" s="9"/>
      <c r="YK460" s="9"/>
      <c r="YL460" s="9"/>
      <c r="YM460" s="9"/>
      <c r="YN460" s="9"/>
      <c r="YO460" s="9"/>
      <c r="YP460" s="9"/>
      <c r="YQ460" s="9"/>
      <c r="YR460" s="9"/>
      <c r="YS460" s="9"/>
      <c r="YT460" s="9"/>
      <c r="YU460" s="9"/>
      <c r="YV460" s="9"/>
      <c r="YW460" s="9"/>
      <c r="YX460" s="9"/>
      <c r="YY460" s="9"/>
      <c r="YZ460" s="9"/>
      <c r="ZA460" s="9"/>
      <c r="ZB460" s="9"/>
      <c r="ZC460" s="9"/>
      <c r="ZD460" s="9"/>
      <c r="ZE460" s="9"/>
      <c r="ZF460" s="9"/>
      <c r="ZG460" s="9"/>
      <c r="ZH460" s="9"/>
      <c r="ZI460" s="9"/>
      <c r="ZJ460" s="9"/>
      <c r="ZK460" s="9"/>
      <c r="ZL460" s="9"/>
      <c r="ZM460" s="9"/>
      <c r="ZN460" s="9"/>
      <c r="ZO460" s="9"/>
      <c r="ZP460" s="9"/>
      <c r="ZQ460" s="9"/>
      <c r="ZR460" s="9"/>
      <c r="ZS460" s="9"/>
      <c r="ZT460" s="9"/>
      <c r="ZU460" s="9"/>
      <c r="ZV460" s="9"/>
      <c r="ZW460" s="9"/>
      <c r="ZX460" s="9"/>
      <c r="ZY460" s="9"/>
      <c r="ZZ460" s="9"/>
      <c r="AAA460" s="9"/>
      <c r="AAB460" s="9"/>
      <c r="AAC460" s="9"/>
      <c r="AAD460" s="9"/>
      <c r="AAE460" s="9"/>
      <c r="AAF460" s="9"/>
      <c r="AAG460" s="9"/>
      <c r="AAH460" s="9"/>
      <c r="AAI460" s="9"/>
      <c r="AAJ460" s="9"/>
      <c r="AAK460" s="9"/>
      <c r="AAL460" s="9"/>
      <c r="AAM460" s="9"/>
      <c r="AAN460" s="9"/>
      <c r="AAO460" s="9"/>
      <c r="AAP460" s="9"/>
      <c r="AAQ460" s="9"/>
      <c r="AAR460" s="9"/>
      <c r="AAS460" s="9"/>
      <c r="AAT460" s="9"/>
      <c r="AAU460" s="9"/>
      <c r="AAV460" s="9"/>
      <c r="AAW460" s="9"/>
      <c r="AAX460" s="9"/>
      <c r="AAY460" s="9"/>
      <c r="AAZ460" s="9"/>
      <c r="ABA460" s="9"/>
      <c r="ABB460" s="9"/>
      <c r="ABC460" s="9"/>
      <c r="ABD460" s="9"/>
      <c r="ABE460" s="9"/>
      <c r="ABF460" s="9"/>
      <c r="ABG460" s="9"/>
      <c r="ABH460" s="9"/>
      <c r="ABI460" s="9"/>
      <c r="ABJ460" s="9"/>
      <c r="ABK460" s="9"/>
      <c r="ABL460" s="9"/>
      <c r="ABM460" s="9"/>
      <c r="ABN460" s="9"/>
      <c r="ABO460" s="9"/>
      <c r="ABP460" s="9"/>
      <c r="ABQ460" s="9"/>
      <c r="ABR460" s="9"/>
      <c r="ABS460" s="9"/>
      <c r="ABT460" s="9"/>
      <c r="ABU460" s="9"/>
      <c r="ABV460" s="9"/>
      <c r="ABW460" s="9"/>
      <c r="ABX460" s="9"/>
      <c r="ABY460" s="9"/>
      <c r="ABZ460" s="9"/>
      <c r="ACA460" s="9"/>
      <c r="ACB460" s="9"/>
      <c r="ACC460" s="9"/>
      <c r="ACD460" s="9"/>
      <c r="ACE460" s="9"/>
      <c r="ACF460" s="9"/>
      <c r="ACG460" s="9"/>
      <c r="ACH460" s="9"/>
      <c r="ACI460" s="9"/>
      <c r="ACJ460" s="9"/>
      <c r="ACK460" s="9"/>
      <c r="ACL460" s="9"/>
      <c r="ACM460" s="9"/>
      <c r="ACN460" s="9"/>
      <c r="ACO460" s="9"/>
      <c r="ACP460" s="9"/>
      <c r="ACQ460" s="9"/>
      <c r="ACR460" s="9"/>
      <c r="ACS460" s="9"/>
      <c r="ACT460" s="9"/>
      <c r="ACU460" s="9"/>
      <c r="ACV460" s="9"/>
      <c r="ACW460" s="9"/>
      <c r="ACX460" s="9"/>
      <c r="ACY460" s="9"/>
      <c r="ACZ460" s="9"/>
      <c r="ADA460" s="9"/>
      <c r="ADB460" s="9"/>
      <c r="ADC460" s="9"/>
      <c r="ADD460" s="9"/>
      <c r="ADE460" s="9"/>
      <c r="ADF460" s="9"/>
      <c r="ADG460" s="9"/>
      <c r="ADH460" s="9"/>
      <c r="ADI460" s="9"/>
      <c r="ADJ460" s="9"/>
      <c r="ADK460" s="9"/>
      <c r="ADL460" s="9"/>
      <c r="ADM460" s="9"/>
      <c r="ADN460" s="9"/>
      <c r="ADO460" s="9"/>
      <c r="ADP460" s="9"/>
      <c r="ADQ460" s="9"/>
      <c r="ADR460" s="9"/>
      <c r="ADS460" s="9"/>
      <c r="ADT460" s="9"/>
      <c r="ADU460" s="9"/>
      <c r="ADV460" s="9"/>
      <c r="ADW460" s="9"/>
      <c r="ADX460" s="9"/>
      <c r="ADY460" s="9"/>
      <c r="ADZ460" s="9"/>
      <c r="AEA460" s="9"/>
      <c r="AEB460" s="9"/>
      <c r="AEC460" s="9"/>
      <c r="AED460" s="9"/>
      <c r="AEE460" s="9"/>
      <c r="AEF460" s="9"/>
      <c r="AEG460" s="9"/>
      <c r="AEH460" s="9"/>
      <c r="AEI460" s="9"/>
      <c r="AEJ460" s="9"/>
      <c r="AEK460" s="9"/>
      <c r="AEL460" s="9"/>
      <c r="AEM460" s="9"/>
      <c r="AEN460" s="9"/>
      <c r="AEO460" s="9"/>
      <c r="AEP460" s="9"/>
      <c r="AEQ460" s="9"/>
      <c r="AER460" s="9"/>
      <c r="AES460" s="9"/>
      <c r="AET460" s="9"/>
      <c r="AEU460" s="9"/>
      <c r="AEV460" s="9"/>
      <c r="AEW460" s="9"/>
      <c r="AEX460" s="9"/>
      <c r="AEY460" s="9"/>
      <c r="AEZ460" s="9"/>
      <c r="AFA460" s="9"/>
      <c r="AFB460" s="9"/>
      <c r="AFC460" s="9"/>
      <c r="AFD460" s="9"/>
      <c r="AFE460" s="9"/>
      <c r="AFF460" s="9"/>
      <c r="AFG460" s="9"/>
      <c r="AFH460" s="9"/>
      <c r="AFI460" s="9"/>
      <c r="AFJ460" s="9"/>
      <c r="AFK460" s="9"/>
      <c r="AFL460" s="9"/>
      <c r="AFM460" s="9"/>
      <c r="AFN460" s="9"/>
      <c r="AFO460" s="9"/>
      <c r="AFP460" s="9"/>
      <c r="AFQ460" s="9"/>
      <c r="AFR460" s="9"/>
      <c r="AFS460" s="9"/>
      <c r="AFT460" s="9"/>
      <c r="AFU460" s="9"/>
      <c r="AFV460" s="9"/>
      <c r="AFW460" s="9"/>
      <c r="AFX460" s="9"/>
      <c r="AFY460" s="9"/>
      <c r="AFZ460" s="9"/>
      <c r="AGA460" s="9"/>
      <c r="AGB460" s="9"/>
      <c r="AGC460" s="9"/>
      <c r="AGD460" s="9"/>
      <c r="AGE460" s="9"/>
      <c r="AGF460" s="9"/>
      <c r="AGG460" s="9"/>
      <c r="AGH460" s="9"/>
      <c r="AGI460" s="9"/>
      <c r="AGJ460" s="9"/>
      <c r="AGK460" s="9"/>
      <c r="AGL460" s="9"/>
      <c r="AGM460" s="9"/>
      <c r="AGN460" s="9"/>
      <c r="AGO460" s="9"/>
      <c r="AGP460" s="9"/>
      <c r="AGQ460" s="9"/>
      <c r="AGR460" s="9"/>
      <c r="AGS460" s="9"/>
      <c r="AGT460" s="9"/>
      <c r="AGU460" s="9"/>
      <c r="AGV460" s="9"/>
      <c r="AGW460" s="9"/>
      <c r="AGX460" s="9"/>
      <c r="AGY460" s="9"/>
      <c r="AGZ460" s="9"/>
      <c r="AHA460" s="9"/>
      <c r="AHB460" s="9"/>
      <c r="AHC460" s="9"/>
      <c r="AHD460" s="9"/>
      <c r="AHE460" s="9"/>
      <c r="AHF460" s="9"/>
      <c r="AHG460" s="9"/>
      <c r="AHH460" s="9"/>
      <c r="AHI460" s="9"/>
      <c r="AHJ460" s="9"/>
      <c r="AHK460" s="9"/>
      <c r="AHL460" s="9"/>
      <c r="AHM460" s="9"/>
      <c r="AHN460" s="9"/>
      <c r="AHO460" s="9"/>
      <c r="AHP460" s="9"/>
      <c r="AHQ460" s="9"/>
      <c r="AHR460" s="9"/>
      <c r="AHS460" s="9"/>
      <c r="AHT460" s="9"/>
      <c r="AHU460" s="9"/>
      <c r="AHV460" s="9"/>
      <c r="AHW460" s="9"/>
      <c r="AHX460" s="9"/>
      <c r="AHY460" s="9"/>
      <c r="AHZ460" s="9"/>
      <c r="AIA460" s="9"/>
      <c r="AIB460" s="9"/>
      <c r="AIC460" s="9"/>
      <c r="AID460" s="9"/>
      <c r="AIE460" s="9"/>
      <c r="AIF460" s="9"/>
      <c r="AIG460" s="9"/>
      <c r="AIH460" s="9"/>
      <c r="AII460" s="9"/>
      <c r="AIJ460" s="9"/>
      <c r="AIK460" s="9"/>
      <c r="AIL460" s="9"/>
      <c r="AIM460" s="9"/>
      <c r="AIN460" s="9"/>
      <c r="AIO460" s="9"/>
      <c r="AIP460" s="9"/>
      <c r="AIQ460" s="9"/>
      <c r="AIR460" s="9"/>
      <c r="AIS460" s="9"/>
      <c r="AIT460" s="9"/>
      <c r="AIU460" s="9"/>
      <c r="AIV460" s="9"/>
      <c r="AIW460" s="9"/>
      <c r="AIX460" s="9"/>
      <c r="AIY460" s="9"/>
      <c r="AIZ460" s="9"/>
      <c r="AJA460" s="9"/>
      <c r="AJB460" s="9"/>
      <c r="AJC460" s="9"/>
      <c r="AJD460" s="9"/>
      <c r="AJE460" s="9"/>
      <c r="AJF460" s="9"/>
      <c r="AJG460" s="9"/>
      <c r="AJH460" s="9"/>
      <c r="AJI460" s="9"/>
      <c r="AJJ460" s="9"/>
      <c r="AJK460" s="9"/>
      <c r="AJL460" s="9"/>
      <c r="AJM460" s="9"/>
      <c r="AJN460" s="9"/>
      <c r="AJO460" s="9"/>
      <c r="AJP460" s="9"/>
      <c r="AJQ460" s="9"/>
      <c r="AJR460" s="9"/>
      <c r="AJS460" s="9"/>
      <c r="AJT460" s="9"/>
      <c r="AJU460" s="9"/>
      <c r="AJV460" s="9"/>
      <c r="AJW460" s="9"/>
      <c r="AJX460" s="9"/>
      <c r="AJY460" s="9"/>
      <c r="AJZ460" s="9"/>
      <c r="AKA460" s="9"/>
      <c r="AKB460" s="9"/>
      <c r="AKC460" s="9"/>
      <c r="AKD460" s="9"/>
      <c r="AKE460" s="9"/>
      <c r="AKF460" s="9"/>
      <c r="AKG460" s="9"/>
      <c r="AKH460" s="9"/>
      <c r="AKI460" s="9"/>
      <c r="AKJ460" s="9"/>
      <c r="AKK460" s="9"/>
      <c r="AKL460" s="9"/>
      <c r="AKM460" s="9"/>
      <c r="AKN460" s="9"/>
      <c r="AKO460" s="9"/>
      <c r="AKP460" s="9"/>
      <c r="AKQ460" s="9"/>
      <c r="AKR460" s="9"/>
      <c r="AKS460" s="9"/>
      <c r="AKT460" s="9"/>
      <c r="AKU460" s="9"/>
      <c r="AKV460" s="9"/>
      <c r="AKW460" s="9"/>
      <c r="AKX460" s="9"/>
      <c r="AKY460" s="9"/>
      <c r="AKZ460" s="9"/>
      <c r="ALA460" s="9"/>
      <c r="ALB460" s="9"/>
      <c r="ALC460" s="9"/>
      <c r="ALD460" s="9"/>
      <c r="ALE460" s="9"/>
      <c r="ALF460" s="9"/>
      <c r="ALG460" s="9"/>
      <c r="ALH460" s="9"/>
      <c r="ALI460" s="9"/>
      <c r="ALJ460" s="9"/>
      <c r="ALK460" s="9"/>
      <c r="ALL460" s="9"/>
      <c r="ALM460" s="9"/>
      <c r="ALN460" s="9"/>
      <c r="ALO460" s="9"/>
      <c r="ALP460" s="9"/>
      <c r="ALQ460" s="9"/>
      <c r="ALR460" s="9"/>
      <c r="ALS460" s="9"/>
      <c r="ALT460" s="9"/>
      <c r="ALU460" s="9"/>
      <c r="ALV460" s="9"/>
      <c r="ALW460" s="9"/>
      <c r="ALX460" s="9"/>
      <c r="ALY460" s="9"/>
      <c r="ALZ460" s="9"/>
      <c r="AMA460" s="9"/>
      <c r="AMB460" s="9"/>
      <c r="AMC460" s="9"/>
      <c r="AMD460" s="9"/>
      <c r="AME460" s="9"/>
      <c r="AMF460" s="9"/>
      <c r="AMG460" s="9"/>
      <c r="AMH460" s="9"/>
      <c r="AMI460" s="9"/>
      <c r="AMJ460" s="9"/>
      <c r="AMK460" s="9"/>
      <c r="AML460" s="9"/>
      <c r="AMM460" s="9"/>
      <c r="AMN460" s="9"/>
      <c r="AMO460" s="9"/>
    </row>
    <row r="461" spans="1:1030" s="12" customFormat="1" x14ac:dyDescent="0.2">
      <c r="A461" s="9" t="str">
        <f t="shared" si="4053"/>
        <v>smo_mouse_6O3C</v>
      </c>
      <c r="B461" s="9" t="s">
        <v>1594</v>
      </c>
      <c r="C461" s="9" t="s">
        <v>1595</v>
      </c>
      <c r="D461" s="9" t="str">
        <f>IFERROR(MID(VLOOKUP($B461,Seqs!$A:$B,2,0),E461,1),"")</f>
        <v>T</v>
      </c>
      <c r="E461" s="9">
        <v>227</v>
      </c>
      <c r="F461" s="9" t="str">
        <f>IFERROR(MID(VLOOKUP($B461,Seqs!$A:$B,2,0),G461,1),"")</f>
        <v>D</v>
      </c>
      <c r="G461" s="9">
        <v>259</v>
      </c>
      <c r="H461" s="9" t="str">
        <f>IFERROR(MID(VLOOKUP($B461,Seqs!$A:$B,2,0),I461,1),"")</f>
        <v>W</v>
      </c>
      <c r="I461" s="109">
        <v>260</v>
      </c>
      <c r="J461" s="9" t="str">
        <f>IFERROR(MID(VLOOKUP($B461,Seqs!$A:$B,2,0),K461,1),"")</f>
        <v>N</v>
      </c>
      <c r="K461" s="109">
        <v>264</v>
      </c>
      <c r="L461" s="9" t="str">
        <f>IFERROR(MID(VLOOKUP($B461,Seqs!$A:$B,2,0),M461,1),"")</f>
        <v>R</v>
      </c>
      <c r="M461" s="9">
        <v>265</v>
      </c>
      <c r="N461" s="9" t="str">
        <f>IFERROR(MID(VLOOKUP($B461,Seqs!$A:$B,2,0),O461,1),"")</f>
        <v>F</v>
      </c>
      <c r="O461" s="9">
        <v>289</v>
      </c>
      <c r="P461" s="9" t="str">
        <f>IFERROR(MID(VLOOKUP($B461,Seqs!$A:$B,2,0),Q461,1),"")</f>
        <v/>
      </c>
      <c r="Q461" s="9" t="s">
        <v>23</v>
      </c>
      <c r="R461" s="9" t="str">
        <f>IFERROR(MID(VLOOKUP($B461,Seqs!$A:$B,2,0),S461,1),"")</f>
        <v/>
      </c>
      <c r="S461" s="9" t="s">
        <v>23</v>
      </c>
      <c r="T461" s="9" t="str">
        <f>IFERROR(MID(VLOOKUP($B461,Seqs!$A:$B,2,0),U461,1),"")</f>
        <v>L</v>
      </c>
      <c r="U461" s="9">
        <v>316</v>
      </c>
      <c r="V461" s="9" t="str">
        <f>IFERROR(MID(VLOOKUP($B461,Seqs!$A:$B,2,0),W461,1),"")</f>
        <v>A</v>
      </c>
      <c r="W461" s="9">
        <v>349</v>
      </c>
      <c r="X461" s="9" t="str">
        <f>IFERROR(MID(VLOOKUP($B461,Seqs!$A:$B,2,0),Y461,1),"")</f>
        <v/>
      </c>
      <c r="Y461" s="9" t="s">
        <v>23</v>
      </c>
      <c r="Z461" s="9" t="str">
        <f>IFERROR(MID(VLOOKUP($B461,Seqs!$A:$B,2,0),AA461,1),"")</f>
        <v/>
      </c>
      <c r="AA461" s="9" t="s">
        <v>23</v>
      </c>
      <c r="AB461" s="9" t="str">
        <f>IFERROR(MID(VLOOKUP($B461,Seqs!$A:$B,2,0),AC461,1),"")</f>
        <v>K</v>
      </c>
      <c r="AC461" s="9">
        <v>360</v>
      </c>
      <c r="AD461" s="9" t="str">
        <f>IFERROR(MID(VLOOKUP($B461,Seqs!$A:$B,2,0),AE461,1),"")</f>
        <v>A</v>
      </c>
      <c r="AE461" s="9">
        <v>383</v>
      </c>
      <c r="AF461" s="9" t="str">
        <f>IFERROR(MID(VLOOKUP($B461,Seqs!$A:$B,2,0),AG461,1),"")</f>
        <v>C</v>
      </c>
      <c r="AG461" s="9">
        <v>394</v>
      </c>
      <c r="AH461" s="9" t="str">
        <f>IFERROR(MID(VLOOKUP($B461,Seqs!$A:$B,2,0),AI461,1),"")</f>
        <v>V</v>
      </c>
      <c r="AI461" s="9">
        <v>396</v>
      </c>
      <c r="AJ461" s="9" t="str">
        <f>IFERROR(MID(VLOOKUP($B461,Seqs!$A:$B,2,0),AK461,1),"")</f>
        <v>N</v>
      </c>
      <c r="AK461" s="9">
        <v>400</v>
      </c>
      <c r="AL461" s="9" t="str">
        <f>IFERROR(MID(VLOOKUP($B461,Seqs!$A:$B,2,0),AM461,1),"")</f>
        <v>H</v>
      </c>
      <c r="AM461" s="9">
        <v>437</v>
      </c>
      <c r="AN461" s="9" t="str">
        <f>IFERROR(MID(VLOOKUP($B461,Seqs!$A:$B,2,0),AO461,1),"")</f>
        <v>S</v>
      </c>
      <c r="AO461" s="9">
        <v>442</v>
      </c>
      <c r="AP461" s="9" t="str">
        <f>IFERROR(MID(VLOOKUP($B461,Seqs!$A:$B,2,0),AQ461,1),"")</f>
        <v>T</v>
      </c>
      <c r="AQ461" s="9">
        <v>499</v>
      </c>
      <c r="AR461" s="9" t="str">
        <f>IFERROR(MID(VLOOKUP($B461,Seqs!$A:$B,2,0),AS461,1),"")</f>
        <v>S</v>
      </c>
      <c r="AS461" s="9">
        <v>518</v>
      </c>
      <c r="AT461" s="9" t="str">
        <f>IFERROR(MID(VLOOKUP($B461,Seqs!$A:$B,2,0),AU461,1),"")</f>
        <v>W</v>
      </c>
      <c r="AU461" s="9">
        <v>541</v>
      </c>
      <c r="AV461" s="9" t="str">
        <f>IFERROR(MID(VLOOKUP($B461,Seqs!$A:$B,2,0),AW461,1),"")</f>
        <v>T</v>
      </c>
      <c r="AW461" s="9">
        <v>542</v>
      </c>
      <c r="AX461" s="9" t="str">
        <f>IFERROR(MID(VLOOKUP($B461,Seqs!$A:$B,2,0),AY461,1),"")</f>
        <v>R</v>
      </c>
      <c r="AY461" s="9">
        <v>555</v>
      </c>
      <c r="AZ461" s="134" t="str">
        <f>VLOOKUP(B461,Classification!A:D,2,0)</f>
        <v>F</v>
      </c>
      <c r="BA461" s="98" t="str">
        <f>VLOOKUP(B461,Classification!A:D,4,0)</f>
        <v>Frizzled</v>
      </c>
      <c r="BB461" s="135" t="b">
        <f t="shared" si="4054"/>
        <v>1</v>
      </c>
      <c r="BC461" s="109">
        <f t="shared" si="4055"/>
        <v>260</v>
      </c>
      <c r="BD461" s="123" t="s">
        <v>23</v>
      </c>
      <c r="BE461" s="9" t="s">
        <v>1291</v>
      </c>
      <c r="BF461" s="119">
        <v>5.84</v>
      </c>
      <c r="BG461" s="51" t="s">
        <v>1422</v>
      </c>
      <c r="BH461" s="51" t="s">
        <v>1422</v>
      </c>
      <c r="BI461" s="9"/>
      <c r="BJ461" s="136" t="s">
        <v>1287</v>
      </c>
      <c r="BK461" s="112" t="s">
        <v>1287</v>
      </c>
      <c r="BL461" s="112" t="s">
        <v>1287</v>
      </c>
      <c r="BM461" s="112" t="s">
        <v>1287</v>
      </c>
      <c r="BN461" s="112" t="s">
        <v>1287</v>
      </c>
      <c r="BO461" s="112" t="s">
        <v>1287</v>
      </c>
      <c r="BP461" s="112" t="s">
        <v>1287</v>
      </c>
      <c r="BQ461" s="112" t="s">
        <v>1287</v>
      </c>
      <c r="BR461" s="112" t="s">
        <v>1287</v>
      </c>
      <c r="BS461" s="112" t="s">
        <v>1287</v>
      </c>
      <c r="BT461" s="112" t="s">
        <v>1287</v>
      </c>
      <c r="BU461" s="112" t="s">
        <v>1287</v>
      </c>
      <c r="BV461" s="136">
        <f t="shared" si="4056"/>
        <v>227</v>
      </c>
      <c r="BW461" s="113">
        <f t="shared" si="4057"/>
        <v>260</v>
      </c>
      <c r="BX461" s="114">
        <f t="shared" si="4058"/>
        <v>265</v>
      </c>
      <c r="BY461" s="113" t="str">
        <f t="shared" si="4059"/>
        <v>-</v>
      </c>
      <c r="BZ461" s="114">
        <f t="shared" si="4060"/>
        <v>316</v>
      </c>
      <c r="CA461" s="113" t="str">
        <f t="shared" si="4061"/>
        <v>-</v>
      </c>
      <c r="CB461" s="114">
        <f t="shared" si="4062"/>
        <v>360</v>
      </c>
      <c r="CC461" s="113">
        <f t="shared" si="4063"/>
        <v>394</v>
      </c>
      <c r="CD461" s="114">
        <f t="shared" si="4064"/>
        <v>400</v>
      </c>
      <c r="CE461" s="113">
        <f t="shared" si="4065"/>
        <v>442</v>
      </c>
      <c r="CF461" s="114">
        <f t="shared" si="4066"/>
        <v>518</v>
      </c>
      <c r="CG461" s="113">
        <f t="shared" si="4067"/>
        <v>542</v>
      </c>
      <c r="CH461" s="136">
        <f t="shared" si="4068"/>
        <v>259</v>
      </c>
      <c r="CI461" s="113">
        <f t="shared" si="4069"/>
        <v>264</v>
      </c>
      <c r="CJ461" s="114">
        <f t="shared" si="4070"/>
        <v>289</v>
      </c>
      <c r="CK461" s="114" t="str">
        <f t="shared" si="4071"/>
        <v>-</v>
      </c>
      <c r="CL461" s="114">
        <f t="shared" si="4072"/>
        <v>349</v>
      </c>
      <c r="CM461" s="114" t="str">
        <f t="shared" si="4073"/>
        <v>-</v>
      </c>
      <c r="CN461" s="114">
        <f t="shared" si="4074"/>
        <v>383</v>
      </c>
      <c r="CO461" s="114">
        <f t="shared" si="4075"/>
        <v>396</v>
      </c>
      <c r="CP461" s="114">
        <f t="shared" si="4076"/>
        <v>437</v>
      </c>
      <c r="CQ461" s="114">
        <f t="shared" si="4077"/>
        <v>499</v>
      </c>
      <c r="CR461" s="114">
        <f t="shared" si="4078"/>
        <v>541</v>
      </c>
      <c r="CS461" s="114">
        <f t="shared" si="4079"/>
        <v>555</v>
      </c>
      <c r="CT461" s="109">
        <f t="shared" si="4080"/>
        <v>1</v>
      </c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9"/>
      <c r="IA461" s="9"/>
      <c r="IB461" s="9"/>
      <c r="IC461" s="9"/>
      <c r="ID461" s="9"/>
      <c r="IE461" s="9"/>
      <c r="IF461" s="9"/>
      <c r="IG461" s="9"/>
      <c r="IH461" s="9"/>
      <c r="II461" s="9"/>
      <c r="IJ461" s="9"/>
      <c r="IK461" s="9"/>
      <c r="IL461" s="9"/>
      <c r="IM461" s="9"/>
      <c r="IN461" s="9"/>
      <c r="IO461" s="9"/>
      <c r="IP461" s="9"/>
      <c r="IQ461" s="9"/>
      <c r="IR461" s="9"/>
      <c r="IS461" s="9"/>
      <c r="IT461" s="9"/>
      <c r="IU461" s="9"/>
      <c r="IV461" s="9"/>
      <c r="IW461" s="9"/>
      <c r="IX461" s="9"/>
      <c r="IY461" s="9"/>
      <c r="IZ461" s="9"/>
      <c r="JA461" s="9"/>
      <c r="JB461" s="9"/>
      <c r="JC461" s="9"/>
      <c r="JD461" s="9"/>
      <c r="JE461" s="9"/>
      <c r="JF461" s="9"/>
      <c r="JG461" s="9"/>
      <c r="JH461" s="9"/>
      <c r="JI461" s="9"/>
      <c r="JJ461" s="9"/>
      <c r="JK461" s="9"/>
      <c r="JL461" s="9"/>
      <c r="JM461" s="9"/>
      <c r="JN461" s="9"/>
      <c r="JO461" s="9"/>
      <c r="JP461" s="9"/>
      <c r="JQ461" s="9"/>
      <c r="JR461" s="9"/>
      <c r="JS461" s="9"/>
      <c r="JT461" s="9"/>
      <c r="JU461" s="9"/>
      <c r="JV461" s="9"/>
      <c r="JW461" s="9"/>
      <c r="JX461" s="9"/>
      <c r="JY461" s="9"/>
      <c r="JZ461" s="9"/>
      <c r="KA461" s="9"/>
      <c r="KB461" s="9"/>
      <c r="KC461" s="9"/>
      <c r="KD461" s="9"/>
      <c r="KE461" s="9"/>
      <c r="KF461" s="9"/>
      <c r="KG461" s="9"/>
      <c r="KH461" s="9"/>
      <c r="KI461" s="9"/>
      <c r="KJ461" s="9"/>
      <c r="KK461" s="9"/>
      <c r="KL461" s="9"/>
      <c r="KM461" s="9"/>
      <c r="KN461" s="9"/>
      <c r="KO461" s="9"/>
      <c r="KP461" s="9"/>
      <c r="KQ461" s="9"/>
      <c r="KR461" s="9"/>
      <c r="KS461" s="9"/>
      <c r="KT461" s="9"/>
      <c r="KU461" s="9"/>
      <c r="KV461" s="9"/>
      <c r="KW461" s="9"/>
      <c r="KX461" s="9"/>
      <c r="KY461" s="9"/>
      <c r="KZ461" s="9"/>
      <c r="LA461" s="9"/>
      <c r="LB461" s="9"/>
      <c r="LC461" s="9"/>
      <c r="LD461" s="9"/>
      <c r="LE461" s="9"/>
      <c r="LF461" s="9"/>
      <c r="LG461" s="9"/>
      <c r="LH461" s="9"/>
      <c r="LI461" s="9"/>
      <c r="LJ461" s="9"/>
      <c r="LK461" s="9"/>
      <c r="LL461" s="9"/>
      <c r="LM461" s="9"/>
      <c r="LN461" s="9"/>
      <c r="LO461" s="9"/>
      <c r="LP461" s="9"/>
      <c r="LQ461" s="9"/>
      <c r="LR461" s="9"/>
      <c r="LS461" s="9"/>
      <c r="LT461" s="9"/>
      <c r="LU461" s="9"/>
      <c r="LV461" s="9"/>
      <c r="LW461" s="9"/>
      <c r="LX461" s="9"/>
      <c r="LY461" s="9"/>
      <c r="LZ461" s="9"/>
      <c r="MA461" s="9"/>
      <c r="MB461" s="9"/>
      <c r="MC461" s="9"/>
      <c r="MD461" s="9"/>
      <c r="ME461" s="9"/>
      <c r="MF461" s="9"/>
      <c r="MG461" s="9"/>
      <c r="MH461" s="9"/>
      <c r="MI461" s="9"/>
      <c r="MJ461" s="9"/>
      <c r="MK461" s="9"/>
      <c r="ML461" s="9"/>
      <c r="MM461" s="9"/>
      <c r="MN461" s="9"/>
      <c r="MO461" s="9"/>
      <c r="MP461" s="9"/>
      <c r="MQ461" s="9"/>
      <c r="MR461" s="9"/>
      <c r="MS461" s="9"/>
      <c r="MT461" s="9"/>
      <c r="MU461" s="9"/>
      <c r="MV461" s="9"/>
      <c r="MW461" s="9"/>
      <c r="MX461" s="9"/>
      <c r="MY461" s="9"/>
      <c r="MZ461" s="9"/>
      <c r="NA461" s="9"/>
      <c r="NB461" s="9"/>
      <c r="NC461" s="9"/>
      <c r="ND461" s="9"/>
      <c r="NE461" s="9"/>
      <c r="NF461" s="9"/>
      <c r="NG461" s="9"/>
      <c r="NH461" s="9"/>
      <c r="NI461" s="9"/>
      <c r="NJ461" s="9"/>
      <c r="NK461" s="9"/>
      <c r="NL461" s="9"/>
      <c r="NM461" s="9"/>
      <c r="NN461" s="9"/>
      <c r="NO461" s="9"/>
      <c r="NP461" s="9"/>
      <c r="NQ461" s="9"/>
      <c r="NR461" s="9"/>
      <c r="NS461" s="9"/>
      <c r="NT461" s="9"/>
      <c r="NU461" s="9"/>
      <c r="NV461" s="9"/>
      <c r="NW461" s="9"/>
      <c r="NX461" s="9"/>
      <c r="NY461" s="9"/>
      <c r="NZ461" s="9"/>
      <c r="OA461" s="9"/>
      <c r="OB461" s="9"/>
      <c r="OC461" s="9"/>
      <c r="OD461" s="9"/>
      <c r="OE461" s="9"/>
      <c r="OF461" s="9"/>
      <c r="OG461" s="9"/>
      <c r="OH461" s="9"/>
      <c r="OI461" s="9"/>
      <c r="OJ461" s="9"/>
      <c r="OK461" s="9"/>
      <c r="OL461" s="9"/>
      <c r="OM461" s="9"/>
      <c r="ON461" s="9"/>
      <c r="OO461" s="9"/>
      <c r="OP461" s="9"/>
      <c r="OQ461" s="9"/>
      <c r="OR461" s="9"/>
      <c r="OS461" s="9"/>
      <c r="OT461" s="9"/>
      <c r="OU461" s="9"/>
      <c r="OV461" s="9"/>
      <c r="OW461" s="9"/>
      <c r="OX461" s="9"/>
      <c r="OY461" s="9"/>
      <c r="OZ461" s="9"/>
      <c r="PA461" s="9"/>
      <c r="PB461" s="9"/>
      <c r="PC461" s="9"/>
      <c r="PD461" s="9"/>
      <c r="PE461" s="9"/>
      <c r="PF461" s="9"/>
      <c r="PG461" s="9"/>
      <c r="PH461" s="9"/>
      <c r="PI461" s="9"/>
      <c r="PJ461" s="9"/>
      <c r="PK461" s="9"/>
      <c r="PL461" s="9"/>
      <c r="PM461" s="9"/>
      <c r="PN461" s="9"/>
      <c r="PO461" s="9"/>
      <c r="PP461" s="9"/>
      <c r="PQ461" s="9"/>
      <c r="PR461" s="9"/>
      <c r="PS461" s="9"/>
      <c r="PT461" s="9"/>
      <c r="PU461" s="9"/>
      <c r="PV461" s="9"/>
      <c r="PW461" s="9"/>
      <c r="PX461" s="9"/>
      <c r="PY461" s="9"/>
      <c r="PZ461" s="9"/>
      <c r="QA461" s="9"/>
      <c r="QB461" s="9"/>
      <c r="QC461" s="9"/>
      <c r="QD461" s="9"/>
      <c r="QE461" s="9"/>
      <c r="QF461" s="9"/>
      <c r="QG461" s="9"/>
      <c r="QH461" s="9"/>
      <c r="QI461" s="9"/>
      <c r="QJ461" s="9"/>
      <c r="QK461" s="9"/>
      <c r="QL461" s="9"/>
      <c r="QM461" s="9"/>
      <c r="QN461" s="9"/>
      <c r="QO461" s="9"/>
      <c r="QP461" s="9"/>
      <c r="QQ461" s="9"/>
      <c r="QR461" s="9"/>
      <c r="QS461" s="9"/>
      <c r="QT461" s="9"/>
      <c r="QU461" s="9"/>
      <c r="QV461" s="9"/>
      <c r="QW461" s="9"/>
      <c r="QX461" s="9"/>
      <c r="QY461" s="9"/>
      <c r="QZ461" s="9"/>
      <c r="RA461" s="9"/>
      <c r="RB461" s="9"/>
      <c r="RC461" s="9"/>
      <c r="RD461" s="9"/>
      <c r="RE461" s="9"/>
      <c r="RF461" s="9"/>
      <c r="RG461" s="9"/>
      <c r="RH461" s="9"/>
      <c r="RI461" s="9"/>
      <c r="RJ461" s="9"/>
      <c r="RK461" s="9"/>
      <c r="RL461" s="9"/>
      <c r="RM461" s="9"/>
      <c r="RN461" s="9"/>
      <c r="RO461" s="9"/>
      <c r="RP461" s="9"/>
      <c r="RQ461" s="9"/>
      <c r="RR461" s="9"/>
      <c r="RS461" s="9"/>
      <c r="RT461" s="9"/>
      <c r="RU461" s="9"/>
      <c r="RV461" s="9"/>
      <c r="RW461" s="9"/>
      <c r="RX461" s="9"/>
      <c r="RY461" s="9"/>
      <c r="RZ461" s="9"/>
      <c r="SA461" s="9"/>
      <c r="SB461" s="9"/>
      <c r="SC461" s="9"/>
      <c r="SD461" s="9"/>
      <c r="SE461" s="9"/>
      <c r="SF461" s="9"/>
      <c r="SG461" s="9"/>
      <c r="SH461" s="9"/>
      <c r="SI461" s="9"/>
      <c r="SJ461" s="9"/>
      <c r="SK461" s="9"/>
      <c r="SL461" s="9"/>
      <c r="SM461" s="9"/>
      <c r="SN461" s="9"/>
      <c r="SO461" s="9"/>
      <c r="SP461" s="9"/>
      <c r="SQ461" s="9"/>
      <c r="SR461" s="9"/>
      <c r="SS461" s="9"/>
      <c r="ST461" s="9"/>
      <c r="SU461" s="9"/>
      <c r="SV461" s="9"/>
      <c r="SW461" s="9"/>
      <c r="SX461" s="9"/>
      <c r="SY461" s="9"/>
      <c r="SZ461" s="9"/>
      <c r="TA461" s="9"/>
      <c r="TB461" s="9"/>
      <c r="TC461" s="9"/>
      <c r="TD461" s="9"/>
      <c r="TE461" s="9"/>
      <c r="TF461" s="9"/>
      <c r="TG461" s="9"/>
      <c r="TH461" s="9"/>
      <c r="TI461" s="9"/>
      <c r="TJ461" s="9"/>
      <c r="TK461" s="9"/>
      <c r="TL461" s="9"/>
      <c r="TM461" s="9"/>
      <c r="TN461" s="9"/>
      <c r="TO461" s="9"/>
      <c r="TP461" s="9"/>
      <c r="TQ461" s="9"/>
      <c r="TR461" s="9"/>
      <c r="TS461" s="9"/>
      <c r="TT461" s="9"/>
      <c r="TU461" s="9"/>
      <c r="TV461" s="9"/>
      <c r="TW461" s="9"/>
      <c r="TX461" s="9"/>
      <c r="TY461" s="9"/>
      <c r="TZ461" s="9"/>
      <c r="UA461" s="9"/>
      <c r="UB461" s="9"/>
      <c r="UC461" s="9"/>
      <c r="UD461" s="9"/>
      <c r="UE461" s="9"/>
      <c r="UF461" s="9"/>
      <c r="UG461" s="9"/>
      <c r="UH461" s="9"/>
      <c r="UI461" s="9"/>
      <c r="UJ461" s="9"/>
      <c r="UK461" s="9"/>
      <c r="UL461" s="9"/>
      <c r="UM461" s="9"/>
      <c r="UN461" s="9"/>
      <c r="UO461" s="9"/>
      <c r="UP461" s="9"/>
      <c r="UQ461" s="9"/>
      <c r="UR461" s="9"/>
      <c r="US461" s="9"/>
      <c r="UT461" s="9"/>
      <c r="UU461" s="9"/>
      <c r="UV461" s="9"/>
      <c r="UW461" s="9"/>
      <c r="UX461" s="9"/>
      <c r="UY461" s="9"/>
      <c r="UZ461" s="9"/>
      <c r="VA461" s="9"/>
      <c r="VB461" s="9"/>
      <c r="VC461" s="9"/>
      <c r="VD461" s="9"/>
      <c r="VE461" s="9"/>
      <c r="VF461" s="9"/>
      <c r="VG461" s="9"/>
      <c r="VH461" s="9"/>
      <c r="VI461" s="9"/>
      <c r="VJ461" s="9"/>
      <c r="VK461" s="9"/>
      <c r="VL461" s="9"/>
      <c r="VM461" s="9"/>
      <c r="VN461" s="9"/>
      <c r="VO461" s="9"/>
      <c r="VP461" s="9"/>
      <c r="VQ461" s="9"/>
      <c r="VR461" s="9"/>
      <c r="VS461" s="9"/>
      <c r="VT461" s="9"/>
      <c r="VU461" s="9"/>
      <c r="VV461" s="9"/>
      <c r="VW461" s="9"/>
      <c r="VX461" s="9"/>
      <c r="VY461" s="9"/>
      <c r="VZ461" s="9"/>
      <c r="WA461" s="9"/>
      <c r="WB461" s="9"/>
      <c r="WC461" s="9"/>
      <c r="WD461" s="9"/>
      <c r="WE461" s="9"/>
      <c r="WF461" s="9"/>
      <c r="WG461" s="9"/>
      <c r="WH461" s="9"/>
      <c r="WI461" s="9"/>
      <c r="WJ461" s="9"/>
      <c r="WK461" s="9"/>
      <c r="WL461" s="9"/>
      <c r="WM461" s="9"/>
      <c r="WN461" s="9"/>
      <c r="WO461" s="9"/>
      <c r="WP461" s="9"/>
      <c r="WQ461" s="9"/>
      <c r="WR461" s="9"/>
      <c r="WS461" s="9"/>
      <c r="WT461" s="9"/>
      <c r="WU461" s="9"/>
      <c r="WV461" s="9"/>
      <c r="WW461" s="9"/>
      <c r="WX461" s="9"/>
      <c r="WY461" s="9"/>
      <c r="WZ461" s="9"/>
      <c r="XA461" s="9"/>
      <c r="XB461" s="9"/>
      <c r="XC461" s="9"/>
      <c r="XD461" s="9"/>
      <c r="XE461" s="9"/>
      <c r="XF461" s="9"/>
      <c r="XG461" s="9"/>
      <c r="XH461" s="9"/>
      <c r="XI461" s="9"/>
      <c r="XJ461" s="9"/>
      <c r="XK461" s="9"/>
      <c r="XL461" s="9"/>
      <c r="XM461" s="9"/>
      <c r="XN461" s="9"/>
      <c r="XO461" s="9"/>
      <c r="XP461" s="9"/>
      <c r="XQ461" s="9"/>
      <c r="XR461" s="9"/>
      <c r="XS461" s="9"/>
      <c r="XT461" s="9"/>
      <c r="XU461" s="9"/>
      <c r="XV461" s="9"/>
      <c r="XW461" s="9"/>
      <c r="XX461" s="9"/>
      <c r="XY461" s="9"/>
      <c r="XZ461" s="9"/>
      <c r="YA461" s="9"/>
      <c r="YB461" s="9"/>
      <c r="YC461" s="9"/>
      <c r="YD461" s="9"/>
      <c r="YE461" s="9"/>
      <c r="YF461" s="9"/>
      <c r="YG461" s="9"/>
      <c r="YH461" s="9"/>
      <c r="YI461" s="9"/>
      <c r="YJ461" s="9"/>
      <c r="YK461" s="9"/>
      <c r="YL461" s="9"/>
      <c r="YM461" s="9"/>
      <c r="YN461" s="9"/>
      <c r="YO461" s="9"/>
      <c r="YP461" s="9"/>
      <c r="YQ461" s="9"/>
      <c r="YR461" s="9"/>
      <c r="YS461" s="9"/>
      <c r="YT461" s="9"/>
      <c r="YU461" s="9"/>
      <c r="YV461" s="9"/>
      <c r="YW461" s="9"/>
      <c r="YX461" s="9"/>
      <c r="YY461" s="9"/>
      <c r="YZ461" s="9"/>
      <c r="ZA461" s="9"/>
      <c r="ZB461" s="9"/>
      <c r="ZC461" s="9"/>
      <c r="ZD461" s="9"/>
      <c r="ZE461" s="9"/>
      <c r="ZF461" s="9"/>
      <c r="ZG461" s="9"/>
      <c r="ZH461" s="9"/>
      <c r="ZI461" s="9"/>
      <c r="ZJ461" s="9"/>
      <c r="ZK461" s="9"/>
      <c r="ZL461" s="9"/>
      <c r="ZM461" s="9"/>
      <c r="ZN461" s="9"/>
      <c r="ZO461" s="9"/>
      <c r="ZP461" s="9"/>
      <c r="ZQ461" s="9"/>
      <c r="ZR461" s="9"/>
      <c r="ZS461" s="9"/>
      <c r="ZT461" s="9"/>
      <c r="ZU461" s="9"/>
      <c r="ZV461" s="9"/>
      <c r="ZW461" s="9"/>
      <c r="ZX461" s="9"/>
      <c r="ZY461" s="9"/>
      <c r="ZZ461" s="9"/>
      <c r="AAA461" s="9"/>
      <c r="AAB461" s="9"/>
      <c r="AAC461" s="9"/>
      <c r="AAD461" s="9"/>
      <c r="AAE461" s="9"/>
      <c r="AAF461" s="9"/>
      <c r="AAG461" s="9"/>
      <c r="AAH461" s="9"/>
      <c r="AAI461" s="9"/>
      <c r="AAJ461" s="9"/>
      <c r="AAK461" s="9"/>
      <c r="AAL461" s="9"/>
      <c r="AAM461" s="9"/>
      <c r="AAN461" s="9"/>
      <c r="AAO461" s="9"/>
      <c r="AAP461" s="9"/>
      <c r="AAQ461" s="9"/>
      <c r="AAR461" s="9"/>
      <c r="AAS461" s="9"/>
      <c r="AAT461" s="9"/>
      <c r="AAU461" s="9"/>
      <c r="AAV461" s="9"/>
      <c r="AAW461" s="9"/>
      <c r="AAX461" s="9"/>
      <c r="AAY461" s="9"/>
      <c r="AAZ461" s="9"/>
      <c r="ABA461" s="9"/>
      <c r="ABB461" s="9"/>
      <c r="ABC461" s="9"/>
      <c r="ABD461" s="9"/>
      <c r="ABE461" s="9"/>
      <c r="ABF461" s="9"/>
      <c r="ABG461" s="9"/>
      <c r="ABH461" s="9"/>
      <c r="ABI461" s="9"/>
      <c r="ABJ461" s="9"/>
      <c r="ABK461" s="9"/>
      <c r="ABL461" s="9"/>
      <c r="ABM461" s="9"/>
      <c r="ABN461" s="9"/>
      <c r="ABO461" s="9"/>
      <c r="ABP461" s="9"/>
      <c r="ABQ461" s="9"/>
      <c r="ABR461" s="9"/>
      <c r="ABS461" s="9"/>
      <c r="ABT461" s="9"/>
      <c r="ABU461" s="9"/>
      <c r="ABV461" s="9"/>
      <c r="ABW461" s="9"/>
      <c r="ABX461" s="9"/>
      <c r="ABY461" s="9"/>
      <c r="ABZ461" s="9"/>
      <c r="ACA461" s="9"/>
      <c r="ACB461" s="9"/>
      <c r="ACC461" s="9"/>
      <c r="ACD461" s="9"/>
      <c r="ACE461" s="9"/>
      <c r="ACF461" s="9"/>
      <c r="ACG461" s="9"/>
      <c r="ACH461" s="9"/>
      <c r="ACI461" s="9"/>
      <c r="ACJ461" s="9"/>
      <c r="ACK461" s="9"/>
      <c r="ACL461" s="9"/>
      <c r="ACM461" s="9"/>
      <c r="ACN461" s="9"/>
      <c r="ACO461" s="9"/>
      <c r="ACP461" s="9"/>
      <c r="ACQ461" s="9"/>
      <c r="ACR461" s="9"/>
      <c r="ACS461" s="9"/>
      <c r="ACT461" s="9"/>
      <c r="ACU461" s="9"/>
      <c r="ACV461" s="9"/>
      <c r="ACW461" s="9"/>
      <c r="ACX461" s="9"/>
      <c r="ACY461" s="9"/>
      <c r="ACZ461" s="9"/>
      <c r="ADA461" s="9"/>
      <c r="ADB461" s="9"/>
      <c r="ADC461" s="9"/>
      <c r="ADD461" s="9"/>
      <c r="ADE461" s="9"/>
      <c r="ADF461" s="9"/>
      <c r="ADG461" s="9"/>
      <c r="ADH461" s="9"/>
      <c r="ADI461" s="9"/>
      <c r="ADJ461" s="9"/>
      <c r="ADK461" s="9"/>
      <c r="ADL461" s="9"/>
      <c r="ADM461" s="9"/>
      <c r="ADN461" s="9"/>
      <c r="ADO461" s="9"/>
      <c r="ADP461" s="9"/>
      <c r="ADQ461" s="9"/>
      <c r="ADR461" s="9"/>
      <c r="ADS461" s="9"/>
      <c r="ADT461" s="9"/>
      <c r="ADU461" s="9"/>
      <c r="ADV461" s="9"/>
      <c r="ADW461" s="9"/>
      <c r="ADX461" s="9"/>
      <c r="ADY461" s="9"/>
      <c r="ADZ461" s="9"/>
      <c r="AEA461" s="9"/>
      <c r="AEB461" s="9"/>
      <c r="AEC461" s="9"/>
      <c r="AED461" s="9"/>
      <c r="AEE461" s="9"/>
      <c r="AEF461" s="9"/>
      <c r="AEG461" s="9"/>
      <c r="AEH461" s="9"/>
      <c r="AEI461" s="9"/>
      <c r="AEJ461" s="9"/>
      <c r="AEK461" s="9"/>
      <c r="AEL461" s="9"/>
      <c r="AEM461" s="9"/>
      <c r="AEN461" s="9"/>
      <c r="AEO461" s="9"/>
      <c r="AEP461" s="9"/>
      <c r="AEQ461" s="9"/>
      <c r="AER461" s="9"/>
      <c r="AES461" s="9"/>
      <c r="AET461" s="9"/>
      <c r="AEU461" s="9"/>
      <c r="AEV461" s="9"/>
      <c r="AEW461" s="9"/>
      <c r="AEX461" s="9"/>
      <c r="AEY461" s="9"/>
      <c r="AEZ461" s="9"/>
      <c r="AFA461" s="9"/>
      <c r="AFB461" s="9"/>
      <c r="AFC461" s="9"/>
      <c r="AFD461" s="9"/>
      <c r="AFE461" s="9"/>
      <c r="AFF461" s="9"/>
      <c r="AFG461" s="9"/>
      <c r="AFH461" s="9"/>
      <c r="AFI461" s="9"/>
      <c r="AFJ461" s="9"/>
      <c r="AFK461" s="9"/>
      <c r="AFL461" s="9"/>
      <c r="AFM461" s="9"/>
      <c r="AFN461" s="9"/>
      <c r="AFO461" s="9"/>
      <c r="AFP461" s="9"/>
      <c r="AFQ461" s="9"/>
      <c r="AFR461" s="9"/>
      <c r="AFS461" s="9"/>
      <c r="AFT461" s="9"/>
      <c r="AFU461" s="9"/>
      <c r="AFV461" s="9"/>
      <c r="AFW461" s="9"/>
      <c r="AFX461" s="9"/>
      <c r="AFY461" s="9"/>
      <c r="AFZ461" s="9"/>
      <c r="AGA461" s="9"/>
      <c r="AGB461" s="9"/>
      <c r="AGC461" s="9"/>
      <c r="AGD461" s="9"/>
      <c r="AGE461" s="9"/>
      <c r="AGF461" s="9"/>
      <c r="AGG461" s="9"/>
      <c r="AGH461" s="9"/>
      <c r="AGI461" s="9"/>
      <c r="AGJ461" s="9"/>
      <c r="AGK461" s="9"/>
      <c r="AGL461" s="9"/>
      <c r="AGM461" s="9"/>
      <c r="AGN461" s="9"/>
      <c r="AGO461" s="9"/>
      <c r="AGP461" s="9"/>
      <c r="AGQ461" s="9"/>
      <c r="AGR461" s="9"/>
      <c r="AGS461" s="9"/>
      <c r="AGT461" s="9"/>
      <c r="AGU461" s="9"/>
      <c r="AGV461" s="9"/>
      <c r="AGW461" s="9"/>
      <c r="AGX461" s="9"/>
      <c r="AGY461" s="9"/>
      <c r="AGZ461" s="9"/>
      <c r="AHA461" s="9"/>
      <c r="AHB461" s="9"/>
      <c r="AHC461" s="9"/>
      <c r="AHD461" s="9"/>
      <c r="AHE461" s="9"/>
      <c r="AHF461" s="9"/>
      <c r="AHG461" s="9"/>
      <c r="AHH461" s="9"/>
      <c r="AHI461" s="9"/>
      <c r="AHJ461" s="9"/>
      <c r="AHK461" s="9"/>
      <c r="AHL461" s="9"/>
      <c r="AHM461" s="9"/>
      <c r="AHN461" s="9"/>
      <c r="AHO461" s="9"/>
      <c r="AHP461" s="9"/>
      <c r="AHQ461" s="9"/>
      <c r="AHR461" s="9"/>
      <c r="AHS461" s="9"/>
      <c r="AHT461" s="9"/>
      <c r="AHU461" s="9"/>
      <c r="AHV461" s="9"/>
      <c r="AHW461" s="9"/>
      <c r="AHX461" s="9"/>
      <c r="AHY461" s="9"/>
      <c r="AHZ461" s="9"/>
      <c r="AIA461" s="9"/>
      <c r="AIB461" s="9"/>
      <c r="AIC461" s="9"/>
      <c r="AID461" s="9"/>
      <c r="AIE461" s="9"/>
      <c r="AIF461" s="9"/>
      <c r="AIG461" s="9"/>
      <c r="AIH461" s="9"/>
      <c r="AII461" s="9"/>
      <c r="AIJ461" s="9"/>
      <c r="AIK461" s="9"/>
      <c r="AIL461" s="9"/>
      <c r="AIM461" s="9"/>
      <c r="AIN461" s="9"/>
      <c r="AIO461" s="9"/>
      <c r="AIP461" s="9"/>
      <c r="AIQ461" s="9"/>
      <c r="AIR461" s="9"/>
      <c r="AIS461" s="9"/>
      <c r="AIT461" s="9"/>
      <c r="AIU461" s="9"/>
      <c r="AIV461" s="9"/>
      <c r="AIW461" s="9"/>
      <c r="AIX461" s="9"/>
      <c r="AIY461" s="9"/>
      <c r="AIZ461" s="9"/>
      <c r="AJA461" s="9"/>
      <c r="AJB461" s="9"/>
      <c r="AJC461" s="9"/>
      <c r="AJD461" s="9"/>
      <c r="AJE461" s="9"/>
      <c r="AJF461" s="9"/>
      <c r="AJG461" s="9"/>
      <c r="AJH461" s="9"/>
      <c r="AJI461" s="9"/>
      <c r="AJJ461" s="9"/>
      <c r="AJK461" s="9"/>
      <c r="AJL461" s="9"/>
      <c r="AJM461" s="9"/>
      <c r="AJN461" s="9"/>
      <c r="AJO461" s="9"/>
      <c r="AJP461" s="9"/>
      <c r="AJQ461" s="9"/>
      <c r="AJR461" s="9"/>
      <c r="AJS461" s="9"/>
      <c r="AJT461" s="9"/>
      <c r="AJU461" s="9"/>
      <c r="AJV461" s="9"/>
      <c r="AJW461" s="9"/>
      <c r="AJX461" s="9"/>
      <c r="AJY461" s="9"/>
      <c r="AJZ461" s="9"/>
      <c r="AKA461" s="9"/>
      <c r="AKB461" s="9"/>
      <c r="AKC461" s="9"/>
      <c r="AKD461" s="9"/>
      <c r="AKE461" s="9"/>
      <c r="AKF461" s="9"/>
      <c r="AKG461" s="9"/>
      <c r="AKH461" s="9"/>
      <c r="AKI461" s="9"/>
      <c r="AKJ461" s="9"/>
      <c r="AKK461" s="9"/>
      <c r="AKL461" s="9"/>
      <c r="AKM461" s="9"/>
      <c r="AKN461" s="9"/>
      <c r="AKO461" s="9"/>
      <c r="AKP461" s="9"/>
      <c r="AKQ461" s="9"/>
      <c r="AKR461" s="9"/>
      <c r="AKS461" s="9"/>
      <c r="AKT461" s="9"/>
      <c r="AKU461" s="9"/>
      <c r="AKV461" s="9"/>
      <c r="AKW461" s="9"/>
      <c r="AKX461" s="9"/>
      <c r="AKY461" s="9"/>
      <c r="AKZ461" s="9"/>
      <c r="ALA461" s="9"/>
      <c r="ALB461" s="9"/>
      <c r="ALC461" s="9"/>
      <c r="ALD461" s="9"/>
      <c r="ALE461" s="9"/>
      <c r="ALF461" s="9"/>
      <c r="ALG461" s="9"/>
      <c r="ALH461" s="9"/>
      <c r="ALI461" s="9"/>
      <c r="ALJ461" s="9"/>
      <c r="ALK461" s="9"/>
      <c r="ALL461" s="9"/>
      <c r="ALM461" s="9"/>
      <c r="ALN461" s="9"/>
      <c r="ALO461" s="9"/>
      <c r="ALP461" s="9"/>
      <c r="ALQ461" s="9"/>
      <c r="ALR461" s="9"/>
      <c r="ALS461" s="9"/>
      <c r="ALT461" s="9"/>
      <c r="ALU461" s="9"/>
      <c r="ALV461" s="9"/>
      <c r="ALW461" s="9"/>
      <c r="ALX461" s="9"/>
      <c r="ALY461" s="9"/>
      <c r="ALZ461" s="9"/>
      <c r="AMA461" s="9"/>
      <c r="AMB461" s="9"/>
      <c r="AMC461" s="9"/>
      <c r="AMD461" s="9"/>
      <c r="AME461" s="9"/>
      <c r="AMF461" s="9"/>
      <c r="AMG461" s="9"/>
      <c r="AMH461" s="9"/>
      <c r="AMI461" s="9"/>
      <c r="AMJ461" s="9"/>
      <c r="AMK461" s="9"/>
      <c r="AML461" s="9"/>
      <c r="AMM461" s="9"/>
      <c r="AMN461" s="9"/>
      <c r="AMO461" s="9"/>
    </row>
    <row r="462" spans="1:1030" x14ac:dyDescent="0.2">
      <c r="A462" s="3" t="str">
        <f t="shared" si="4025"/>
        <v>q98sw5_xenla__wt</v>
      </c>
      <c r="B462" s="3" t="s">
        <v>1495</v>
      </c>
      <c r="C462" s="3" t="s">
        <v>100</v>
      </c>
      <c r="D462" s="3" t="str">
        <f>IFERROR(MID(VLOOKUP($B462,Seqs!$A:$B,2,0),E462,1),"")</f>
        <v>T</v>
      </c>
      <c r="E462" s="3">
        <v>196</v>
      </c>
      <c r="F462" s="3" t="str">
        <f>IFERROR(MID(VLOOKUP($B462,Seqs!$A:$B,2,0),G462,1),"")</f>
        <v>D</v>
      </c>
      <c r="G462" s="3">
        <v>228</v>
      </c>
      <c r="H462" s="3" t="str">
        <f>IFERROR(MID(VLOOKUP($B462,Seqs!$A:$B,2,0),I462,1),"")</f>
        <v>W</v>
      </c>
      <c r="I462" s="23">
        <v>229</v>
      </c>
      <c r="J462" s="3" t="str">
        <f>IFERROR(MID(VLOOKUP($B462,Seqs!$A:$B,2,0),K462,1),"")</f>
        <v>N</v>
      </c>
      <c r="K462" s="23">
        <v>233</v>
      </c>
      <c r="L462" s="3" t="str">
        <f>IFERROR(MID(VLOOKUP($B462,Seqs!$A:$B,2,0),M462,1),"")</f>
        <v>R</v>
      </c>
      <c r="M462" s="3">
        <v>234</v>
      </c>
      <c r="N462" s="3" t="str">
        <f>IFERROR(MID(VLOOKUP($B462,Seqs!$A:$B,2,0),O462,1),"")</f>
        <v>A</v>
      </c>
      <c r="O462" s="3">
        <v>256</v>
      </c>
      <c r="P462" s="3" t="str">
        <f>IFERROR(MID(VLOOKUP($B462,Seqs!$A:$B,2,0),Q462,1),"")</f>
        <v/>
      </c>
      <c r="Q462" s="3" t="s">
        <v>23</v>
      </c>
      <c r="R462" s="3" t="str">
        <f>IFERROR(MID(VLOOKUP($B462,Seqs!$A:$B,2,0),S462,1),"")</f>
        <v/>
      </c>
      <c r="S462" s="3" t="s">
        <v>23</v>
      </c>
      <c r="T462" s="3" t="str">
        <f>IFERROR(MID(VLOOKUP($B462,Seqs!$A:$B,2,0),U462,1),"")</f>
        <v>L</v>
      </c>
      <c r="U462" s="3">
        <v>285</v>
      </c>
      <c r="V462" s="3" t="str">
        <f>IFERROR(MID(VLOOKUP($B462,Seqs!$A:$B,2,0),W462,1),"")</f>
        <v>T</v>
      </c>
      <c r="W462" s="3">
        <v>321</v>
      </c>
      <c r="X462" s="3" t="str">
        <f>IFERROR(MID(VLOOKUP($B462,Seqs!$A:$B,2,0),Y462,1),"")</f>
        <v/>
      </c>
      <c r="Y462" s="3" t="s">
        <v>23</v>
      </c>
      <c r="Z462" s="3" t="str">
        <f>IFERROR(MID(VLOOKUP($B462,Seqs!$A:$B,2,0),AA462,1),"")</f>
        <v/>
      </c>
      <c r="AA462" s="3" t="s">
        <v>23</v>
      </c>
      <c r="AB462" s="3" t="str">
        <f>IFERROR(MID(VLOOKUP($B462,Seqs!$A:$B,2,0),AC462,1),"")</f>
        <v>L</v>
      </c>
      <c r="AC462" s="3">
        <v>326</v>
      </c>
      <c r="AD462" s="3" t="str">
        <f>IFERROR(MID(VLOOKUP($B462,Seqs!$A:$B,2,0),AE462,1),"")</f>
        <v>V</v>
      </c>
      <c r="AE462" s="3">
        <v>351</v>
      </c>
      <c r="AF462" s="3" t="str">
        <f>IFERROR(MID(VLOOKUP($B462,Seqs!$A:$B,2,0),AG462,1),"")</f>
        <v>C</v>
      </c>
      <c r="AG462" s="3">
        <v>363</v>
      </c>
      <c r="AH462" s="3" t="str">
        <f>IFERROR(MID(VLOOKUP($B462,Seqs!$A:$B,2,0),AI462,1),"")</f>
        <v>V</v>
      </c>
      <c r="AI462" s="3">
        <v>365</v>
      </c>
      <c r="AJ462" s="3" t="str">
        <f>IFERROR(MID(VLOOKUP($B462,Seqs!$A:$B,2,0),AK462,1),"")</f>
        <v>N</v>
      </c>
      <c r="AK462" s="3">
        <v>369</v>
      </c>
      <c r="AL462" s="3" t="str">
        <f>IFERROR(MID(VLOOKUP($B462,Seqs!$A:$B,2,0),AM462,1),"")</f>
        <v>H</v>
      </c>
      <c r="AM462" s="3">
        <v>406</v>
      </c>
      <c r="AN462" s="3" t="str">
        <f>IFERROR(MID(VLOOKUP($B462,Seqs!$A:$B,2,0),AO462,1),"")</f>
        <v>A</v>
      </c>
      <c r="AO462" s="3">
        <v>415</v>
      </c>
      <c r="AP462" s="3" t="str">
        <f>IFERROR(MID(VLOOKUP($B462,Seqs!$A:$B,2,0),AQ462,1),"")</f>
        <v>Q</v>
      </c>
      <c r="AQ462" s="3">
        <v>472</v>
      </c>
      <c r="AR462" s="3" t="str">
        <f>IFERROR(MID(VLOOKUP($B462,Seqs!$A:$B,2,0),AS462,1),"")</f>
        <v>S</v>
      </c>
      <c r="AS462" s="3">
        <v>487</v>
      </c>
      <c r="AT462" s="3" t="str">
        <f>IFERROR(MID(VLOOKUP($B462,Seqs!$A:$B,2,0),AU462,1),"")</f>
        <v>W</v>
      </c>
      <c r="AU462" s="3">
        <v>510</v>
      </c>
      <c r="AV462" s="3" t="str">
        <f>IFERROR(MID(VLOOKUP($B462,Seqs!$A:$B,2,0),AW462,1),"")</f>
        <v>T</v>
      </c>
      <c r="AW462" s="3">
        <v>511</v>
      </c>
      <c r="AX462" s="3" t="str">
        <f>IFERROR(MID(VLOOKUP($B462,Seqs!$A:$B,2,0),AY462,1),"")</f>
        <v>L</v>
      </c>
      <c r="AY462" s="3">
        <v>526</v>
      </c>
      <c r="AZ462" s="78" t="str">
        <f>VLOOKUP(B462,Classification!A:D,2,0)</f>
        <v>F</v>
      </c>
      <c r="BA462" s="94" t="str">
        <f>VLOOKUP(B462,Classification!A:D,4,0)</f>
        <v>Frizzled</v>
      </c>
      <c r="BB462" s="92" t="b">
        <f t="shared" si="4026"/>
        <v>1</v>
      </c>
      <c r="BC462" s="23">
        <f t="shared" si="4027"/>
        <v>265</v>
      </c>
      <c r="BD462" s="74" t="s">
        <v>23</v>
      </c>
      <c r="BE462" s="3" t="s">
        <v>1374</v>
      </c>
      <c r="BF462" s="118" t="s">
        <v>23</v>
      </c>
      <c r="BG462" s="49" t="s">
        <v>1</v>
      </c>
      <c r="BH462" s="49" t="s">
        <v>1</v>
      </c>
      <c r="BJ462" s="75" t="s">
        <v>1287</v>
      </c>
      <c r="BK462" s="57" t="s">
        <v>1287</v>
      </c>
      <c r="BL462" s="57" t="s">
        <v>1287</v>
      </c>
      <c r="BM462" s="57" t="s">
        <v>1287</v>
      </c>
      <c r="BN462" s="57" t="s">
        <v>1287</v>
      </c>
      <c r="BO462" s="57" t="s">
        <v>1287</v>
      </c>
      <c r="BP462" s="57" t="s">
        <v>1287</v>
      </c>
      <c r="BQ462" s="57" t="s">
        <v>1287</v>
      </c>
      <c r="BR462" s="57" t="s">
        <v>1287</v>
      </c>
      <c r="BS462" s="57" t="s">
        <v>1287</v>
      </c>
      <c r="BT462" s="57" t="s">
        <v>1287</v>
      </c>
      <c r="BU462" s="57" t="s">
        <v>1287</v>
      </c>
      <c r="BV462" s="75">
        <f t="shared" si="4028"/>
        <v>196</v>
      </c>
      <c r="BW462" s="71">
        <f t="shared" si="4029"/>
        <v>229</v>
      </c>
      <c r="BX462" s="72">
        <f t="shared" si="4030"/>
        <v>234</v>
      </c>
      <c r="BY462" s="71" t="str">
        <f t="shared" si="4031"/>
        <v>-</v>
      </c>
      <c r="BZ462" s="72">
        <f t="shared" si="4032"/>
        <v>285</v>
      </c>
      <c r="CA462" s="71" t="str">
        <f t="shared" si="4033"/>
        <v>-</v>
      </c>
      <c r="CB462" s="72">
        <f t="shared" si="4034"/>
        <v>326</v>
      </c>
      <c r="CC462" s="71">
        <f t="shared" si="4035"/>
        <v>363</v>
      </c>
      <c r="CD462" s="72">
        <f t="shared" si="4036"/>
        <v>369</v>
      </c>
      <c r="CE462" s="71">
        <f t="shared" si="4037"/>
        <v>415</v>
      </c>
      <c r="CF462" s="72">
        <f t="shared" si="4038"/>
        <v>487</v>
      </c>
      <c r="CG462" s="71">
        <f t="shared" si="4039"/>
        <v>511</v>
      </c>
      <c r="CH462" s="75">
        <f t="shared" si="4040"/>
        <v>228</v>
      </c>
      <c r="CI462" s="71">
        <f t="shared" si="4041"/>
        <v>233</v>
      </c>
      <c r="CJ462" s="72">
        <f t="shared" si="4042"/>
        <v>256</v>
      </c>
      <c r="CK462" s="72" t="str">
        <f t="shared" si="4043"/>
        <v>-</v>
      </c>
      <c r="CL462" s="72">
        <f t="shared" si="4044"/>
        <v>321</v>
      </c>
      <c r="CM462" s="72" t="str">
        <f t="shared" si="4045"/>
        <v>-</v>
      </c>
      <c r="CN462" s="72">
        <f t="shared" si="4046"/>
        <v>351</v>
      </c>
      <c r="CO462" s="72">
        <f t="shared" si="4047"/>
        <v>365</v>
      </c>
      <c r="CP462" s="72">
        <f t="shared" si="4048"/>
        <v>406</v>
      </c>
      <c r="CQ462" s="72">
        <f t="shared" si="4049"/>
        <v>472</v>
      </c>
      <c r="CR462" s="72">
        <f t="shared" si="4050"/>
        <v>510</v>
      </c>
      <c r="CS462" s="72">
        <f t="shared" si="4051"/>
        <v>526</v>
      </c>
      <c r="CT462" s="23">
        <f t="shared" si="4052"/>
        <v>1</v>
      </c>
    </row>
    <row r="463" spans="1:1030" x14ac:dyDescent="0.2">
      <c r="A463" s="3" t="str">
        <f t="shared" si="4025"/>
        <v>q98sw5_xenla_6D32</v>
      </c>
      <c r="B463" s="3" t="s">
        <v>1495</v>
      </c>
      <c r="C463" s="3" t="s">
        <v>1494</v>
      </c>
      <c r="D463" s="3" t="str">
        <f>IFERROR(MID(VLOOKUP($B463,Seqs!$A:$B,2,0),E463,1),"")</f>
        <v>T</v>
      </c>
      <c r="E463" s="3">
        <v>196</v>
      </c>
      <c r="F463" s="3" t="str">
        <f>IFERROR(MID(VLOOKUP($B463,Seqs!$A:$B,2,0),G463,1),"")</f>
        <v>D</v>
      </c>
      <c r="G463" s="3">
        <v>228</v>
      </c>
      <c r="H463" s="3" t="str">
        <f>IFERROR(MID(VLOOKUP($B463,Seqs!$A:$B,2,0),I463,1),"")</f>
        <v>W</v>
      </c>
      <c r="I463" s="23">
        <v>229</v>
      </c>
      <c r="J463" s="3" t="str">
        <f>IFERROR(MID(VLOOKUP($B463,Seqs!$A:$B,2,0),K463,1),"")</f>
        <v>N</v>
      </c>
      <c r="K463" s="23">
        <v>233</v>
      </c>
      <c r="L463" s="3" t="str">
        <f>IFERROR(MID(VLOOKUP($B463,Seqs!$A:$B,2,0),M463,1),"")</f>
        <v>R</v>
      </c>
      <c r="M463" s="3">
        <v>234</v>
      </c>
      <c r="N463" s="3" t="str">
        <f>IFERROR(MID(VLOOKUP($B463,Seqs!$A:$B,2,0),O463,1),"")</f>
        <v>A</v>
      </c>
      <c r="O463" s="3">
        <v>256</v>
      </c>
      <c r="P463" s="3" t="str">
        <f>IFERROR(MID(VLOOKUP($B463,Seqs!$A:$B,2,0),Q463,1),"")</f>
        <v/>
      </c>
      <c r="Q463" s="3" t="s">
        <v>23</v>
      </c>
      <c r="R463" s="3" t="str">
        <f>IFERROR(MID(VLOOKUP($B463,Seqs!$A:$B,2,0),S463,1),"")</f>
        <v/>
      </c>
      <c r="S463" s="3" t="s">
        <v>23</v>
      </c>
      <c r="T463" s="3" t="str">
        <f>IFERROR(MID(VLOOKUP($B463,Seqs!$A:$B,2,0),U463,1),"")</f>
        <v>L</v>
      </c>
      <c r="U463" s="3">
        <v>285</v>
      </c>
      <c r="V463" s="3" t="str">
        <f>IFERROR(MID(VLOOKUP($B463,Seqs!$A:$B,2,0),W463,1),"")</f>
        <v>K</v>
      </c>
      <c r="W463" s="3">
        <v>317</v>
      </c>
      <c r="X463" s="3" t="str">
        <f>IFERROR(MID(VLOOKUP($B463,Seqs!$A:$B,2,0),Y463,1),"")</f>
        <v/>
      </c>
      <c r="Y463" s="3" t="s">
        <v>23</v>
      </c>
      <c r="Z463" s="3" t="str">
        <f>IFERROR(MID(VLOOKUP($B463,Seqs!$A:$B,2,0),AA463,1),"")</f>
        <v/>
      </c>
      <c r="AA463" s="3" t="s">
        <v>23</v>
      </c>
      <c r="AB463" s="3" t="str">
        <f>IFERROR(MID(VLOOKUP($B463,Seqs!$A:$B,2,0),AC463,1),"")</f>
        <v>K</v>
      </c>
      <c r="AC463" s="3">
        <v>329</v>
      </c>
      <c r="AD463" s="3" t="str">
        <f>IFERROR(MID(VLOOKUP($B463,Seqs!$A:$B,2,0),AE463,1),"")</f>
        <v>V</v>
      </c>
      <c r="AE463" s="3">
        <v>351</v>
      </c>
      <c r="AF463" s="3" t="str">
        <f>IFERROR(MID(VLOOKUP($B463,Seqs!$A:$B,2,0),AG463,1),"")</f>
        <v>C</v>
      </c>
      <c r="AG463" s="3">
        <v>363</v>
      </c>
      <c r="AH463" s="3" t="str">
        <f>IFERROR(MID(VLOOKUP($B463,Seqs!$A:$B,2,0),AI463,1),"")</f>
        <v>V</v>
      </c>
      <c r="AI463" s="3">
        <v>365</v>
      </c>
      <c r="AJ463" s="3" t="str">
        <f>IFERROR(MID(VLOOKUP($B463,Seqs!$A:$B,2,0),AK463,1),"")</f>
        <v>N</v>
      </c>
      <c r="AK463" s="3">
        <v>369</v>
      </c>
      <c r="AL463" s="3" t="str">
        <f>IFERROR(MID(VLOOKUP($B463,Seqs!$A:$B,2,0),AM463,1),"")</f>
        <v>S</v>
      </c>
      <c r="AM463" s="3">
        <v>401</v>
      </c>
      <c r="AN463" s="3" t="str">
        <f>IFERROR(MID(VLOOKUP($B463,Seqs!$A:$B,2,0),AO463,1),"")</f>
        <v>S</v>
      </c>
      <c r="AO463" s="3">
        <v>416</v>
      </c>
      <c r="AP463" s="3" t="str">
        <f>IFERROR(MID(VLOOKUP($B463,Seqs!$A:$B,2,0),AQ463,1),"")</f>
        <v>Q</v>
      </c>
      <c r="AQ463" s="3">
        <v>472</v>
      </c>
      <c r="AR463" s="3" t="str">
        <f>IFERROR(MID(VLOOKUP($B463,Seqs!$A:$B,2,0),AS463,1),"")</f>
        <v>S</v>
      </c>
      <c r="AS463" s="3">
        <v>487</v>
      </c>
      <c r="AT463" s="3" t="str">
        <f>IFERROR(MID(VLOOKUP($B463,Seqs!$A:$B,2,0),AU463,1),"")</f>
        <v>W</v>
      </c>
      <c r="AU463" s="3">
        <v>510</v>
      </c>
      <c r="AV463" s="3" t="str">
        <f>IFERROR(MID(VLOOKUP($B463,Seqs!$A:$B,2,0),AW463,1),"")</f>
        <v>T</v>
      </c>
      <c r="AW463" s="3">
        <v>511</v>
      </c>
      <c r="AX463" s="3" t="str">
        <f>IFERROR(MID(VLOOKUP($B463,Seqs!$A:$B,2,0),AY463,1),"")</f>
        <v>R</v>
      </c>
      <c r="AY463" s="3">
        <v>520</v>
      </c>
      <c r="AZ463" s="78" t="str">
        <f>VLOOKUP(B463,Classification!A:D,2,0)</f>
        <v>F</v>
      </c>
      <c r="BA463" s="94" t="str">
        <f>VLOOKUP(B463,Classification!A:D,4,0)</f>
        <v>Frizzled</v>
      </c>
      <c r="BB463" s="92" t="b">
        <f t="shared" si="4026"/>
        <v>1</v>
      </c>
      <c r="BC463" s="23">
        <f t="shared" si="4027"/>
        <v>246</v>
      </c>
      <c r="BD463" s="74" t="s">
        <v>23</v>
      </c>
      <c r="BE463" s="3" t="s">
        <v>1374</v>
      </c>
      <c r="BF463" s="118">
        <v>3.7509999999999999</v>
      </c>
      <c r="BG463" s="49" t="s">
        <v>1</v>
      </c>
      <c r="BH463" s="49" t="s">
        <v>1</v>
      </c>
      <c r="BJ463" s="75" t="s">
        <v>1287</v>
      </c>
      <c r="BK463" s="57" t="s">
        <v>1287</v>
      </c>
      <c r="BL463" s="57" t="s">
        <v>1287</v>
      </c>
      <c r="BM463" s="57" t="s">
        <v>1287</v>
      </c>
      <c r="BN463" s="57" t="s">
        <v>1287</v>
      </c>
      <c r="BO463" s="57" t="s">
        <v>1287</v>
      </c>
      <c r="BP463" s="57" t="s">
        <v>1287</v>
      </c>
      <c r="BQ463" s="57" t="s">
        <v>1287</v>
      </c>
      <c r="BR463" s="57" t="s">
        <v>1287</v>
      </c>
      <c r="BS463" s="57" t="s">
        <v>1287</v>
      </c>
      <c r="BT463" s="57" t="s">
        <v>1287</v>
      </c>
      <c r="BU463" s="57" t="s">
        <v>1287</v>
      </c>
      <c r="BV463" s="75">
        <f t="shared" si="4028"/>
        <v>196</v>
      </c>
      <c r="BW463" s="71">
        <f t="shared" si="4029"/>
        <v>229</v>
      </c>
      <c r="BX463" s="72">
        <f t="shared" si="4030"/>
        <v>234</v>
      </c>
      <c r="BY463" s="71" t="str">
        <f t="shared" si="4031"/>
        <v>-</v>
      </c>
      <c r="BZ463" s="72">
        <f t="shared" si="4032"/>
        <v>285</v>
      </c>
      <c r="CA463" s="71" t="str">
        <f t="shared" si="4033"/>
        <v>-</v>
      </c>
      <c r="CB463" s="72">
        <f t="shared" si="4034"/>
        <v>329</v>
      </c>
      <c r="CC463" s="71">
        <f t="shared" si="4035"/>
        <v>363</v>
      </c>
      <c r="CD463" s="72">
        <f t="shared" si="4036"/>
        <v>369</v>
      </c>
      <c r="CE463" s="71">
        <f t="shared" si="4037"/>
        <v>416</v>
      </c>
      <c r="CF463" s="72">
        <f t="shared" si="4038"/>
        <v>487</v>
      </c>
      <c r="CG463" s="71">
        <f t="shared" si="4039"/>
        <v>511</v>
      </c>
      <c r="CH463" s="75">
        <f t="shared" si="4040"/>
        <v>228</v>
      </c>
      <c r="CI463" s="71">
        <f t="shared" si="4041"/>
        <v>233</v>
      </c>
      <c r="CJ463" s="72">
        <f t="shared" si="4042"/>
        <v>256</v>
      </c>
      <c r="CK463" s="72" t="str">
        <f t="shared" si="4043"/>
        <v>-</v>
      </c>
      <c r="CL463" s="72">
        <f t="shared" si="4044"/>
        <v>317</v>
      </c>
      <c r="CM463" s="72" t="str">
        <f t="shared" si="4045"/>
        <v>-</v>
      </c>
      <c r="CN463" s="72">
        <f t="shared" si="4046"/>
        <v>351</v>
      </c>
      <c r="CO463" s="72">
        <f t="shared" si="4047"/>
        <v>365</v>
      </c>
      <c r="CP463" s="72">
        <f t="shared" si="4048"/>
        <v>401</v>
      </c>
      <c r="CQ463" s="72">
        <f t="shared" si="4049"/>
        <v>472</v>
      </c>
      <c r="CR463" s="72">
        <f t="shared" si="4050"/>
        <v>510</v>
      </c>
      <c r="CS463" s="72">
        <f t="shared" si="4051"/>
        <v>520</v>
      </c>
      <c r="CT463" s="23">
        <f t="shared" si="4052"/>
        <v>1</v>
      </c>
    </row>
    <row r="464" spans="1:1030" x14ac:dyDescent="0.2">
      <c r="A464" s="3" t="str">
        <f t="shared" si="4025"/>
        <v>q98sw5_xenla_6D35</v>
      </c>
      <c r="B464" s="3" t="s">
        <v>1495</v>
      </c>
      <c r="C464" s="3" t="s">
        <v>1497</v>
      </c>
      <c r="D464" s="3" t="str">
        <f>IFERROR(MID(VLOOKUP($B464,Seqs!$A:$B,2,0),E464,1),"")</f>
        <v>T</v>
      </c>
      <c r="E464" s="3">
        <v>196</v>
      </c>
      <c r="F464" s="3" t="str">
        <f>IFERROR(MID(VLOOKUP($B464,Seqs!$A:$B,2,0),G464,1),"")</f>
        <v>D</v>
      </c>
      <c r="G464" s="3">
        <v>228</v>
      </c>
      <c r="H464" s="3" t="str">
        <f>IFERROR(MID(VLOOKUP($B464,Seqs!$A:$B,2,0),I464,1),"")</f>
        <v>W</v>
      </c>
      <c r="I464" s="23">
        <v>229</v>
      </c>
      <c r="J464" s="3" t="str">
        <f>IFERROR(MID(VLOOKUP($B464,Seqs!$A:$B,2,0),K464,1),"")</f>
        <v>N</v>
      </c>
      <c r="K464" s="23">
        <v>233</v>
      </c>
      <c r="L464" s="3" t="str">
        <f>IFERROR(MID(VLOOKUP($B464,Seqs!$A:$B,2,0),M464,1),"")</f>
        <v>R</v>
      </c>
      <c r="M464" s="3">
        <v>234</v>
      </c>
      <c r="N464" s="3" t="str">
        <f>IFERROR(MID(VLOOKUP($B464,Seqs!$A:$B,2,0),O464,1),"")</f>
        <v>A</v>
      </c>
      <c r="O464" s="3">
        <v>256</v>
      </c>
      <c r="P464" s="3" t="str">
        <f>IFERROR(MID(VLOOKUP($B464,Seqs!$A:$B,2,0),Q464,1),"")</f>
        <v/>
      </c>
      <c r="Q464" s="3" t="s">
        <v>23</v>
      </c>
      <c r="R464" s="3" t="str">
        <f>IFERROR(MID(VLOOKUP($B464,Seqs!$A:$B,2,0),S464,1),"")</f>
        <v/>
      </c>
      <c r="S464" s="3" t="s">
        <v>23</v>
      </c>
      <c r="T464" s="3" t="str">
        <f>IFERROR(MID(VLOOKUP($B464,Seqs!$A:$B,2,0),U464,1),"")</f>
        <v>L</v>
      </c>
      <c r="U464" s="3">
        <v>285</v>
      </c>
      <c r="V464" s="3" t="str">
        <f>IFERROR(MID(VLOOKUP($B464,Seqs!$A:$B,2,0),W464,1),"")</f>
        <v>K</v>
      </c>
      <c r="W464" s="3">
        <v>317</v>
      </c>
      <c r="X464" s="3" t="str">
        <f>IFERROR(MID(VLOOKUP($B464,Seqs!$A:$B,2,0),Y464,1),"")</f>
        <v/>
      </c>
      <c r="Y464" s="3" t="s">
        <v>23</v>
      </c>
      <c r="Z464" s="3" t="str">
        <f>IFERROR(MID(VLOOKUP($B464,Seqs!$A:$B,2,0),AA464,1),"")</f>
        <v/>
      </c>
      <c r="AA464" s="3" t="s">
        <v>23</v>
      </c>
      <c r="AB464" s="3" t="str">
        <f>IFERROR(MID(VLOOKUP($B464,Seqs!$A:$B,2,0),AC464,1),"")</f>
        <v>K</v>
      </c>
      <c r="AC464" s="3">
        <v>329</v>
      </c>
      <c r="AD464" s="3" t="str">
        <f>IFERROR(MID(VLOOKUP($B464,Seqs!$A:$B,2,0),AE464,1),"")</f>
        <v>V</v>
      </c>
      <c r="AE464" s="3">
        <v>351</v>
      </c>
      <c r="AF464" s="3" t="str">
        <f>IFERROR(MID(VLOOKUP($B464,Seqs!$A:$B,2,0),AG464,1),"")</f>
        <v>C</v>
      </c>
      <c r="AG464" s="3">
        <v>363</v>
      </c>
      <c r="AH464" s="3" t="str">
        <f>IFERROR(MID(VLOOKUP($B464,Seqs!$A:$B,2,0),AI464,1),"")</f>
        <v>V</v>
      </c>
      <c r="AI464" s="3">
        <v>365</v>
      </c>
      <c r="AJ464" s="3" t="str">
        <f>IFERROR(MID(VLOOKUP($B464,Seqs!$A:$B,2,0),AK464,1),"")</f>
        <v>N</v>
      </c>
      <c r="AK464" s="3">
        <v>369</v>
      </c>
      <c r="AL464" s="3" t="str">
        <f>IFERROR(MID(VLOOKUP($B464,Seqs!$A:$B,2,0),AM464,1),"")</f>
        <v>S</v>
      </c>
      <c r="AM464" s="3">
        <v>401</v>
      </c>
      <c r="AN464" s="3" t="str">
        <f>IFERROR(MID(VLOOKUP($B464,Seqs!$A:$B,2,0),AO464,1),"")</f>
        <v>S</v>
      </c>
      <c r="AO464" s="3">
        <v>416</v>
      </c>
      <c r="AP464" s="3" t="str">
        <f>IFERROR(MID(VLOOKUP($B464,Seqs!$A:$B,2,0),AQ464,1),"")</f>
        <v>Q</v>
      </c>
      <c r="AQ464" s="3">
        <v>472</v>
      </c>
      <c r="AR464" s="3" t="str">
        <f>IFERROR(MID(VLOOKUP($B464,Seqs!$A:$B,2,0),AS464,1),"")</f>
        <v>S</v>
      </c>
      <c r="AS464" s="3">
        <v>487</v>
      </c>
      <c r="AT464" s="3" t="str">
        <f>IFERROR(MID(VLOOKUP($B464,Seqs!$A:$B,2,0),AU464,1),"")</f>
        <v>W</v>
      </c>
      <c r="AU464" s="3">
        <v>510</v>
      </c>
      <c r="AV464" s="3" t="str">
        <f>IFERROR(MID(VLOOKUP($B464,Seqs!$A:$B,2,0),AW464,1),"")</f>
        <v>T</v>
      </c>
      <c r="AW464" s="3">
        <v>511</v>
      </c>
      <c r="AX464" s="3" t="str">
        <f>IFERROR(MID(VLOOKUP($B464,Seqs!$A:$B,2,0),AY464,1),"")</f>
        <v>R</v>
      </c>
      <c r="AY464" s="3">
        <v>520</v>
      </c>
      <c r="AZ464" s="78" t="str">
        <f>VLOOKUP(B464,Classification!A:D,2,0)</f>
        <v>F</v>
      </c>
      <c r="BA464" s="94" t="str">
        <f>VLOOKUP(B464,Classification!A:D,4,0)</f>
        <v>Frizzled</v>
      </c>
      <c r="BB464" s="92" t="b">
        <f t="shared" si="4026"/>
        <v>1</v>
      </c>
      <c r="BC464" s="23">
        <f t="shared" si="4027"/>
        <v>246</v>
      </c>
      <c r="BD464" s="74" t="s">
        <v>23</v>
      </c>
      <c r="BE464" s="3" t="s">
        <v>1374</v>
      </c>
      <c r="BF464" s="118">
        <v>3.9</v>
      </c>
      <c r="BG464" s="49" t="s">
        <v>1</v>
      </c>
      <c r="BH464" s="49" t="s">
        <v>1</v>
      </c>
      <c r="BJ464" s="75" t="s">
        <v>1287</v>
      </c>
      <c r="BK464" s="57" t="s">
        <v>1287</v>
      </c>
      <c r="BL464" s="57" t="s">
        <v>1287</v>
      </c>
      <c r="BM464" s="57" t="s">
        <v>1287</v>
      </c>
      <c r="BN464" s="57" t="s">
        <v>1287</v>
      </c>
      <c r="BO464" s="57" t="s">
        <v>1287</v>
      </c>
      <c r="BP464" s="57" t="s">
        <v>1287</v>
      </c>
      <c r="BQ464" s="57" t="s">
        <v>1287</v>
      </c>
      <c r="BR464" s="57" t="s">
        <v>1287</v>
      </c>
      <c r="BS464" s="57" t="s">
        <v>1287</v>
      </c>
      <c r="BT464" s="57" t="s">
        <v>1287</v>
      </c>
      <c r="BU464" s="57" t="s">
        <v>1287</v>
      </c>
      <c r="BV464" s="75">
        <f t="shared" si="4028"/>
        <v>196</v>
      </c>
      <c r="BW464" s="71">
        <f t="shared" si="4029"/>
        <v>229</v>
      </c>
      <c r="BX464" s="72">
        <f t="shared" si="4030"/>
        <v>234</v>
      </c>
      <c r="BY464" s="71" t="str">
        <f t="shared" si="4031"/>
        <v>-</v>
      </c>
      <c r="BZ464" s="72">
        <f t="shared" si="4032"/>
        <v>285</v>
      </c>
      <c r="CA464" s="71" t="str">
        <f t="shared" si="4033"/>
        <v>-</v>
      </c>
      <c r="CB464" s="72">
        <f t="shared" si="4034"/>
        <v>329</v>
      </c>
      <c r="CC464" s="71">
        <f t="shared" si="4035"/>
        <v>363</v>
      </c>
      <c r="CD464" s="72">
        <f t="shared" si="4036"/>
        <v>369</v>
      </c>
      <c r="CE464" s="71">
        <f t="shared" si="4037"/>
        <v>416</v>
      </c>
      <c r="CF464" s="72">
        <f t="shared" si="4038"/>
        <v>487</v>
      </c>
      <c r="CG464" s="71">
        <f t="shared" si="4039"/>
        <v>511</v>
      </c>
      <c r="CH464" s="75">
        <f t="shared" si="4040"/>
        <v>228</v>
      </c>
      <c r="CI464" s="71">
        <f t="shared" si="4041"/>
        <v>233</v>
      </c>
      <c r="CJ464" s="72">
        <f t="shared" si="4042"/>
        <v>256</v>
      </c>
      <c r="CK464" s="72" t="str">
        <f t="shared" si="4043"/>
        <v>-</v>
      </c>
      <c r="CL464" s="72">
        <f t="shared" si="4044"/>
        <v>317</v>
      </c>
      <c r="CM464" s="72" t="str">
        <f t="shared" si="4045"/>
        <v>-</v>
      </c>
      <c r="CN464" s="72">
        <f t="shared" si="4046"/>
        <v>351</v>
      </c>
      <c r="CO464" s="72">
        <f t="shared" si="4047"/>
        <v>365</v>
      </c>
      <c r="CP464" s="72">
        <f t="shared" si="4048"/>
        <v>401</v>
      </c>
      <c r="CQ464" s="72">
        <f t="shared" si="4049"/>
        <v>472</v>
      </c>
      <c r="CR464" s="72">
        <f t="shared" si="4050"/>
        <v>510</v>
      </c>
      <c r="CS464" s="72">
        <f t="shared" si="4051"/>
        <v>520</v>
      </c>
      <c r="CT464" s="23">
        <f t="shared" si="4052"/>
        <v>1</v>
      </c>
    </row>
    <row r="538" spans="52:86" x14ac:dyDescent="0.2">
      <c r="AZ538" s="77"/>
      <c r="BA538" s="28"/>
      <c r="BB538" s="16"/>
      <c r="BD538" s="2"/>
      <c r="BJ538" s="70"/>
      <c r="BV538" s="70"/>
      <c r="CH538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48 BB74 BB29:BB33 BB36:BB40">
    <cfRule type="cellIs" dxfId="70" priority="10" operator="equal">
      <formula>0</formula>
    </cfRule>
  </conditionalFormatting>
  <conditionalFormatting sqref="BB355:BB356">
    <cfRule type="cellIs" dxfId="69" priority="11" operator="equal">
      <formula>0</formula>
    </cfRule>
  </conditionalFormatting>
  <conditionalFormatting sqref="BB12">
    <cfRule type="cellIs" dxfId="68" priority="12" operator="equal">
      <formula>0</formula>
    </cfRule>
  </conditionalFormatting>
  <conditionalFormatting sqref="BB380">
    <cfRule type="cellIs" dxfId="67" priority="13" operator="equal">
      <formula>0</formula>
    </cfRule>
  </conditionalFormatting>
  <conditionalFormatting sqref="E380 AW380 AU380 AS380 AQ380 AO380 AM380 AK380 AI380 AG380 AE380 AC380 AA380 Y380 W380 U380 S380 Q380 O380 M380 K380 I380 G380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8">
    <cfRule type="cellIs" dxfId="64" priority="16" operator="equal">
      <formula>0</formula>
    </cfRule>
  </conditionalFormatting>
  <conditionalFormatting sqref="BB11">
    <cfRule type="cellIs" dxfId="63" priority="20" operator="equal">
      <formula>0</formula>
    </cfRule>
  </conditionalFormatting>
  <conditionalFormatting sqref="E11 AW11 AU11 AS11 AQ11 AO11 AM11 AK11 AI11 AG11 AE11 AC11 AA11 Y11 W11 U11 S11 Q11 O11 M11 K11 I11 G11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3 BB36:BB1048576">
    <cfRule type="cellIs" dxfId="60" priority="8" operator="equal">
      <formula>FALSE</formula>
    </cfRule>
  </conditionalFormatting>
  <conditionalFormatting sqref="BG36:BG47 BG27:BG33 BH27:BH47 BG1:BH26 BG48:BH1048576">
    <cfRule type="cellIs" dxfId="59" priority="7" operator="equal">
      <formula>"?"</formula>
    </cfRule>
  </conditionalFormatting>
  <conditionalFormatting sqref="BB34:BB35">
    <cfRule type="cellIs" dxfId="58" priority="6" operator="equal">
      <formula>FALSE</formula>
    </cfRule>
  </conditionalFormatting>
  <conditionalFormatting sqref="BG34:BG35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58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BE2:BE538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73"/>
  <sheetViews>
    <sheetView workbookViewId="0">
      <pane ySplit="1" topLeftCell="A38" activePane="bottomLeft" state="frozenSplit"/>
      <selection pane="bottomLeft" activeCell="C82" sqref="C82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1076</v>
      </c>
      <c r="B1" s="30" t="s">
        <v>31</v>
      </c>
      <c r="C1" s="30" t="s">
        <v>1060</v>
      </c>
      <c r="D1" s="30" t="s">
        <v>1061</v>
      </c>
      <c r="E1" s="30" t="s">
        <v>1077</v>
      </c>
      <c r="F1" s="30" t="s">
        <v>1078</v>
      </c>
      <c r="G1" s="30" t="s">
        <v>1062</v>
      </c>
      <c r="H1" s="30" t="s">
        <v>1063</v>
      </c>
      <c r="I1" s="30" t="s">
        <v>1079</v>
      </c>
      <c r="J1" s="30" t="s">
        <v>1080</v>
      </c>
      <c r="K1" s="30" t="s">
        <v>1064</v>
      </c>
      <c r="L1" s="30" t="s">
        <v>1065</v>
      </c>
      <c r="M1" s="30" t="s">
        <v>1092</v>
      </c>
      <c r="N1" s="30" t="s">
        <v>1093</v>
      </c>
      <c r="O1" s="30" t="s">
        <v>1066</v>
      </c>
      <c r="P1" s="30" t="s">
        <v>1067</v>
      </c>
      <c r="Q1" s="30" t="s">
        <v>1095</v>
      </c>
      <c r="R1" s="30" t="s">
        <v>1096</v>
      </c>
      <c r="S1" s="30" t="s">
        <v>1068</v>
      </c>
      <c r="T1" s="30" t="s">
        <v>1069</v>
      </c>
      <c r="U1" s="30" t="s">
        <v>1070</v>
      </c>
      <c r="V1" s="30" t="s">
        <v>1071</v>
      </c>
      <c r="W1" s="30" t="s">
        <v>1072</v>
      </c>
      <c r="X1" s="30" t="s">
        <v>1073</v>
      </c>
      <c r="Y1" s="30" t="s">
        <v>1074</v>
      </c>
      <c r="Z1" s="30" t="s">
        <v>1075</v>
      </c>
      <c r="AA1" s="30" t="s">
        <v>99</v>
      </c>
      <c r="AB1" s="95" t="s">
        <v>1380</v>
      </c>
      <c r="AC1" s="30" t="s">
        <v>1289</v>
      </c>
      <c r="AD1" s="30" t="s">
        <v>1288</v>
      </c>
      <c r="AE1" s="30" t="s">
        <v>1282</v>
      </c>
      <c r="AF1" s="30" t="s">
        <v>1230</v>
      </c>
      <c r="AG1" s="30" t="s">
        <v>1283</v>
      </c>
      <c r="AH1" s="30" t="s">
        <v>1241</v>
      </c>
      <c r="AI1" s="30" t="s">
        <v>1285</v>
      </c>
      <c r="AJ1" s="30" t="s">
        <v>1275</v>
      </c>
      <c r="AK1" s="30" t="s">
        <v>1284</v>
      </c>
      <c r="AL1" s="30" t="s">
        <v>1290</v>
      </c>
      <c r="AM1" s="30" t="s">
        <v>1239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1367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1379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1464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1255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1445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1243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1244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1468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1249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68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61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1</v>
      </c>
      <c r="AG10" s="49">
        <f>VLOOKUP(B10,'SegEnds_NonXtal_Prot#'!A:AL,13,FALSE)-VLOOKUP(B10,'SegEnds_NonXtal_Prot#'!A:AL,11,FALSE)</f>
        <v>2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34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1246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1248</v>
      </c>
      <c r="B12" s="2" t="s">
        <v>909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1247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1390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1245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1277</v>
      </c>
    </row>
    <row r="16" spans="1:64" s="2" customFormat="1" x14ac:dyDescent="0.2">
      <c r="A16" s="2" t="s">
        <v>1251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1250</v>
      </c>
      <c r="B17" s="2" t="s">
        <v>911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1252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2</v>
      </c>
      <c r="AG18" s="49">
        <f>VLOOKUP(B18,'SegEnds_NonXtal_Prot#'!A:AL,13,FALSE)-VLOOKUP(B18,'SegEnds_NonXtal_Prot#'!A:AL,11,FALSE)</f>
        <v>3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35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1393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1362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1254</v>
      </c>
      <c r="B22" s="2" t="s">
        <v>1171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1274</v>
      </c>
      <c r="B23" s="2" t="s">
        <v>923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1253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1329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1256</v>
      </c>
      <c r="B26" s="2" t="s">
        <v>1172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1257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1258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1273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1259</v>
      </c>
      <c r="B30" s="2" t="s">
        <v>913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1261</v>
      </c>
      <c r="B31" s="2" t="s">
        <v>915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1262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1264</v>
      </c>
      <c r="B33" s="2" t="s">
        <v>1173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1263</v>
      </c>
      <c r="B34" s="2" t="s">
        <v>917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1260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1265</v>
      </c>
      <c r="B36" s="2" t="s">
        <v>919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1278</v>
      </c>
      <c r="AP36" s="2" t="s">
        <v>1280</v>
      </c>
    </row>
    <row r="37" spans="1:64" s="2" customFormat="1" x14ac:dyDescent="0.2">
      <c r="A37" s="2" t="s">
        <v>1267</v>
      </c>
      <c r="B37" s="2" t="s">
        <v>921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1266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1269</v>
      </c>
      <c r="B39" s="2" t="s">
        <v>1175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1268</v>
      </c>
      <c r="B40" s="2" t="s">
        <v>1174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1270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1271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1272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35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1420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20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2" t="s">
        <v>1495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1440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1451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1507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409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39" x14ac:dyDescent="0.2">
      <c r="A65" s="2" t="str">
        <f t="shared" si="0"/>
        <v>pe2r4_human__wt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39" x14ac:dyDescent="0.2">
      <c r="A66" s="2" t="str">
        <f t="shared" si="0"/>
        <v>ta2r_human__wt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39" x14ac:dyDescent="0.2">
      <c r="A67" s="2" t="str">
        <f t="shared" si="0"/>
        <v>fzd4_human__wt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39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28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39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39" x14ac:dyDescent="0.2">
      <c r="A70" s="2" t="str">
        <f t="shared" ref="A70:A76" si="1">CONCATENATE(B70,"__wt",)</f>
        <v>mtr1a_human__wt</v>
      </c>
      <c r="B70" s="2" t="s">
        <v>311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39" x14ac:dyDescent="0.2">
      <c r="A71" s="2" t="str">
        <f t="shared" si="1"/>
        <v>mtr1b_human__wt</v>
      </c>
      <c r="B71" s="2" t="s">
        <v>312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39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39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39" x14ac:dyDescent="0.2">
      <c r="A74" s="2" t="str">
        <f t="shared" si="1"/>
        <v>smo_mouse__wt</v>
      </c>
      <c r="B74" s="2" t="s">
        <v>1594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39</v>
      </c>
      <c r="H74" s="2">
        <f>IFERROR(50+VLOOKUP($A74,'SegEnds_Xtal_Prot#'!$A:$AY,15,FALSE)-VLOOKUP($B74,'SegEnds_NonXtal_Prot#'!$A:$AL,10,FALSE),"-")</f>
        <v>63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20</v>
      </c>
      <c r="V74" s="2">
        <f>IFERROR(50+VLOOKUP($A74,'SegEnds_Xtal_Prot#'!$A:$AY,43,FALSE)-VLOOKUP($B74,'SegEnds_NonXtal_Prot#'!$A:$AL,31,FALSE),"-")</f>
        <v>78</v>
      </c>
      <c r="W74" s="2">
        <f>IFERROR(50+VLOOKUP($A74,'SegEnds_Xtal_Prot#'!$A:$AY,45,FALSE)-VLOOKUP($B74,'SegEnds_NonXtal_Prot#'!$A:$AL,34,FALSE),"-")</f>
        <v>34</v>
      </c>
      <c r="X74" s="2">
        <f>IFERROR(50+VLOOKUP($A74,'SegEnds_Xtal_Prot#'!$A:$AY,47,FALSE)-VLOOKUP($B74,'SegEnds_NonXtal_Prot#'!$A:$AL,34,FALSE),"-")</f>
        <v>57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67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62</v>
      </c>
    </row>
    <row r="75" spans="1:39" x14ac:dyDescent="0.2">
      <c r="A75" s="2" t="str">
        <f t="shared" si="1"/>
        <v>sucr1_rat__wt</v>
      </c>
      <c r="B75" s="2" t="s">
        <v>1597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39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39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39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39" x14ac:dyDescent="0.2">
      <c r="A79" s="2" t="str">
        <f t="shared" ref="A79" si="4">CONCATENATE(B79,"__wt",)</f>
        <v>pacr_human__wt</v>
      </c>
      <c r="B79" s="2" t="s">
        <v>408</v>
      </c>
      <c r="C79" s="2">
        <f>IFERROR(50+VLOOKUP($A79,'SegEnds_Xtal_Prot#'!$A:$AY,5,FALSE)-VLOOKUP($B79,'SegEnds_NonXtal_Prot#'!$A:$AL,4,FALSE),"-")</f>
        <v>21</v>
      </c>
      <c r="D79" s="2">
        <f>IFERROR(50+VLOOKUP($A79,'SegEnds_Xtal_Prot#'!$A:$AY,7,FALSE)-VLOOKUP($B79,'SegEnds_NonXtal_Prot#'!$A:$AL,4,FALSE),"-")</f>
        <v>60</v>
      </c>
      <c r="E79" s="2">
        <f>IFERROR(50+VLOOKUP($A79,'SegEnds_Xtal_Prot#'!$A:$AY,9,FALSE)-VLOOKUP($B79,'SegEnds_NonXtal_Prot#'!$A:$AL,7,FALSE),"-")</f>
        <v>48</v>
      </c>
      <c r="F79" s="2">
        <f>IFERROR(50+VLOOKUP($A79,'SegEnds_Xtal_Prot#'!$A:$AY,11,FALSE)-VLOOKUP($B79,'SegEnds_NonXtal_Prot#'!$A:$AL,7,FALSE),"-")</f>
        <v>51</v>
      </c>
      <c r="G79" s="2">
        <f>IFERROR(50+VLOOKUP($A79,'SegEnds_Xtal_Prot#'!$A:$AY,13,FALSE)-VLOOKUP($B79,'SegEnds_NonXtal_Prot#'!$A:$AL,10,FALSE),"-")</f>
        <v>37</v>
      </c>
      <c r="H79" s="2">
        <f>IFERROR(50+VLOOKUP($A79,'SegEnds_Xtal_Prot#'!$A:$AY,15,FALSE)-VLOOKUP($B79,'SegEnds_NonXtal_Prot#'!$A:$AL,10,FALSE),"-")</f>
        <v>64</v>
      </c>
      <c r="I79" s="2" t="str">
        <f>IFERROR(50+VLOOKUP($A79,'SegEnds_Xtal_Prot#'!$A:$AY,17,FALSE)-VLOOKUP($B79,'SegEnds_NonXtal_Prot#'!$A:$AL,13,FALSE),"-")</f>
        <v>-</v>
      </c>
      <c r="J79" s="2" t="str">
        <f>IFERROR(50+VLOOKUP($A79,'SegEnds_Xtal_Prot#'!$A:$AY,19,FALSE)-VLOOKUP($B79,'SegEnds_NonXtal_Prot#'!$A:$AL,13,FALSE),"-")</f>
        <v>-</v>
      </c>
      <c r="K79" s="2">
        <f>IFERROR(50+VLOOKUP($A79,'SegEnds_Xtal_Prot#'!$A:$AY,21,FALSE)-VLOOKUP($B79,'SegEnds_NonXtal_Prot#'!$A:$AL,16,FALSE),"-")</f>
        <v>22</v>
      </c>
      <c r="L79" s="2">
        <f>IFERROR(50+VLOOKUP($A79,'SegEnds_Xtal_Prot#'!$A:$AY,23,FALSE)-VLOOKUP($B79,'SegEnds_NonXtal_Prot#'!$A:$AL,16,FALSE),"-")</f>
        <v>56</v>
      </c>
      <c r="M79" s="2" t="str">
        <f>IFERROR(50+VLOOKUP($A79,'SegEnds_Xtal_Prot#'!$A:$AY,25,FALSE)-VLOOKUP($B79,'SegEnds_NonXtal_Prot#'!$A:$AL,19,FALSE),"-")</f>
        <v>-</v>
      </c>
      <c r="N79" s="2" t="str">
        <f>IFERROR(50+VLOOKUP($A79,'SegEnds_Xtal_Prot#'!$A:$AY,27,FALSE)-VLOOKUP($B79,'SegEnds_NonXtal_Prot#'!$A:$AL,19,FALSE),"-")</f>
        <v>-</v>
      </c>
      <c r="O79" s="2">
        <f>IFERROR(50+VLOOKUP($A79,'SegEnds_Xtal_Prot#'!$A:$AY,29,FALSE)-VLOOKUP($B79,'SegEnds_NonXtal_Prot#'!$A:$AL,22,FALSE),"-")</f>
        <v>40</v>
      </c>
      <c r="P79" s="2">
        <f>IFERROR(50+VLOOKUP($A79,'SegEnds_Xtal_Prot#'!$A:$AY,31,FALSE)-VLOOKUP($B79,'SegEnds_NonXtal_Prot#'!$A:$AL,22,FALSE),"-")</f>
        <v>68</v>
      </c>
      <c r="Q79" s="2">
        <f>IFERROR(50+VLOOKUP($A79,'SegEnds_Xtal_Prot#'!$A:$AY,33,FALSE)-VLOOKUP($B79,'SegEnds_NonXtal_Prot#'!$A:$AL,25,FALSE),"-")</f>
        <v>50</v>
      </c>
      <c r="R79" s="2">
        <f>IFERROR(50+VLOOKUP($A79,'SegEnds_Xtal_Prot#'!$A:$AY,35,FALSE)-VLOOKUP($B79,'SegEnds_NonXtal_Prot#'!$A:$AL,25,FALSE),"-")</f>
        <v>52</v>
      </c>
      <c r="S79" s="2">
        <f>IFERROR(50+VLOOKUP($A79,'SegEnds_Xtal_Prot#'!$A:$AY,37,FALSE)-VLOOKUP($B79,'SegEnds_NonXtal_Prot#'!$A:$AL,28,FALSE),"-")</f>
        <v>36</v>
      </c>
      <c r="T79" s="2">
        <f>IFERROR(50+VLOOKUP($A79,'SegEnds_Xtal_Prot#'!$A:$AY,39,FALSE)-VLOOKUP($B79,'SegEnds_NonXtal_Prot#'!$A:$AL,28,FALSE),"-")</f>
        <v>69</v>
      </c>
      <c r="U79" s="2">
        <f>IFERROR(50+VLOOKUP($A79,'SegEnds_Xtal_Prot#'!$A:$AY,41,FALSE)-VLOOKUP($B79,'SegEnds_NonXtal_Prot#'!$A:$AL,31,FALSE),"-")</f>
        <v>25</v>
      </c>
      <c r="V79" s="2">
        <f>IFERROR(50+VLOOKUP($A79,'SegEnds_Xtal_Prot#'!$A:$AY,43,FALSE)-VLOOKUP($B79,'SegEnds_NonXtal_Prot#'!$A:$AL,31,FALSE),"-")</f>
        <v>54</v>
      </c>
      <c r="W79" s="2">
        <f>IFERROR(50+VLOOKUP($A79,'SegEnds_Xtal_Prot#'!$A:$AY,45,FALSE)-VLOOKUP($B79,'SegEnds_NonXtal_Prot#'!$A:$AL,34,FALSE),"-")</f>
        <v>31</v>
      </c>
      <c r="X79" s="2">
        <f>IFERROR(50+VLOOKUP($A79,'SegEnds_Xtal_Prot#'!$A:$AY,47,FALSE)-VLOOKUP($B79,'SegEnds_NonXtal_Prot#'!$A:$AL,34,FALSE),"-")</f>
        <v>56</v>
      </c>
      <c r="Y79" s="2">
        <f>IFERROR(50+VLOOKUP($A79,'SegEnds_Xtal_Prot#'!$A:$AY,49,FALSE)-VLOOKUP($B79,'SegEnds_NonXtal_Prot#'!$A:$AL,37,FALSE),"-")</f>
        <v>47</v>
      </c>
      <c r="Z79" s="2">
        <f>IFERROR(50+VLOOKUP($A79,'SegEnds_Xtal_Prot#'!$A:$AY,51,FALSE)-VLOOKUP($B79,'SegEnds_NonXtal_Prot#'!$A:$AL,37,FALSE),"-")</f>
        <v>72</v>
      </c>
      <c r="AA79" s="49" t="str">
        <f>VLOOKUP(B79,Classification!A:D,2,FALSE)</f>
        <v>B1</v>
      </c>
      <c r="AB79" s="94" t="str">
        <f>VLOOKUP(B79,Classification!A:D,4,0)</f>
        <v>VIPandPACAP</v>
      </c>
      <c r="AC79" s="49">
        <f>VLOOKUP(B79,'SegEnds_NonXtal_Prot#'!A:AL,6,FALSE)-VLOOKUP(B79,'SegEnds_NonXtal_Prot#'!A:AL,5,FALSE)</f>
        <v>1</v>
      </c>
      <c r="AD79" s="49">
        <f>VLOOKUP(B79,'SegEnds_NonXtal_Prot#'!A:AL,9,FALSE)-VLOOKUP(B79,'SegEnds_NonXtal_Prot#'!A:AL,8,FALSE)</f>
        <v>1</v>
      </c>
      <c r="AE79" s="49" t="e">
        <f>VLOOKUP(B79,'SegEnds_NonXtal_Prot#'!A:AL,13,FALSE)-VLOOKUP(B79,'SegEnds_NonXtal_Prot#'!A:AL,10,FALSE)</f>
        <v>#VALUE!</v>
      </c>
      <c r="AF79" s="49" t="e">
        <f>VLOOKUP(B79,'SegEnds_NonXtal_Prot#'!A:AL,12,FALSE)-VLOOKUP(B79,'SegEnds_NonXtal_Prot#'!A:AL,11,FALSE)</f>
        <v>#VALUE!</v>
      </c>
      <c r="AG79" s="49" t="e">
        <f>VLOOKUP(B79,'SegEnds_NonXtal_Prot#'!A:AL,13,FALSE)-VLOOKUP(B79,'SegEnds_NonXtal_Prot#'!A:AL,11,FALSE)</f>
        <v>#VALUE!</v>
      </c>
      <c r="AH79" s="49">
        <f>VLOOKUP(B79,'SegEnds_NonXtal_Prot#'!A:AL,16,FALSE)-VLOOKUP(B79,'SegEnds_NonXtal_Prot#'!A:AL,10,FALSE)</f>
        <v>55</v>
      </c>
      <c r="AI79" s="49">
        <f>VLOOKUP(B79,'SegEnds_NonXtal_Prot#'!A:AL,16,FALSE)-VLOOKUP(B79,'SegEnds_NonXtal_Prot#'!A:AL,11,FALSE)</f>
        <v>41</v>
      </c>
      <c r="AJ79" s="49" t="e">
        <f>VLOOKUP(B79,'SegEnds_NonXtal_Prot#'!A:AL,22,FALSE)-VLOOKUP(B79,'SegEnds_NonXtal_Prot#'!A:AL,19,FALSE)</f>
        <v>#VALUE!</v>
      </c>
      <c r="AK79" s="49" t="e">
        <f>VLOOKUP(B79,'SegEnds_NonXtal_Prot#'!A:AL,15,FALSE)-VLOOKUP(B79,'SegEnds_NonXtal_Prot#'!A:AL,14,FALSE)</f>
        <v>#VALUE!</v>
      </c>
      <c r="AL79" s="49" t="e">
        <f>VLOOKUP(B79,'SegEnds_NonXtal_Prot#'!A:AL,18,FALSE)-VLOOKUP(B79,'SegEnds_NonXtal_Prot#'!A:AL,17,FALSE)</f>
        <v>#VALUE!</v>
      </c>
      <c r="AM79" s="2">
        <f>VLOOKUP(B79,'SegEnds_NonXtal_Prot#'!A:AL,34,FALSE)-VLOOKUP(B79,'SegEnds_NonXtal_Prot#'!A:AL,31,FALSE)</f>
        <v>29</v>
      </c>
    </row>
    <row r="80" spans="1:39" x14ac:dyDescent="0.2">
      <c r="A80" s="2" t="str">
        <f t="shared" ref="A80" si="5">CONCATENATE(B80,"__wt",)</f>
        <v>crfr2_human__wt</v>
      </c>
      <c r="B80" s="2" t="s">
        <v>403</v>
      </c>
      <c r="C80" s="2">
        <f>IFERROR(50+VLOOKUP($A80,'SegEnds_Xtal_Prot#'!$A:$AY,5,FALSE)-VLOOKUP($B80,'SegEnds_NonXtal_Prot#'!$A:$AL,4,FALSE),"-")</f>
        <v>19</v>
      </c>
      <c r="D80" s="2">
        <f>IFERROR(50+VLOOKUP($A80,'SegEnds_Xtal_Prot#'!$A:$AY,7,FALSE)-VLOOKUP($B80,'SegEnds_NonXtal_Prot#'!$A:$AL,4,FALSE),"-")</f>
        <v>60</v>
      </c>
      <c r="E80" s="2">
        <f>IFERROR(50+VLOOKUP($A80,'SegEnds_Xtal_Prot#'!$A:$AY,9,FALSE)-VLOOKUP($B80,'SegEnds_NonXtal_Prot#'!$A:$AL,7,FALSE),"-")</f>
        <v>48</v>
      </c>
      <c r="F80" s="2">
        <f>IFERROR(50+VLOOKUP($A80,'SegEnds_Xtal_Prot#'!$A:$AY,11,FALSE)-VLOOKUP($B80,'SegEnds_NonXtal_Prot#'!$A:$AL,7,FALSE),"-")</f>
        <v>51</v>
      </c>
      <c r="G80" s="2">
        <f>IFERROR(50+VLOOKUP($A80,'SegEnds_Xtal_Prot#'!$A:$AY,13,FALSE)-VLOOKUP($B80,'SegEnds_NonXtal_Prot#'!$A:$AL,10,FALSE),"-")</f>
        <v>37</v>
      </c>
      <c r="H80" s="2">
        <f>IFERROR(50+VLOOKUP($A80,'SegEnds_Xtal_Prot#'!$A:$AY,15,FALSE)-VLOOKUP($B80,'SegEnds_NonXtal_Prot#'!$A:$AL,10,FALSE),"-")</f>
        <v>63</v>
      </c>
      <c r="I80" s="2" t="str">
        <f>IFERROR(50+VLOOKUP($A80,'SegEnds_Xtal_Prot#'!$A:$AY,17,FALSE)-VLOOKUP($B80,'SegEnds_NonXtal_Prot#'!$A:$AL,13,FALSE),"-")</f>
        <v>-</v>
      </c>
      <c r="J80" s="2" t="str">
        <f>IFERROR(50+VLOOKUP($A80,'SegEnds_Xtal_Prot#'!$A:$AY,19,FALSE)-VLOOKUP($B80,'SegEnds_NonXtal_Prot#'!$A:$AL,13,FALSE),"-")</f>
        <v>-</v>
      </c>
      <c r="K80" s="2">
        <f>IFERROR(50+VLOOKUP($A80,'SegEnds_Xtal_Prot#'!$A:$AY,21,FALSE)-VLOOKUP($B80,'SegEnds_NonXtal_Prot#'!$A:$AL,16,FALSE),"-")</f>
        <v>22</v>
      </c>
      <c r="L80" s="2">
        <f>IFERROR(50+VLOOKUP($A80,'SegEnds_Xtal_Prot#'!$A:$AY,23,FALSE)-VLOOKUP($B80,'SegEnds_NonXtal_Prot#'!$A:$AL,16,FALSE),"-")</f>
        <v>56</v>
      </c>
      <c r="M80" s="2" t="str">
        <f>IFERROR(50+VLOOKUP($A80,'SegEnds_Xtal_Prot#'!$A:$AY,25,FALSE)-VLOOKUP($B80,'SegEnds_NonXtal_Prot#'!$A:$AL,19,FALSE),"-")</f>
        <v>-</v>
      </c>
      <c r="N80" s="2" t="str">
        <f>IFERROR(50+VLOOKUP($A80,'SegEnds_Xtal_Prot#'!$A:$AY,27,FALSE)-VLOOKUP($B80,'SegEnds_NonXtal_Prot#'!$A:$AL,19,FALSE),"-")</f>
        <v>-</v>
      </c>
      <c r="O80" s="2">
        <f>IFERROR(50+VLOOKUP($A80,'SegEnds_Xtal_Prot#'!$A:$AY,29,FALSE)-VLOOKUP($B80,'SegEnds_NonXtal_Prot#'!$A:$AL,22,FALSE),"-")</f>
        <v>41</v>
      </c>
      <c r="P80" s="2">
        <f>IFERROR(50+VLOOKUP($A80,'SegEnds_Xtal_Prot#'!$A:$AY,31,FALSE)-VLOOKUP($B80,'SegEnds_NonXtal_Prot#'!$A:$AL,22,FALSE),"-")</f>
        <v>68</v>
      </c>
      <c r="Q80" s="2">
        <f>IFERROR(50+VLOOKUP($A80,'SegEnds_Xtal_Prot#'!$A:$AY,33,FALSE)-VLOOKUP($B80,'SegEnds_NonXtal_Prot#'!$A:$AL,25,FALSE),"-")</f>
        <v>50</v>
      </c>
      <c r="R80" s="2">
        <f>IFERROR(50+VLOOKUP($A80,'SegEnds_Xtal_Prot#'!$A:$AY,35,FALSE)-VLOOKUP($B80,'SegEnds_NonXtal_Prot#'!$A:$AL,25,FALSE),"-")</f>
        <v>52</v>
      </c>
      <c r="S80" s="2">
        <f>IFERROR(50+VLOOKUP($A80,'SegEnds_Xtal_Prot#'!$A:$AY,37,FALSE)-VLOOKUP($B80,'SegEnds_NonXtal_Prot#'!$A:$AL,28,FALSE),"-")</f>
        <v>39</v>
      </c>
      <c r="T80" s="2">
        <f>IFERROR(50+VLOOKUP($A80,'SegEnds_Xtal_Prot#'!$A:$AY,39,FALSE)-VLOOKUP($B80,'SegEnds_NonXtal_Prot#'!$A:$AL,28,FALSE),"-")</f>
        <v>71</v>
      </c>
      <c r="U80" s="2">
        <f>IFERROR(50+VLOOKUP($A80,'SegEnds_Xtal_Prot#'!$A:$AY,41,FALSE)-VLOOKUP($B80,'SegEnds_NonXtal_Prot#'!$A:$AL,31,FALSE),"-")</f>
        <v>25</v>
      </c>
      <c r="V80" s="2">
        <f>IFERROR(50+VLOOKUP($A80,'SegEnds_Xtal_Prot#'!$A:$AY,43,FALSE)-VLOOKUP($B80,'SegEnds_NonXtal_Prot#'!$A:$AL,31,FALSE),"-")</f>
        <v>53</v>
      </c>
      <c r="W80" s="2">
        <f>IFERROR(50+VLOOKUP($A80,'SegEnds_Xtal_Prot#'!$A:$AY,45,FALSE)-VLOOKUP($B80,'SegEnds_NonXtal_Prot#'!$A:$AL,34,FALSE),"-")</f>
        <v>28</v>
      </c>
      <c r="X80" s="2">
        <f>IFERROR(50+VLOOKUP($A80,'SegEnds_Xtal_Prot#'!$A:$AY,47,FALSE)-VLOOKUP($B80,'SegEnds_NonXtal_Prot#'!$A:$AL,34,FALSE),"-")</f>
        <v>56</v>
      </c>
      <c r="Y80" s="2">
        <f>IFERROR(50+VLOOKUP($A80,'SegEnds_Xtal_Prot#'!$A:$AY,49,FALSE)-VLOOKUP($B80,'SegEnds_NonXtal_Prot#'!$A:$AL,37,FALSE),"-")</f>
        <v>47</v>
      </c>
      <c r="Z80" s="2">
        <f>IFERROR(50+VLOOKUP($A80,'SegEnds_Xtal_Prot#'!$A:$AY,51,FALSE)-VLOOKUP($B80,'SegEnds_NonXtal_Prot#'!$A:$AL,37,FALSE),"-")</f>
        <v>72</v>
      </c>
      <c r="AA80" s="49" t="str">
        <f>VLOOKUP(B80,Classification!A:D,2,FALSE)</f>
        <v>B1</v>
      </c>
      <c r="AB80" s="94" t="str">
        <f>VLOOKUP(B80,Classification!A:D,4,0)</f>
        <v>Corticotropin-releasingfact</v>
      </c>
      <c r="AC80" s="49">
        <f>VLOOKUP(B80,'SegEnds_NonXtal_Prot#'!A:AL,6,FALSE)-VLOOKUP(B80,'SegEnds_NonXtal_Prot#'!A:AL,5,FALSE)</f>
        <v>1</v>
      </c>
      <c r="AD80" s="49">
        <f>VLOOKUP(B80,'SegEnds_NonXtal_Prot#'!A:AL,9,FALSE)-VLOOKUP(B80,'SegEnds_NonXtal_Prot#'!A:AL,8,FALSE)</f>
        <v>1</v>
      </c>
      <c r="AE80" s="49" t="e">
        <f>VLOOKUP(B80,'SegEnds_NonXtal_Prot#'!A:AL,13,FALSE)-VLOOKUP(B80,'SegEnds_NonXtal_Prot#'!A:AL,10,FALSE)</f>
        <v>#VALUE!</v>
      </c>
      <c r="AF80" s="49" t="e">
        <f>VLOOKUP(B80,'SegEnds_NonXtal_Prot#'!A:AL,12,FALSE)-VLOOKUP(B80,'SegEnds_NonXtal_Prot#'!A:AL,11,FALSE)</f>
        <v>#VALUE!</v>
      </c>
      <c r="AG80" s="49" t="e">
        <f>VLOOKUP(B80,'SegEnds_NonXtal_Prot#'!A:AL,13,FALSE)-VLOOKUP(B80,'SegEnds_NonXtal_Prot#'!A:AL,11,FALSE)</f>
        <v>#VALUE!</v>
      </c>
      <c r="AH80" s="49">
        <f>VLOOKUP(B80,'SegEnds_NonXtal_Prot#'!A:AL,16,FALSE)-VLOOKUP(B80,'SegEnds_NonXtal_Prot#'!A:AL,10,FALSE)</f>
        <v>50</v>
      </c>
      <c r="AI80" s="49">
        <f>VLOOKUP(B80,'SegEnds_NonXtal_Prot#'!A:AL,16,FALSE)-VLOOKUP(B80,'SegEnds_NonXtal_Prot#'!A:AL,11,FALSE)</f>
        <v>37</v>
      </c>
      <c r="AJ80" s="49" t="e">
        <f>VLOOKUP(B80,'SegEnds_NonXtal_Prot#'!A:AL,22,FALSE)-VLOOKUP(B80,'SegEnds_NonXtal_Prot#'!A:AL,19,FALSE)</f>
        <v>#VALUE!</v>
      </c>
      <c r="AK80" s="49" t="e">
        <f>VLOOKUP(B80,'SegEnds_NonXtal_Prot#'!A:AL,15,FALSE)-VLOOKUP(B80,'SegEnds_NonXtal_Prot#'!A:AL,14,FALSE)</f>
        <v>#VALUE!</v>
      </c>
      <c r="AL80" s="49" t="e">
        <f>VLOOKUP(B80,'SegEnds_NonXtal_Prot#'!A:AL,18,FALSE)-VLOOKUP(B80,'SegEnds_NonXtal_Prot#'!A:AL,17,FALSE)</f>
        <v>#VALUE!</v>
      </c>
      <c r="AM80" s="2">
        <f>VLOOKUP(B80,'SegEnds_NonXtal_Prot#'!A:AL,34,FALSE)-VLOOKUP(B80,'SegEnds_NonXtal_Prot#'!A:AL,31,FALSE)</f>
        <v>31</v>
      </c>
    </row>
    <row r="81" spans="1:64" x14ac:dyDescent="0.2">
      <c r="A81" s="2" t="str">
        <f t="shared" ref="A81" si="6">CONCATENATE(B81,"__wt",)</f>
        <v>fpr2_human__wt</v>
      </c>
      <c r="B81" s="2" t="s">
        <v>202</v>
      </c>
      <c r="C81" s="2">
        <f>IFERROR(50+VLOOKUP($A81,'SegEnds_Xtal_Prot#'!$A:$AY,5,FALSE)-VLOOKUP($B81,'SegEnds_NonXtal_Prot#'!$A:$AL,4,FALSE),"-")</f>
        <v>25</v>
      </c>
      <c r="D81" s="2">
        <f>IFERROR(50+VLOOKUP($A81,'SegEnds_Xtal_Prot#'!$A:$AY,7,FALSE)-VLOOKUP($B81,'SegEnds_NonXtal_Prot#'!$A:$AL,4,FALSE),"-")</f>
        <v>61</v>
      </c>
      <c r="E81" s="2" t="str">
        <f>IFERROR(50+VLOOKUP($A81,'SegEnds_Xtal_Prot#'!$A:$AY,9,FALSE)-VLOOKUP($B81,'SegEnds_NonXtal_Prot#'!$A:$AL,7,FALSE),"-")</f>
        <v>-</v>
      </c>
      <c r="F81" s="2" t="str">
        <f>IFERROR(50+VLOOKUP($A81,'SegEnds_Xtal_Prot#'!$A:$AY,11,FALSE)-VLOOKUP($B81,'SegEnds_NonXtal_Prot#'!$A:$AL,7,FALSE),"-")</f>
        <v>-</v>
      </c>
      <c r="G81" s="2">
        <f>IFERROR(50+VLOOKUP($A81,'SegEnds_Xtal_Prot#'!$A:$AY,13,FALSE)-VLOOKUP($B81,'SegEnds_NonXtal_Prot#'!$A:$AL,10,FALSE),"-")</f>
        <v>37</v>
      </c>
      <c r="H81" s="2">
        <f>IFERROR(50+VLOOKUP($A81,'SegEnds_Xtal_Prot#'!$A:$AY,15,FALSE)-VLOOKUP($B81,'SegEnds_NonXtal_Prot#'!$A:$AL,10,FALSE),"-")</f>
        <v>67</v>
      </c>
      <c r="I81" s="2">
        <f>IFERROR(50+VLOOKUP($A81,'SegEnds_Xtal_Prot#'!$A:$AY,17,FALSE)-VLOOKUP($B81,'SegEnds_NonXtal_Prot#'!$A:$AL,13,FALSE),"-")</f>
        <v>49</v>
      </c>
      <c r="J81" s="2">
        <f>IFERROR(50+VLOOKUP($A81,'SegEnds_Xtal_Prot#'!$A:$AY,19,FALSE)-VLOOKUP($B81,'SegEnds_NonXtal_Prot#'!$A:$AL,13,FALSE),"-")</f>
        <v>52</v>
      </c>
      <c r="K81" s="2">
        <f>IFERROR(50+VLOOKUP($A81,'SegEnds_Xtal_Prot#'!$A:$AY,21,FALSE)-VLOOKUP($B81,'SegEnds_NonXtal_Prot#'!$A:$AL,16,FALSE),"-")</f>
        <v>21</v>
      </c>
      <c r="L81" s="2">
        <f>IFERROR(50+VLOOKUP($A81,'SegEnds_Xtal_Prot#'!$A:$AY,23,FALSE)-VLOOKUP($B81,'SegEnds_NonXtal_Prot#'!$A:$AL,16,FALSE),"-")</f>
        <v>56</v>
      </c>
      <c r="M81" s="2">
        <f>IFERROR(50+VLOOKUP($A81,'SegEnds_Xtal_Prot#'!$A:$AY,25,FALSE)-VLOOKUP($B81,'SegEnds_NonXtal_Prot#'!$A:$AL,19,FALSE),"-")</f>
        <v>50</v>
      </c>
      <c r="N81" s="2">
        <f>IFERROR(50+VLOOKUP($A81,'SegEnds_Xtal_Prot#'!$A:$AY,27,FALSE)-VLOOKUP($B81,'SegEnds_NonXtal_Prot#'!$A:$AL,19,FALSE),"-")</f>
        <v>57</v>
      </c>
      <c r="O81" s="2">
        <f>IFERROR(50+VLOOKUP($A81,'SegEnds_Xtal_Prot#'!$A:$AY,29,FALSE)-VLOOKUP($B81,'SegEnds_NonXtal_Prot#'!$A:$AL,22,FALSE),"-")</f>
        <v>38</v>
      </c>
      <c r="P81" s="2">
        <f>IFERROR(50+VLOOKUP($A81,'SegEnds_Xtal_Prot#'!$A:$AY,31,FALSE)-VLOOKUP($B81,'SegEnds_NonXtal_Prot#'!$A:$AL,22,FALSE),"-")</f>
        <v>64</v>
      </c>
      <c r="Q81" s="2">
        <f>IFERROR(50+VLOOKUP($A81,'SegEnds_Xtal_Prot#'!$A:$AY,33,FALSE)-VLOOKUP($B81,'SegEnds_NonXtal_Prot#'!$A:$AL,25,FALSE),"-")</f>
        <v>50</v>
      </c>
      <c r="R81" s="2">
        <f>IFERROR(50+VLOOKUP($A81,'SegEnds_Xtal_Prot#'!$A:$AY,35,FALSE)-VLOOKUP($B81,'SegEnds_NonXtal_Prot#'!$A:$AL,25,FALSE),"-")</f>
        <v>52</v>
      </c>
      <c r="S81" s="2">
        <f>IFERROR(50+VLOOKUP($A81,'SegEnds_Xtal_Prot#'!$A:$AY,37,FALSE)-VLOOKUP($B81,'SegEnds_NonXtal_Prot#'!$A:$AL,28,FALSE),"-")</f>
        <v>23</v>
      </c>
      <c r="T81" s="2">
        <f>IFERROR(50+VLOOKUP($A81,'SegEnds_Xtal_Prot#'!$A:$AY,39,FALSE)-VLOOKUP($B81,'SegEnds_NonXtal_Prot#'!$A:$AL,28,FALSE),"-")</f>
        <v>69</v>
      </c>
      <c r="U81" s="2">
        <f>IFERROR(50+VLOOKUP($A81,'SegEnds_Xtal_Prot#'!$A:$AY,41,FALSE)-VLOOKUP($B81,'SegEnds_NonXtal_Prot#'!$A:$AL,31,FALSE),"-")</f>
        <v>31</v>
      </c>
      <c r="V81" s="2">
        <f>IFERROR(50+VLOOKUP($A81,'SegEnds_Xtal_Prot#'!$A:$AY,43,FALSE)-VLOOKUP($B81,'SegEnds_NonXtal_Prot#'!$A:$AL,31,FALSE),"-")</f>
        <v>61</v>
      </c>
      <c r="W81" s="2">
        <f>IFERROR(50+VLOOKUP($A81,'SegEnds_Xtal_Prot#'!$A:$AY,45,FALSE)-VLOOKUP($B81,'SegEnds_NonXtal_Prot#'!$A:$AL,34,FALSE),"-")</f>
        <v>28</v>
      </c>
      <c r="X81" s="2">
        <f>IFERROR(50+VLOOKUP($A81,'SegEnds_Xtal_Prot#'!$A:$AY,47,FALSE)-VLOOKUP($B81,'SegEnds_NonXtal_Prot#'!$A:$AL,34,FALSE),"-")</f>
        <v>56</v>
      </c>
      <c r="Y81" s="2">
        <f>IFERROR(50+VLOOKUP($A81,'SegEnds_Xtal_Prot#'!$A:$AY,49,FALSE)-VLOOKUP($B81,'SegEnds_NonXtal_Prot#'!$A:$AL,37,FALSE),"-")</f>
        <v>47</v>
      </c>
      <c r="Z81" s="2">
        <f>IFERROR(50+VLOOKUP($A81,'SegEnds_Xtal_Prot#'!$A:$AY,51,FALSE)-VLOOKUP($B81,'SegEnds_NonXtal_Prot#'!$A:$AL,37,FALSE),"-")</f>
        <v>58</v>
      </c>
      <c r="AA81" s="49" t="str">
        <f>VLOOKUP(B81,Classification!A:D,2,FALSE)</f>
        <v>A</v>
      </c>
      <c r="AB81" s="94" t="str">
        <f>VLOOKUP(B81,Classification!A:D,4,0)</f>
        <v>Formylpeptide</v>
      </c>
      <c r="AC81" s="49" t="e">
        <f>VLOOKUP(B81,'SegEnds_NonXtal_Prot#'!A:AL,6,FALSE)-VLOOKUP(B81,'SegEnds_NonXtal_Prot#'!A:AL,5,FALSE)</f>
        <v>#VALUE!</v>
      </c>
      <c r="AD81" s="49" t="e">
        <f>VLOOKUP(B81,'SegEnds_NonXtal_Prot#'!A:AL,9,FALSE)-VLOOKUP(B81,'SegEnds_NonXtal_Prot#'!A:AL,8,FALSE)</f>
        <v>#VALUE!</v>
      </c>
      <c r="AE81" s="49">
        <f>VLOOKUP(B81,'SegEnds_NonXtal_Prot#'!A:AL,13,FALSE)-VLOOKUP(B81,'SegEnds_NonXtal_Prot#'!A:AL,10,FALSE)</f>
        <v>20</v>
      </c>
      <c r="AF81" s="49">
        <f>VLOOKUP(B81,'SegEnds_NonXtal_Prot#'!A:AL,12,FALSE)-VLOOKUP(B81,'SegEnds_NonXtal_Prot#'!A:AL,11,FALSE)</f>
        <v>2</v>
      </c>
      <c r="AG81" s="49">
        <f>VLOOKUP(B81,'SegEnds_NonXtal_Prot#'!A:AL,13,FALSE)-VLOOKUP(B81,'SegEnds_NonXtal_Prot#'!A:AL,11,FALSE)</f>
        <v>3</v>
      </c>
      <c r="AH81" s="49">
        <f>VLOOKUP(B81,'SegEnds_NonXtal_Prot#'!A:AL,16,FALSE)-VLOOKUP(B81,'SegEnds_NonXtal_Prot#'!A:AL,10,FALSE)</f>
        <v>52</v>
      </c>
      <c r="AI81" s="49">
        <f>VLOOKUP(B81,'SegEnds_NonXtal_Prot#'!A:AL,16,FALSE)-VLOOKUP(B81,'SegEnds_NonXtal_Prot#'!A:AL,11,FALSE)</f>
        <v>35</v>
      </c>
      <c r="AJ81" s="49">
        <f>VLOOKUP(B81,'SegEnds_NonXtal_Prot#'!A:AL,22,FALSE)-VLOOKUP(B81,'SegEnds_NonXtal_Prot#'!A:AL,19,FALSE)</f>
        <v>20</v>
      </c>
      <c r="AK81" s="49">
        <f>VLOOKUP(B81,'SegEnds_NonXtal_Prot#'!A:AL,15,FALSE)-VLOOKUP(B81,'SegEnds_NonXtal_Prot#'!A:AL,14,FALSE)</f>
        <v>1</v>
      </c>
      <c r="AL81" s="49">
        <f>VLOOKUP(B81,'SegEnds_NonXtal_Prot#'!A:AL,18,FALSE)-VLOOKUP(B81,'SegEnds_NonXtal_Prot#'!A:AL,17,FALSE)</f>
        <v>1</v>
      </c>
      <c r="AM81" s="2">
        <f>VLOOKUP(B81,'SegEnds_NonXtal_Prot#'!A:AL,34,FALSE)-VLOOKUP(B81,'SegEnds_NonXtal_Prot#'!A:AL,31,FALSE)</f>
        <v>43</v>
      </c>
    </row>
    <row r="82" spans="1:64" x14ac:dyDescent="0.2">
      <c r="A82" s="2" t="str">
        <f t="shared" ref="A82" si="7">CONCATENATE(B82,"__wt",)</f>
        <v>gpr52_human__wt</v>
      </c>
      <c r="B82" s="2" t="s">
        <v>260</v>
      </c>
      <c r="C82" s="2">
        <f>IFERROR(50+VLOOKUP($A82,'SegEnds_Xtal_Prot#'!$A:$AY,5,FALSE)-VLOOKUP($B82,'SegEnds_NonXtal_Prot#'!$A:$AL,4,FALSE),"-")</f>
        <v>32</v>
      </c>
      <c r="D82" s="2">
        <f>IFERROR(50+VLOOKUP($A82,'SegEnds_Xtal_Prot#'!$A:$AY,7,FALSE)-VLOOKUP($B82,'SegEnds_NonXtal_Prot#'!$A:$AL,4,FALSE),"-")</f>
        <v>60</v>
      </c>
      <c r="E82" s="2">
        <f>IFERROR(50+VLOOKUP($A82,'SegEnds_Xtal_Prot#'!$A:$AY,9,FALSE)-VLOOKUP($B82,'SegEnds_NonXtal_Prot#'!$A:$AL,7,FALSE),"-")</f>
        <v>48</v>
      </c>
      <c r="F82" s="2">
        <f>IFERROR(50+VLOOKUP($A82,'SegEnds_Xtal_Prot#'!$A:$AY,11,FALSE)-VLOOKUP($B82,'SegEnds_NonXtal_Prot#'!$A:$AL,7,FALSE),"-")</f>
        <v>52</v>
      </c>
      <c r="G82" s="2">
        <f>IFERROR(50+VLOOKUP($A82,'SegEnds_Xtal_Prot#'!$A:$AY,13,FALSE)-VLOOKUP($B82,'SegEnds_NonXtal_Prot#'!$A:$AL,10,FALSE),"-")</f>
        <v>37</v>
      </c>
      <c r="H82" s="2">
        <f>IFERROR(50+VLOOKUP($A82,'SegEnds_Xtal_Prot#'!$A:$AY,15,FALSE)-VLOOKUP($B82,'SegEnds_NonXtal_Prot#'!$A:$AL,10,FALSE),"-")</f>
        <v>67</v>
      </c>
      <c r="I82" s="2" t="str">
        <f>IFERROR(50+VLOOKUP($A82,'SegEnds_Xtal_Prot#'!$A:$AY,17,FALSE)-VLOOKUP($B82,'SegEnds_NonXtal_Prot#'!$A:$AL,13,FALSE),"-")</f>
        <v>-</v>
      </c>
      <c r="J82" s="2" t="str">
        <f>IFERROR(50+VLOOKUP($A82,'SegEnds_Xtal_Prot#'!$A:$AY,19,FALSE)-VLOOKUP($B82,'SegEnds_NonXtal_Prot#'!$A:$AL,13,FALSE),"-")</f>
        <v>-</v>
      </c>
      <c r="K82" s="2">
        <f>IFERROR(50+VLOOKUP($A82,'SegEnds_Xtal_Prot#'!$A:$AY,21,FALSE)-VLOOKUP($B82,'SegEnds_NonXtal_Prot#'!$A:$AL,16,FALSE),"-")</f>
        <v>21</v>
      </c>
      <c r="L82" s="2">
        <f>IFERROR(50+VLOOKUP($A82,'SegEnds_Xtal_Prot#'!$A:$AY,23,FALSE)-VLOOKUP($B82,'SegEnds_NonXtal_Prot#'!$A:$AL,16,FALSE),"-")</f>
        <v>56</v>
      </c>
      <c r="M82" s="2">
        <f>IFERROR(50+VLOOKUP($A82,'SegEnds_Xtal_Prot#'!$A:$AY,25,FALSE)-VLOOKUP($B82,'SegEnds_NonXtal_Prot#'!$A:$AL,19,FALSE),"-")</f>
        <v>50</v>
      </c>
      <c r="N82" s="2">
        <f>IFERROR(50+VLOOKUP($A82,'SegEnds_Xtal_Prot#'!$A:$AY,27,FALSE)-VLOOKUP($B82,'SegEnds_NonXtal_Prot#'!$A:$AL,19,FALSE),"-")</f>
        <v>57</v>
      </c>
      <c r="O82" s="2">
        <f>IFERROR(50+VLOOKUP($A82,'SegEnds_Xtal_Prot#'!$A:$AY,29,FALSE)-VLOOKUP($B82,'SegEnds_NonXtal_Prot#'!$A:$AL,22,FALSE),"-")</f>
        <v>38</v>
      </c>
      <c r="P82" s="2">
        <f>IFERROR(50+VLOOKUP($A82,'SegEnds_Xtal_Prot#'!$A:$AY,31,FALSE)-VLOOKUP($B82,'SegEnds_NonXtal_Prot#'!$A:$AL,22,FALSE),"-")</f>
        <v>62</v>
      </c>
      <c r="Q82" s="2">
        <f>IFERROR(50+VLOOKUP($A82,'SegEnds_Xtal_Prot#'!$A:$AY,33,FALSE)-VLOOKUP($B82,'SegEnds_NonXtal_Prot#'!$A:$AL,25,FALSE),"-")</f>
        <v>50</v>
      </c>
      <c r="R82" s="2">
        <f>IFERROR(50+VLOOKUP($A82,'SegEnds_Xtal_Prot#'!$A:$AY,35,FALSE)-VLOOKUP($B82,'SegEnds_NonXtal_Prot#'!$A:$AL,25,FALSE),"-")</f>
        <v>52</v>
      </c>
      <c r="S82" s="2">
        <f>IFERROR(50+VLOOKUP($A82,'SegEnds_Xtal_Prot#'!$A:$AY,37,FALSE)-VLOOKUP($B82,'SegEnds_NonXtal_Prot#'!$A:$AL,28,FALSE),"-")</f>
        <v>36</v>
      </c>
      <c r="T82" s="2">
        <f>IFERROR(50+VLOOKUP($A82,'SegEnds_Xtal_Prot#'!$A:$AY,39,FALSE)-VLOOKUP($B82,'SegEnds_NonXtal_Prot#'!$A:$AL,28,FALSE),"-")</f>
        <v>74</v>
      </c>
      <c r="U82" s="2">
        <f>IFERROR(50+VLOOKUP($A82,'SegEnds_Xtal_Prot#'!$A:$AY,41,FALSE)-VLOOKUP($B82,'SegEnds_NonXtal_Prot#'!$A:$AL,31,FALSE),"-")</f>
        <v>21</v>
      </c>
      <c r="V82" s="2">
        <f>IFERROR(50+VLOOKUP($A82,'SegEnds_Xtal_Prot#'!$A:$AY,43,FALSE)-VLOOKUP($B82,'SegEnds_NonXtal_Prot#'!$A:$AL,31,FALSE),"-")</f>
        <v>61</v>
      </c>
      <c r="W82" s="2">
        <f>IFERROR(50+VLOOKUP($A82,'SegEnds_Xtal_Prot#'!$A:$AY,45,FALSE)-VLOOKUP($B82,'SegEnds_NonXtal_Prot#'!$A:$AL,34,FALSE),"-")</f>
        <v>31</v>
      </c>
      <c r="X82" s="2">
        <f>IFERROR(50+VLOOKUP($A82,'SegEnds_Xtal_Prot#'!$A:$AY,47,FALSE)-VLOOKUP($B82,'SegEnds_NonXtal_Prot#'!$A:$AL,34,FALSE),"-")</f>
        <v>56</v>
      </c>
      <c r="Y82" s="2">
        <f>IFERROR(50+VLOOKUP($A82,'SegEnds_Xtal_Prot#'!$A:$AY,49,FALSE)-VLOOKUP($B82,'SegEnds_NonXtal_Prot#'!$A:$AL,37,FALSE),"-")</f>
        <v>47</v>
      </c>
      <c r="Z82" s="2">
        <f>IFERROR(50+VLOOKUP($A82,'SegEnds_Xtal_Prot#'!$A:$AY,51,FALSE)-VLOOKUP($B82,'SegEnds_NonXtal_Prot#'!$A:$AL,37,FALSE),"-")</f>
        <v>67</v>
      </c>
      <c r="AA82" s="49" t="str">
        <f>VLOOKUP(B82,Classification!A:D,2,FALSE)</f>
        <v>A</v>
      </c>
      <c r="AB82" s="94" t="str">
        <f>VLOOKUP(B82,Classification!A:D,4,0)</f>
        <v>ClassAorphans</v>
      </c>
      <c r="AC82" s="49">
        <f>VLOOKUP(B82,'SegEnds_NonXtal_Prot#'!A:AL,6,FALSE)-VLOOKUP(B82,'SegEnds_NonXtal_Prot#'!A:AL,5,FALSE)</f>
        <v>1</v>
      </c>
      <c r="AD82" s="49">
        <f>VLOOKUP(B82,'SegEnds_NonXtal_Prot#'!A:AL,9,FALSE)-VLOOKUP(B82,'SegEnds_NonXtal_Prot#'!A:AL,8,FALSE)</f>
        <v>1</v>
      </c>
      <c r="AE82" s="49" t="e">
        <f>VLOOKUP(B82,'SegEnds_NonXtal_Prot#'!A:AL,13,FALSE)-VLOOKUP(B82,'SegEnds_NonXtal_Prot#'!A:AL,10,FALSE)</f>
        <v>#VALUE!</v>
      </c>
      <c r="AF82" s="49" t="e">
        <f>VLOOKUP(B82,'SegEnds_NonXtal_Prot#'!A:AL,12,FALSE)-VLOOKUP(B82,'SegEnds_NonXtal_Prot#'!A:AL,11,FALSE)</f>
        <v>#VALUE!</v>
      </c>
      <c r="AG82" s="49" t="e">
        <f>VLOOKUP(B82,'SegEnds_NonXtal_Prot#'!A:AL,13,FALSE)-VLOOKUP(B82,'SegEnds_NonXtal_Prot#'!A:AL,11,FALSE)</f>
        <v>#VALUE!</v>
      </c>
      <c r="AH82" s="49">
        <f>VLOOKUP(B82,'SegEnds_NonXtal_Prot#'!A:AL,16,FALSE)-VLOOKUP(B82,'SegEnds_NonXtal_Prot#'!A:AL,10,FALSE)</f>
        <v>52</v>
      </c>
      <c r="AI82" s="49">
        <f>VLOOKUP(B82,'SegEnds_NonXtal_Prot#'!A:AL,16,FALSE)-VLOOKUP(B82,'SegEnds_NonXtal_Prot#'!A:AL,11,FALSE)</f>
        <v>35</v>
      </c>
      <c r="AJ82" s="49">
        <f>VLOOKUP(B82,'SegEnds_NonXtal_Prot#'!A:AL,22,FALSE)-VLOOKUP(B82,'SegEnds_NonXtal_Prot#'!A:AL,19,FALSE)</f>
        <v>20</v>
      </c>
      <c r="AK82" s="49" t="e">
        <f>VLOOKUP(B82,'SegEnds_NonXtal_Prot#'!A:AL,15,FALSE)-VLOOKUP(B82,'SegEnds_NonXtal_Prot#'!A:AL,14,FALSE)</f>
        <v>#VALUE!</v>
      </c>
      <c r="AL82" s="49">
        <f>VLOOKUP(B82,'SegEnds_NonXtal_Prot#'!A:AL,18,FALSE)-VLOOKUP(B82,'SegEnds_NonXtal_Prot#'!A:AL,17,FALSE)</f>
        <v>1</v>
      </c>
      <c r="AM82" s="2">
        <f>VLOOKUP(B82,'SegEnds_NonXtal_Prot#'!A:AL,34,FALSE)-VLOOKUP(B82,'SegEnds_NonXtal_Prot#'!A:AL,31,FALSE)</f>
        <v>34</v>
      </c>
    </row>
    <row r="83" spans="1:64" x14ac:dyDescent="0.2">
      <c r="A83" s="4"/>
      <c r="B83" s="4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49"/>
      <c r="AB83" s="96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2"/>
      <c r="AN83" s="38"/>
      <c r="AO83" s="30" t="s">
        <v>1060</v>
      </c>
      <c r="AP83" s="30" t="s">
        <v>1061</v>
      </c>
      <c r="AQ83" s="30" t="s">
        <v>1077</v>
      </c>
      <c r="AR83" s="30" t="s">
        <v>1078</v>
      </c>
      <c r="AS83" s="30" t="s">
        <v>1062</v>
      </c>
      <c r="AT83" s="30" t="s">
        <v>1063</v>
      </c>
      <c r="AU83" s="30" t="s">
        <v>1079</v>
      </c>
      <c r="AV83" s="30" t="s">
        <v>1080</v>
      </c>
      <c r="AW83" s="30" t="s">
        <v>1064</v>
      </c>
      <c r="AX83" s="30" t="s">
        <v>1065</v>
      </c>
      <c r="AY83" s="30" t="s">
        <v>1092</v>
      </c>
      <c r="AZ83" s="30" t="s">
        <v>1093</v>
      </c>
      <c r="BA83" s="30" t="s">
        <v>1066</v>
      </c>
      <c r="BB83" s="30" t="s">
        <v>1067</v>
      </c>
      <c r="BC83" s="30" t="s">
        <v>1095</v>
      </c>
      <c r="BD83" s="30" t="s">
        <v>1096</v>
      </c>
      <c r="BE83" s="30" t="s">
        <v>1068</v>
      </c>
      <c r="BF83" s="30" t="s">
        <v>1069</v>
      </c>
      <c r="BG83" s="30" t="s">
        <v>1070</v>
      </c>
      <c r="BH83" s="30" t="s">
        <v>1071</v>
      </c>
      <c r="BI83" s="30" t="s">
        <v>1072</v>
      </c>
      <c r="BJ83" s="30" t="s">
        <v>1073</v>
      </c>
      <c r="BK83" s="30" t="s">
        <v>1074</v>
      </c>
      <c r="BL83" s="30" t="s">
        <v>1075</v>
      </c>
    </row>
    <row r="84" spans="1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N84" s="38" t="s">
        <v>1</v>
      </c>
      <c r="AO84" s="4">
        <f t="shared" ref="AO84:BL84" si="8">MAX(C2:C42)</f>
        <v>34</v>
      </c>
      <c r="AP84" s="4">
        <f t="shared" si="8"/>
        <v>64</v>
      </c>
      <c r="AQ84" s="4">
        <f t="shared" si="8"/>
        <v>48</v>
      </c>
      <c r="AR84" s="4">
        <f t="shared" si="8"/>
        <v>52</v>
      </c>
      <c r="AS84" s="4">
        <f t="shared" si="8"/>
        <v>38</v>
      </c>
      <c r="AT84" s="4">
        <f t="shared" si="8"/>
        <v>69</v>
      </c>
      <c r="AU84" s="4">
        <f t="shared" si="8"/>
        <v>50</v>
      </c>
      <c r="AV84" s="4">
        <f t="shared" si="8"/>
        <v>53</v>
      </c>
      <c r="AW84" s="4">
        <f t="shared" si="8"/>
        <v>21</v>
      </c>
      <c r="AX84" s="4">
        <f t="shared" si="8"/>
        <v>56</v>
      </c>
      <c r="AY84" s="4">
        <f t="shared" si="8"/>
        <v>50</v>
      </c>
      <c r="AZ84" s="4">
        <f t="shared" si="8"/>
        <v>58</v>
      </c>
      <c r="BA84" s="4">
        <f t="shared" si="8"/>
        <v>38</v>
      </c>
      <c r="BB84" s="4">
        <f t="shared" si="8"/>
        <v>69</v>
      </c>
      <c r="BC84" s="4">
        <f t="shared" si="8"/>
        <v>50</v>
      </c>
      <c r="BD84" s="4">
        <f t="shared" si="8"/>
        <v>52</v>
      </c>
      <c r="BE84" s="4">
        <f t="shared" si="8"/>
        <v>36</v>
      </c>
      <c r="BF84" s="4">
        <f t="shared" si="8"/>
        <v>77</v>
      </c>
      <c r="BG84" s="4">
        <f t="shared" si="8"/>
        <v>30</v>
      </c>
      <c r="BH84" s="4">
        <f t="shared" si="8"/>
        <v>65</v>
      </c>
      <c r="BI84" s="4">
        <f t="shared" si="8"/>
        <v>32</v>
      </c>
      <c r="BJ84" s="4">
        <f t="shared" si="8"/>
        <v>56</v>
      </c>
      <c r="BK84" s="4">
        <f t="shared" si="8"/>
        <v>47</v>
      </c>
      <c r="BL84" s="4">
        <f t="shared" si="8"/>
        <v>69</v>
      </c>
    </row>
    <row r="85" spans="1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O85" s="4">
        <f t="shared" ref="AO85:BL85" si="9">MIN(C2:C42)</f>
        <v>22</v>
      </c>
      <c r="AP85" s="4">
        <f t="shared" si="9"/>
        <v>60</v>
      </c>
      <c r="AQ85" s="4">
        <f t="shared" si="9"/>
        <v>48</v>
      </c>
      <c r="AR85" s="4">
        <f t="shared" si="9"/>
        <v>51</v>
      </c>
      <c r="AS85" s="4">
        <f t="shared" si="9"/>
        <v>34</v>
      </c>
      <c r="AT85" s="4">
        <f t="shared" si="9"/>
        <v>63</v>
      </c>
      <c r="AU85" s="4">
        <f t="shared" si="9"/>
        <v>47</v>
      </c>
      <c r="AV85" s="4">
        <f t="shared" si="9"/>
        <v>52</v>
      </c>
      <c r="AW85" s="4">
        <f t="shared" si="9"/>
        <v>18</v>
      </c>
      <c r="AX85" s="4">
        <f t="shared" si="9"/>
        <v>55</v>
      </c>
      <c r="AY85" s="4">
        <f t="shared" si="9"/>
        <v>50</v>
      </c>
      <c r="AZ85" s="4">
        <f t="shared" si="9"/>
        <v>53</v>
      </c>
      <c r="BA85" s="4">
        <f t="shared" si="9"/>
        <v>35</v>
      </c>
      <c r="BB85" s="4">
        <f t="shared" si="9"/>
        <v>62</v>
      </c>
      <c r="BC85" s="4">
        <f t="shared" si="9"/>
        <v>50</v>
      </c>
      <c r="BD85" s="4">
        <f t="shared" si="9"/>
        <v>52</v>
      </c>
      <c r="BE85" s="4">
        <f t="shared" si="9"/>
        <v>28</v>
      </c>
      <c r="BF85" s="4">
        <f t="shared" si="9"/>
        <v>67</v>
      </c>
      <c r="BG85" s="4">
        <f t="shared" si="9"/>
        <v>18</v>
      </c>
      <c r="BH85" s="4">
        <f t="shared" si="9"/>
        <v>60</v>
      </c>
      <c r="BI85" s="4">
        <f t="shared" si="9"/>
        <v>24</v>
      </c>
      <c r="BJ85" s="4">
        <f t="shared" si="9"/>
        <v>55</v>
      </c>
      <c r="BK85" s="4">
        <f t="shared" si="9"/>
        <v>47</v>
      </c>
      <c r="BL85" s="4">
        <f t="shared" si="9"/>
        <v>57</v>
      </c>
    </row>
    <row r="86" spans="1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O86" s="4">
        <f t="shared" ref="AO86:BL86" si="10">AO84-AO85</f>
        <v>12</v>
      </c>
      <c r="AP86" s="4">
        <f t="shared" si="10"/>
        <v>4</v>
      </c>
      <c r="AQ86" s="4">
        <f t="shared" si="10"/>
        <v>0</v>
      </c>
      <c r="AR86" s="4">
        <f t="shared" si="10"/>
        <v>1</v>
      </c>
      <c r="AS86" s="4">
        <f t="shared" si="10"/>
        <v>4</v>
      </c>
      <c r="AT86" s="4">
        <f t="shared" si="10"/>
        <v>6</v>
      </c>
      <c r="AU86" s="4">
        <f t="shared" si="10"/>
        <v>3</v>
      </c>
      <c r="AV86" s="4">
        <f t="shared" si="10"/>
        <v>1</v>
      </c>
      <c r="AW86" s="4">
        <f t="shared" si="10"/>
        <v>3</v>
      </c>
      <c r="AX86" s="4">
        <f t="shared" si="10"/>
        <v>1</v>
      </c>
      <c r="AY86" s="4">
        <f t="shared" si="10"/>
        <v>0</v>
      </c>
      <c r="AZ86" s="4">
        <f t="shared" si="10"/>
        <v>5</v>
      </c>
      <c r="BA86" s="4">
        <f t="shared" si="10"/>
        <v>3</v>
      </c>
      <c r="BB86" s="4">
        <f t="shared" si="10"/>
        <v>7</v>
      </c>
      <c r="BC86" s="4">
        <f t="shared" si="10"/>
        <v>0</v>
      </c>
      <c r="BD86" s="4">
        <f t="shared" si="10"/>
        <v>0</v>
      </c>
      <c r="BE86" s="4">
        <f t="shared" si="10"/>
        <v>8</v>
      </c>
      <c r="BF86" s="4">
        <f t="shared" si="10"/>
        <v>10</v>
      </c>
      <c r="BG86" s="4">
        <f t="shared" si="10"/>
        <v>12</v>
      </c>
      <c r="BH86" s="4">
        <f t="shared" si="10"/>
        <v>5</v>
      </c>
      <c r="BI86" s="4">
        <f t="shared" si="10"/>
        <v>8</v>
      </c>
      <c r="BJ86" s="4">
        <f t="shared" si="10"/>
        <v>1</v>
      </c>
      <c r="BK86" s="4">
        <f t="shared" si="10"/>
        <v>0</v>
      </c>
      <c r="BL86" s="4">
        <f t="shared" si="10"/>
        <v>12</v>
      </c>
    </row>
    <row r="87" spans="1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N87" s="38" t="s">
        <v>1281</v>
      </c>
      <c r="AO87" s="4">
        <f t="shared" ref="AO87:BL87" si="11">MAX(C43:C46)</f>
        <v>29</v>
      </c>
      <c r="AP87" s="4">
        <f t="shared" si="11"/>
        <v>60</v>
      </c>
      <c r="AQ87" s="4">
        <f t="shared" si="11"/>
        <v>48</v>
      </c>
      <c r="AR87" s="4">
        <f t="shared" si="11"/>
        <v>51</v>
      </c>
      <c r="AS87" s="4">
        <f t="shared" si="11"/>
        <v>37</v>
      </c>
      <c r="AT87" s="4">
        <f t="shared" si="11"/>
        <v>66</v>
      </c>
      <c r="AU87" s="4">
        <f t="shared" si="11"/>
        <v>49</v>
      </c>
      <c r="AV87" s="4">
        <f t="shared" si="11"/>
        <v>52</v>
      </c>
      <c r="AW87" s="4">
        <f t="shared" si="11"/>
        <v>23</v>
      </c>
      <c r="AX87" s="4">
        <f t="shared" si="11"/>
        <v>56</v>
      </c>
      <c r="AY87" s="4">
        <f t="shared" si="11"/>
        <v>50</v>
      </c>
      <c r="AZ87" s="4">
        <f t="shared" si="11"/>
        <v>57</v>
      </c>
      <c r="BA87" s="4">
        <f t="shared" si="11"/>
        <v>41</v>
      </c>
      <c r="BB87" s="4">
        <f t="shared" si="11"/>
        <v>68</v>
      </c>
      <c r="BC87" s="4">
        <f t="shared" si="11"/>
        <v>50</v>
      </c>
      <c r="BD87" s="4">
        <f t="shared" si="11"/>
        <v>52</v>
      </c>
      <c r="BE87" s="4">
        <f t="shared" si="11"/>
        <v>40</v>
      </c>
      <c r="BF87" s="4">
        <f t="shared" si="11"/>
        <v>70</v>
      </c>
      <c r="BG87" s="4">
        <f t="shared" si="11"/>
        <v>30</v>
      </c>
      <c r="BH87" s="4">
        <f t="shared" si="11"/>
        <v>65</v>
      </c>
      <c r="BI87" s="4">
        <f t="shared" si="11"/>
        <v>31</v>
      </c>
      <c r="BJ87" s="4">
        <f t="shared" si="11"/>
        <v>56</v>
      </c>
      <c r="BK87" s="4">
        <f t="shared" si="11"/>
        <v>47</v>
      </c>
      <c r="BL87" s="4">
        <f t="shared" si="11"/>
        <v>72</v>
      </c>
    </row>
    <row r="88" spans="1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O88" s="4">
        <f t="shared" ref="AO88:BL88" si="12">MIN(C43:C46)</f>
        <v>19</v>
      </c>
      <c r="AP88" s="4">
        <f t="shared" si="12"/>
        <v>60</v>
      </c>
      <c r="AQ88" s="4">
        <f t="shared" si="12"/>
        <v>48</v>
      </c>
      <c r="AR88" s="4">
        <f t="shared" si="12"/>
        <v>51</v>
      </c>
      <c r="AS88" s="4">
        <f t="shared" si="12"/>
        <v>37</v>
      </c>
      <c r="AT88" s="4">
        <f t="shared" si="12"/>
        <v>63</v>
      </c>
      <c r="AU88" s="4">
        <f t="shared" si="12"/>
        <v>47</v>
      </c>
      <c r="AV88" s="4">
        <f t="shared" si="12"/>
        <v>52</v>
      </c>
      <c r="AW88" s="4">
        <f t="shared" si="12"/>
        <v>21</v>
      </c>
      <c r="AX88" s="4">
        <f t="shared" si="12"/>
        <v>56</v>
      </c>
      <c r="AY88" s="4">
        <f t="shared" si="12"/>
        <v>50</v>
      </c>
      <c r="AZ88" s="4">
        <f t="shared" si="12"/>
        <v>56</v>
      </c>
      <c r="BA88" s="4">
        <f t="shared" si="12"/>
        <v>38</v>
      </c>
      <c r="BB88" s="4">
        <f t="shared" si="12"/>
        <v>62</v>
      </c>
      <c r="BC88" s="4">
        <f t="shared" si="12"/>
        <v>50</v>
      </c>
      <c r="BD88" s="4">
        <f t="shared" si="12"/>
        <v>52</v>
      </c>
      <c r="BE88" s="4">
        <f t="shared" si="12"/>
        <v>31</v>
      </c>
      <c r="BF88" s="4">
        <f t="shared" si="12"/>
        <v>67</v>
      </c>
      <c r="BG88" s="4">
        <f t="shared" si="12"/>
        <v>25</v>
      </c>
      <c r="BH88" s="4">
        <f t="shared" si="12"/>
        <v>53</v>
      </c>
      <c r="BI88" s="4">
        <f t="shared" si="12"/>
        <v>28</v>
      </c>
      <c r="BJ88" s="4">
        <f t="shared" si="12"/>
        <v>56</v>
      </c>
      <c r="BK88" s="4">
        <f t="shared" si="12"/>
        <v>47</v>
      </c>
      <c r="BL88" s="4">
        <f t="shared" si="12"/>
        <v>61</v>
      </c>
    </row>
    <row r="89" spans="1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O89" s="4">
        <f t="shared" ref="AO89:BL89" si="13">AO87-AO88</f>
        <v>10</v>
      </c>
      <c r="AP89" s="4">
        <f t="shared" si="13"/>
        <v>0</v>
      </c>
      <c r="AQ89" s="4">
        <f t="shared" si="13"/>
        <v>0</v>
      </c>
      <c r="AR89" s="4">
        <f t="shared" si="13"/>
        <v>0</v>
      </c>
      <c r="AS89" s="4">
        <f t="shared" si="13"/>
        <v>0</v>
      </c>
      <c r="AT89" s="4">
        <f t="shared" si="13"/>
        <v>3</v>
      </c>
      <c r="AU89" s="4">
        <f t="shared" si="13"/>
        <v>2</v>
      </c>
      <c r="AV89" s="4">
        <f t="shared" si="13"/>
        <v>0</v>
      </c>
      <c r="AW89" s="4">
        <f t="shared" si="13"/>
        <v>2</v>
      </c>
      <c r="AX89" s="4">
        <f t="shared" si="13"/>
        <v>0</v>
      </c>
      <c r="AY89" s="4">
        <f t="shared" si="13"/>
        <v>0</v>
      </c>
      <c r="AZ89" s="4">
        <f t="shared" si="13"/>
        <v>1</v>
      </c>
      <c r="BA89" s="4">
        <f t="shared" si="13"/>
        <v>3</v>
      </c>
      <c r="BB89" s="4">
        <f t="shared" si="13"/>
        <v>6</v>
      </c>
      <c r="BC89" s="4">
        <f t="shared" si="13"/>
        <v>0</v>
      </c>
      <c r="BD89" s="4">
        <f t="shared" si="13"/>
        <v>0</v>
      </c>
      <c r="BE89" s="4">
        <f t="shared" si="13"/>
        <v>9</v>
      </c>
      <c r="BF89" s="4">
        <f t="shared" si="13"/>
        <v>3</v>
      </c>
      <c r="BG89" s="4">
        <f t="shared" si="13"/>
        <v>5</v>
      </c>
      <c r="BH89" s="4">
        <f t="shared" si="13"/>
        <v>12</v>
      </c>
      <c r="BI89" s="4">
        <f t="shared" si="13"/>
        <v>3</v>
      </c>
      <c r="BJ89" s="4">
        <f t="shared" si="13"/>
        <v>0</v>
      </c>
      <c r="BK89" s="4">
        <f t="shared" si="13"/>
        <v>0</v>
      </c>
      <c r="BL89" s="4">
        <f t="shared" si="13"/>
        <v>11</v>
      </c>
    </row>
    <row r="90" spans="1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N90" s="38" t="s">
        <v>27</v>
      </c>
      <c r="AO90" s="4">
        <f t="shared" ref="AO90:BL90" si="14">MAX(C47:C50)</f>
        <v>34</v>
      </c>
      <c r="AP90" s="4">
        <f t="shared" si="14"/>
        <v>60</v>
      </c>
      <c r="AQ90" s="4">
        <f t="shared" si="14"/>
        <v>48</v>
      </c>
      <c r="AR90" s="4">
        <f t="shared" si="14"/>
        <v>53</v>
      </c>
      <c r="AS90" s="4">
        <f t="shared" si="14"/>
        <v>39</v>
      </c>
      <c r="AT90" s="4">
        <f t="shared" si="14"/>
        <v>74</v>
      </c>
      <c r="AU90" s="4">
        <f t="shared" si="14"/>
        <v>0</v>
      </c>
      <c r="AV90" s="4">
        <f t="shared" si="14"/>
        <v>0</v>
      </c>
      <c r="AW90" s="4">
        <f t="shared" si="14"/>
        <v>23</v>
      </c>
      <c r="AX90" s="4">
        <f t="shared" si="14"/>
        <v>56</v>
      </c>
      <c r="AY90" s="4">
        <f t="shared" si="14"/>
        <v>0</v>
      </c>
      <c r="AZ90" s="4">
        <f t="shared" si="14"/>
        <v>0</v>
      </c>
      <c r="BA90" s="4">
        <f t="shared" si="14"/>
        <v>40</v>
      </c>
      <c r="BB90" s="4">
        <f t="shared" si="14"/>
        <v>68</v>
      </c>
      <c r="BC90" s="4">
        <f t="shared" si="14"/>
        <v>50</v>
      </c>
      <c r="BD90" s="4">
        <f t="shared" si="14"/>
        <v>52</v>
      </c>
      <c r="BE90" s="4">
        <f t="shared" si="14"/>
        <v>36</v>
      </c>
      <c r="BF90" s="4">
        <f t="shared" si="14"/>
        <v>71</v>
      </c>
      <c r="BG90" s="4">
        <f t="shared" si="14"/>
        <v>33</v>
      </c>
      <c r="BH90" s="4">
        <f t="shared" si="14"/>
        <v>57</v>
      </c>
      <c r="BI90" s="4">
        <f t="shared" si="14"/>
        <v>33</v>
      </c>
      <c r="BJ90" s="4">
        <f t="shared" si="14"/>
        <v>64</v>
      </c>
      <c r="BK90" s="4">
        <f t="shared" si="14"/>
        <v>47</v>
      </c>
      <c r="BL90" s="4">
        <f t="shared" si="14"/>
        <v>72</v>
      </c>
    </row>
    <row r="91" spans="1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O91" s="4">
        <f t="shared" ref="AO91:BL91" si="15">MIN(C47:C50)</f>
        <v>25</v>
      </c>
      <c r="AP91" s="4">
        <f t="shared" si="15"/>
        <v>60</v>
      </c>
      <c r="AQ91" s="4">
        <f t="shared" si="15"/>
        <v>47</v>
      </c>
      <c r="AR91" s="4">
        <f t="shared" si="15"/>
        <v>51</v>
      </c>
      <c r="AS91" s="4">
        <f t="shared" si="15"/>
        <v>37</v>
      </c>
      <c r="AT91" s="4">
        <f t="shared" si="15"/>
        <v>61</v>
      </c>
      <c r="AU91" s="4">
        <f t="shared" si="15"/>
        <v>0</v>
      </c>
      <c r="AV91" s="4">
        <f t="shared" si="15"/>
        <v>0</v>
      </c>
      <c r="AW91" s="4">
        <f t="shared" si="15"/>
        <v>21</v>
      </c>
      <c r="AX91" s="4">
        <f t="shared" si="15"/>
        <v>54</v>
      </c>
      <c r="AY91" s="4">
        <f t="shared" si="15"/>
        <v>0</v>
      </c>
      <c r="AZ91" s="4">
        <f t="shared" si="15"/>
        <v>0</v>
      </c>
      <c r="BA91" s="4">
        <f t="shared" si="15"/>
        <v>37</v>
      </c>
      <c r="BB91" s="4">
        <f t="shared" si="15"/>
        <v>64</v>
      </c>
      <c r="BC91" s="4">
        <f t="shared" si="15"/>
        <v>50</v>
      </c>
      <c r="BD91" s="4">
        <f t="shared" si="15"/>
        <v>52</v>
      </c>
      <c r="BE91" s="4">
        <f t="shared" si="15"/>
        <v>35</v>
      </c>
      <c r="BF91" s="4">
        <f t="shared" si="15"/>
        <v>61</v>
      </c>
      <c r="BG91" s="4">
        <f t="shared" si="15"/>
        <v>28</v>
      </c>
      <c r="BH91" s="4">
        <f t="shared" si="15"/>
        <v>53</v>
      </c>
      <c r="BI91" s="4">
        <f t="shared" si="15"/>
        <v>27</v>
      </c>
      <c r="BJ91" s="4">
        <f t="shared" si="15"/>
        <v>56</v>
      </c>
      <c r="BK91" s="4">
        <f t="shared" si="15"/>
        <v>46</v>
      </c>
      <c r="BL91" s="4">
        <f t="shared" si="15"/>
        <v>57</v>
      </c>
    </row>
    <row r="92" spans="1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O92" s="4">
        <f t="shared" ref="AO92:BL92" si="16">AO90-AO91</f>
        <v>9</v>
      </c>
      <c r="AP92" s="4">
        <f t="shared" si="16"/>
        <v>0</v>
      </c>
      <c r="AQ92" s="4">
        <f t="shared" si="16"/>
        <v>1</v>
      </c>
      <c r="AR92" s="4">
        <f t="shared" si="16"/>
        <v>2</v>
      </c>
      <c r="AS92" s="4">
        <f t="shared" si="16"/>
        <v>2</v>
      </c>
      <c r="AT92" s="4">
        <f t="shared" si="16"/>
        <v>13</v>
      </c>
      <c r="AU92" s="4">
        <f t="shared" si="16"/>
        <v>0</v>
      </c>
      <c r="AV92" s="4">
        <f t="shared" si="16"/>
        <v>0</v>
      </c>
      <c r="AW92" s="4">
        <f t="shared" si="16"/>
        <v>2</v>
      </c>
      <c r="AX92" s="4">
        <f t="shared" si="16"/>
        <v>2</v>
      </c>
      <c r="AY92" s="4">
        <f t="shared" si="16"/>
        <v>0</v>
      </c>
      <c r="AZ92" s="4">
        <f t="shared" si="16"/>
        <v>0</v>
      </c>
      <c r="BA92" s="4">
        <f t="shared" si="16"/>
        <v>3</v>
      </c>
      <c r="BB92" s="4">
        <f t="shared" si="16"/>
        <v>4</v>
      </c>
      <c r="BC92" s="4">
        <f t="shared" si="16"/>
        <v>0</v>
      </c>
      <c r="BD92" s="4">
        <f t="shared" si="16"/>
        <v>0</v>
      </c>
      <c r="BE92" s="4">
        <f t="shared" si="16"/>
        <v>1</v>
      </c>
      <c r="BF92" s="4">
        <f t="shared" si="16"/>
        <v>10</v>
      </c>
      <c r="BG92" s="4">
        <f t="shared" si="16"/>
        <v>5</v>
      </c>
      <c r="BH92" s="4">
        <f t="shared" si="16"/>
        <v>4</v>
      </c>
      <c r="BI92" s="4">
        <f t="shared" si="16"/>
        <v>6</v>
      </c>
      <c r="BJ92" s="4">
        <f t="shared" si="16"/>
        <v>8</v>
      </c>
      <c r="BK92" s="4">
        <f t="shared" si="16"/>
        <v>1</v>
      </c>
      <c r="BL92" s="4">
        <f t="shared" si="16"/>
        <v>15</v>
      </c>
    </row>
    <row r="93" spans="1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N93" s="38" t="s">
        <v>28</v>
      </c>
      <c r="AO93" s="4">
        <f t="shared" ref="AO93:BL93" si="17">MAX(C51)</f>
        <v>34</v>
      </c>
      <c r="AP93" s="4">
        <f t="shared" si="17"/>
        <v>60</v>
      </c>
      <c r="AQ93" s="4">
        <f t="shared" si="17"/>
        <v>47</v>
      </c>
      <c r="AR93" s="4">
        <f t="shared" si="17"/>
        <v>53</v>
      </c>
      <c r="AS93" s="4">
        <f t="shared" si="17"/>
        <v>39</v>
      </c>
      <c r="AT93" s="4">
        <f t="shared" si="17"/>
        <v>61</v>
      </c>
      <c r="AU93" s="4">
        <f t="shared" si="17"/>
        <v>0</v>
      </c>
      <c r="AV93" s="4">
        <f t="shared" si="17"/>
        <v>0</v>
      </c>
      <c r="AW93" s="4">
        <f t="shared" si="17"/>
        <v>22</v>
      </c>
      <c r="AX93" s="4">
        <f t="shared" si="17"/>
        <v>54</v>
      </c>
      <c r="AY93" s="4">
        <f t="shared" si="17"/>
        <v>0</v>
      </c>
      <c r="AZ93" s="4">
        <f t="shared" si="17"/>
        <v>0</v>
      </c>
      <c r="BA93" s="4">
        <f t="shared" si="17"/>
        <v>38</v>
      </c>
      <c r="BB93" s="4">
        <f t="shared" si="17"/>
        <v>64</v>
      </c>
      <c r="BC93" s="4">
        <f t="shared" si="17"/>
        <v>50</v>
      </c>
      <c r="BD93" s="4">
        <f t="shared" si="17"/>
        <v>52</v>
      </c>
      <c r="BE93" s="4">
        <f t="shared" si="17"/>
        <v>36</v>
      </c>
      <c r="BF93" s="4">
        <f t="shared" si="17"/>
        <v>61</v>
      </c>
      <c r="BG93" s="4">
        <f t="shared" si="17"/>
        <v>33</v>
      </c>
      <c r="BH93" s="4">
        <f t="shared" si="17"/>
        <v>57</v>
      </c>
      <c r="BI93" s="4">
        <f t="shared" si="17"/>
        <v>33</v>
      </c>
      <c r="BJ93" s="4">
        <f t="shared" si="17"/>
        <v>64</v>
      </c>
      <c r="BK93" s="4">
        <f t="shared" si="17"/>
        <v>46</v>
      </c>
      <c r="BL93" s="4">
        <f t="shared" si="17"/>
        <v>57</v>
      </c>
    </row>
    <row r="94" spans="1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O94" s="4">
        <f t="shared" ref="AO94:BL94" si="18">MIN(C51)</f>
        <v>34</v>
      </c>
      <c r="AP94" s="4">
        <f t="shared" si="18"/>
        <v>60</v>
      </c>
      <c r="AQ94" s="4">
        <f t="shared" si="18"/>
        <v>47</v>
      </c>
      <c r="AR94" s="4">
        <f t="shared" si="18"/>
        <v>53</v>
      </c>
      <c r="AS94" s="4">
        <f t="shared" si="18"/>
        <v>39</v>
      </c>
      <c r="AT94" s="4">
        <f t="shared" si="18"/>
        <v>61</v>
      </c>
      <c r="AU94" s="4">
        <f t="shared" si="18"/>
        <v>0</v>
      </c>
      <c r="AV94" s="4">
        <f t="shared" si="18"/>
        <v>0</v>
      </c>
      <c r="AW94" s="4">
        <f t="shared" si="18"/>
        <v>22</v>
      </c>
      <c r="AX94" s="4">
        <f t="shared" si="18"/>
        <v>54</v>
      </c>
      <c r="AY94" s="4">
        <f t="shared" si="18"/>
        <v>0</v>
      </c>
      <c r="AZ94" s="4">
        <f t="shared" si="18"/>
        <v>0</v>
      </c>
      <c r="BA94" s="4">
        <f t="shared" si="18"/>
        <v>38</v>
      </c>
      <c r="BB94" s="4">
        <f t="shared" si="18"/>
        <v>64</v>
      </c>
      <c r="BC94" s="4">
        <f t="shared" si="18"/>
        <v>50</v>
      </c>
      <c r="BD94" s="4">
        <f t="shared" si="18"/>
        <v>52</v>
      </c>
      <c r="BE94" s="4">
        <f t="shared" si="18"/>
        <v>36</v>
      </c>
      <c r="BF94" s="4">
        <f t="shared" si="18"/>
        <v>61</v>
      </c>
      <c r="BG94" s="4">
        <f t="shared" si="18"/>
        <v>33</v>
      </c>
      <c r="BH94" s="4">
        <f t="shared" si="18"/>
        <v>57</v>
      </c>
      <c r="BI94" s="4">
        <f t="shared" si="18"/>
        <v>33</v>
      </c>
      <c r="BJ94" s="4">
        <f t="shared" si="18"/>
        <v>64</v>
      </c>
      <c r="BK94" s="4">
        <f t="shared" si="18"/>
        <v>46</v>
      </c>
      <c r="BL94" s="4">
        <f t="shared" si="18"/>
        <v>57</v>
      </c>
    </row>
    <row r="95" spans="1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O95" s="4">
        <f t="shared" ref="AO95:BL95" si="19">AO93-AO94</f>
        <v>0</v>
      </c>
      <c r="AP95" s="4">
        <f t="shared" si="19"/>
        <v>0</v>
      </c>
      <c r="AQ95" s="4">
        <f t="shared" si="19"/>
        <v>0</v>
      </c>
      <c r="AR95" s="4">
        <f t="shared" si="19"/>
        <v>0</v>
      </c>
      <c r="AS95" s="4">
        <f t="shared" si="19"/>
        <v>0</v>
      </c>
      <c r="AT95" s="4">
        <f t="shared" si="19"/>
        <v>0</v>
      </c>
      <c r="AU95" s="4">
        <f t="shared" si="19"/>
        <v>0</v>
      </c>
      <c r="AV95" s="4">
        <f t="shared" si="19"/>
        <v>0</v>
      </c>
      <c r="AW95" s="4">
        <f t="shared" si="19"/>
        <v>0</v>
      </c>
      <c r="AX95" s="4">
        <f t="shared" si="19"/>
        <v>0</v>
      </c>
      <c r="AY95" s="4">
        <f t="shared" si="19"/>
        <v>0</v>
      </c>
      <c r="AZ95" s="4">
        <f t="shared" si="19"/>
        <v>0</v>
      </c>
      <c r="BA95" s="4">
        <f t="shared" si="19"/>
        <v>0</v>
      </c>
      <c r="BB95" s="4">
        <f t="shared" si="19"/>
        <v>0</v>
      </c>
      <c r="BC95" s="4">
        <f t="shared" si="19"/>
        <v>0</v>
      </c>
      <c r="BD95" s="4">
        <f t="shared" si="19"/>
        <v>0</v>
      </c>
      <c r="BE95" s="4">
        <f t="shared" si="19"/>
        <v>0</v>
      </c>
      <c r="BF95" s="4">
        <f t="shared" si="19"/>
        <v>0</v>
      </c>
      <c r="BG95" s="4">
        <f t="shared" si="19"/>
        <v>0</v>
      </c>
      <c r="BH95" s="4">
        <f t="shared" si="19"/>
        <v>0</v>
      </c>
      <c r="BI95" s="4">
        <f t="shared" si="19"/>
        <v>0</v>
      </c>
      <c r="BJ95" s="4">
        <f t="shared" si="19"/>
        <v>0</v>
      </c>
      <c r="BK95" s="4">
        <f t="shared" si="19"/>
        <v>0</v>
      </c>
      <c r="BL95" s="4">
        <f t="shared" si="19"/>
        <v>0</v>
      </c>
    </row>
    <row r="96" spans="1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O96" s="4">
        <f t="shared" ref="AO96:BL96" si="20">AO86+AO89+AO92+AO95</f>
        <v>31</v>
      </c>
      <c r="AP96" s="4">
        <f t="shared" si="20"/>
        <v>4</v>
      </c>
      <c r="AQ96" s="4">
        <f t="shared" si="20"/>
        <v>1</v>
      </c>
      <c r="AR96" s="4">
        <f t="shared" si="20"/>
        <v>3</v>
      </c>
      <c r="AS96" s="4">
        <f t="shared" si="20"/>
        <v>6</v>
      </c>
      <c r="AT96" s="4">
        <f t="shared" si="20"/>
        <v>22</v>
      </c>
      <c r="AU96" s="4">
        <f t="shared" si="20"/>
        <v>5</v>
      </c>
      <c r="AV96" s="4">
        <f t="shared" si="20"/>
        <v>1</v>
      </c>
      <c r="AW96" s="4">
        <f t="shared" si="20"/>
        <v>7</v>
      </c>
      <c r="AX96" s="4">
        <f t="shared" si="20"/>
        <v>3</v>
      </c>
      <c r="AY96" s="4">
        <f t="shared" si="20"/>
        <v>0</v>
      </c>
      <c r="AZ96" s="4">
        <f t="shared" si="20"/>
        <v>6</v>
      </c>
      <c r="BA96" s="4">
        <f t="shared" si="20"/>
        <v>9</v>
      </c>
      <c r="BB96" s="4">
        <f t="shared" si="20"/>
        <v>17</v>
      </c>
      <c r="BC96" s="4">
        <f t="shared" si="20"/>
        <v>0</v>
      </c>
      <c r="BD96" s="4">
        <f t="shared" si="20"/>
        <v>0</v>
      </c>
      <c r="BE96" s="4">
        <f t="shared" si="20"/>
        <v>18</v>
      </c>
      <c r="BF96" s="4">
        <f t="shared" si="20"/>
        <v>23</v>
      </c>
      <c r="BG96" s="4">
        <f t="shared" si="20"/>
        <v>22</v>
      </c>
      <c r="BH96" s="4">
        <f t="shared" si="20"/>
        <v>21</v>
      </c>
      <c r="BI96" s="4">
        <f t="shared" si="20"/>
        <v>17</v>
      </c>
      <c r="BJ96" s="4">
        <f t="shared" si="20"/>
        <v>9</v>
      </c>
      <c r="BK96" s="4">
        <f t="shared" si="20"/>
        <v>1</v>
      </c>
      <c r="BL96" s="4">
        <f t="shared" si="20"/>
        <v>38</v>
      </c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3:26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3:26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3:26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3:26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zoomScale="113" zoomScaleNormal="113" zoomScalePageLayoutView="113" workbookViewId="0">
      <pane ySplit="1" topLeftCell="A2" activePane="bottomLeft" state="frozenSplit"/>
      <selection pane="bottomLeft" activeCell="A9" sqref="A9:XFD9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8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1171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x14ac:dyDescent="0.2">
      <c r="A8" s="3" t="str">
        <f t="shared" ref="A8:A24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138">
        <f>VLOOKUP($D8,'SegEnds_NonXtal_Prot#'!$A:$AZ,31,FALSE)-VLOOKUP($D8,'SegEnds_NonXtal_Prot#'!$A:$AZ,28,FALSE)</f>
        <v>43</v>
      </c>
      <c r="G8" s="139">
        <f>50+VLOOKUP($A8,'SegEnds_Xtal_Prot#'!$A:$AY,39,FALSE)-VLOOKUP($D8,'SegEnds_NonXtal_Prot#'!$A:$AZ,28,FALSE)</f>
        <v>68</v>
      </c>
      <c r="H8" s="140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x14ac:dyDescent="0.2">
      <c r="A9" s="3" t="str">
        <f t="shared" ref="A9" si="1">D9&amp;"__wt"</f>
        <v>fpr2_human__wt</v>
      </c>
      <c r="B9" s="3" t="str">
        <f>VLOOKUP(D9,Classification!A:D,3,FALSE)</f>
        <v>Peptide</v>
      </c>
      <c r="C9" s="3" t="str">
        <f>VLOOKUP(D9,Classification!A:D,4,FALSE)</f>
        <v>Formylpeptide</v>
      </c>
      <c r="D9" s="3" t="s">
        <v>202</v>
      </c>
      <c r="E9" s="3">
        <f>VLOOKUP($D9,'SegEnds_NonXtal_Prot#'!$A:$AZ,30,FALSE)-VLOOKUP($D9,'SegEnds_NonXtal_Prot#'!$A:$AZ,29,FALSE)</f>
        <v>5</v>
      </c>
      <c r="F9" s="4">
        <f>VLOOKUP($D9,'SegEnds_NonXtal_Prot#'!$A:$AZ,31,FALSE)-VLOOKUP($D9,'SegEnds_NonXtal_Prot#'!$A:$AZ,28,FALSE)</f>
        <v>43</v>
      </c>
      <c r="G9" s="2">
        <f>50+VLOOKUP($A9,'SegEnds_Xtal_Prot#'!$A:$AY,39,FALSE)-VLOOKUP($D9,'SegEnds_NonXtal_Prot#'!$A:$AZ,28,FALSE)</f>
        <v>69</v>
      </c>
      <c r="H9" s="2">
        <f>50+VLOOKUP($A9,'SegEnds_Xtal_Prot#'!$A:$AY,41,FALSE)-VLOOKUP($D9,'SegEnds_NonXtal_Prot#'!$A:$AZ,31,FALSE)</f>
        <v>31</v>
      </c>
      <c r="I9" s="3"/>
      <c r="J9" s="3"/>
      <c r="K9" s="1"/>
      <c r="L9" s="1"/>
      <c r="M9" s="1"/>
      <c r="N9" s="1"/>
      <c r="Q9" s="8"/>
      <c r="R9" s="8"/>
    </row>
    <row r="10" spans="1:18" ht="17" thickBot="1" x14ac:dyDescent="0.25">
      <c r="A10" s="3" t="str">
        <f t="shared" si="0"/>
        <v>us28_hcmva__wt</v>
      </c>
      <c r="B10" s="3" t="str">
        <f>VLOOKUP(D10,Classification!A:D,3,FALSE)</f>
        <v>Peptide</v>
      </c>
      <c r="C10" s="3" t="str">
        <f>VLOOKUP(D10,Classification!A:D,4,FALSE)</f>
        <v>Chemokine</v>
      </c>
      <c r="D10" s="3" t="s">
        <v>923</v>
      </c>
      <c r="E10" s="3">
        <f>VLOOKUP($D10,'SegEnds_NonXtal_Prot#'!$A:$AZ,30,FALSE)-VLOOKUP($D10,'SegEnds_NonXtal_Prot#'!$A:$AZ,29,FALSE)</f>
        <v>4</v>
      </c>
      <c r="F10" s="1">
        <f>VLOOKUP($D10,'SegEnds_NonXtal_Prot#'!$A:$AZ,31,FALSE)-VLOOKUP($D10,'SegEnds_NonXtal_Prot#'!$A:$AZ,28,FALSE)</f>
        <v>43</v>
      </c>
      <c r="G10" s="3">
        <f>50+VLOOKUP($A10,'SegEnds_Xtal_Prot#'!$A:$AY,39,FALSE)-VLOOKUP($D10,'SegEnds_NonXtal_Prot#'!$A:$AZ,28,FALSE)</f>
        <v>68</v>
      </c>
      <c r="H10" s="3">
        <f>50+VLOOKUP($A10,'SegEnds_Xtal_Prot#'!$A:$AY,41,FALSE)-VLOOKUP($D10,'SegEnds_NonXtal_Prot#'!$A:$AZ,31,FALSE)</f>
        <v>29</v>
      </c>
      <c r="I10" s="3">
        <f>G10</f>
        <v>68</v>
      </c>
      <c r="J10" s="3">
        <f>H10</f>
        <v>29</v>
      </c>
      <c r="K10" s="1" t="s">
        <v>1291</v>
      </c>
      <c r="L10" s="1"/>
      <c r="M10" s="1"/>
      <c r="N10" s="1"/>
    </row>
    <row r="11" spans="1:18" ht="17" thickBot="1" x14ac:dyDescent="0.25">
      <c r="A11" s="3" t="str">
        <f>D11&amp;"__wt"</f>
        <v>ccr5_human__wt</v>
      </c>
      <c r="B11" s="3" t="str">
        <f>VLOOKUP(D11,Classification!A:D,3,FALSE)</f>
        <v>Protein</v>
      </c>
      <c r="C11" s="3" t="str">
        <f>VLOOKUP(D11,Classification!A:D,4,FALSE)</f>
        <v>Chemokine</v>
      </c>
      <c r="D11" s="3" t="s">
        <v>173</v>
      </c>
      <c r="E11" s="3">
        <f>VLOOKUP($D11,'SegEnds_NonXtal_Prot#'!$A:$AZ,30,FALSE)-VLOOKUP($D11,'SegEnds_NonXtal_Prot#'!$A:$AZ,29,FALSE)</f>
        <v>4</v>
      </c>
      <c r="F11" s="80">
        <f>VLOOKUP($D11,'SegEnds_NonXtal_Prot#'!$A:$AZ,31,FALSE)-VLOOKUP($D11,'SegEnds_NonXtal_Prot#'!$A:$AZ,28,FALSE)</f>
        <v>44</v>
      </c>
      <c r="G11" s="81">
        <f>50+VLOOKUP($A11,'SegEnds_Xtal_Prot#'!$A:$AY,39,FALSE)-VLOOKUP($D11,'SegEnds_NonXtal_Prot#'!$A:$AZ,28,FALSE)</f>
        <v>68</v>
      </c>
      <c r="H11" s="82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ffar1_human__wt</v>
      </c>
      <c r="B12" s="3" t="str">
        <f>VLOOKUP(D12,Classification!A:D,3,FALSE)</f>
        <v>Lipid</v>
      </c>
      <c r="C12" s="3" t="str">
        <f>VLOOKUP(D12,Classification!A:D,4,FALSE)</f>
        <v>Freefattyacid</v>
      </c>
      <c r="D12" s="3" t="s">
        <v>1172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45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par1_human__wt</v>
      </c>
      <c r="B13" s="3" t="str">
        <f>VLOOKUP(D13,Classification!A:D,3,FALSE)</f>
        <v>Peptide</v>
      </c>
      <c r="C13" s="3" t="str">
        <f>VLOOKUP(D13,Classification!A:D,4,FALSE)</f>
        <v>Proteinase-activated</v>
      </c>
      <c r="D13" s="3" t="s">
        <v>355</v>
      </c>
      <c r="E13" s="3">
        <f>VLOOKUP($D13,'SegEnds_NonXtal_Prot#'!$A:$AZ,30,FALSE)-VLOOKUP($D13,'SegEnds_NonXtal_Prot#'!$A:$AZ,29,FALSE)</f>
        <v>5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67</v>
      </c>
      <c r="H13" s="3">
        <f>50+VLOOKUP($A13,'SegEnds_Xtal_Prot#'!$A:$AY,41,FALSE)-VLOOKUP($D13,'SegEnds_NonXtal_Prot#'!$A:$AZ,31,FALSE)</f>
        <v>26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p2ry1_human__wt</v>
      </c>
      <c r="B14" s="3" t="str">
        <f>VLOOKUP(D14,Classification!A:D,3,FALSE)</f>
        <v>Nucleotide</v>
      </c>
      <c r="C14" s="3" t="str">
        <f>VLOOKUP(D14,Classification!A:D,4,FALSE)</f>
        <v>P2Y</v>
      </c>
      <c r="D14" s="3" t="s">
        <v>345</v>
      </c>
      <c r="E14" s="3">
        <f>VLOOKUP($D14,'SegEnds_NonXtal_Prot#'!$A:$AZ,30,FALSE)-VLOOKUP($D14,'SegEnds_NonXtal_Prot#'!$A:$AZ,29,FALSE)</f>
        <v>6</v>
      </c>
      <c r="F14" s="1">
        <f>VLOOKUP($D14,'SegEnds_NonXtal_Prot#'!$A:$AZ,31,FALSE)-VLOOKUP($D14,'SegEnds_NonXtal_Prot#'!$A:$AZ,28,FALSE)</f>
        <v>46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9" t="str">
        <f>D15&amp;"__wt"</f>
        <v>agtr2_human__wt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159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24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agtr1_human__wt</v>
      </c>
      <c r="B16" s="3" t="str">
        <f>VLOOKUP(D16,Classification!A:D,3,FALSE)</f>
        <v>Peptide</v>
      </c>
      <c r="C16" s="3" t="str">
        <f>VLOOKUP(D16,Classification!A:D,4,FALSE)</f>
        <v>Angiotensin</v>
      </c>
      <c r="D16" s="3" t="s">
        <v>158</v>
      </c>
      <c r="E16" s="3">
        <f>VLOOKUP($D16,'SegEnds_NonXtal_Prot#'!$A:$AZ,30,FALSE)-VLOOKUP($D16,'SegEnds_NonXtal_Prot#'!$A:$AZ,29,FALSE)</f>
        <v>4</v>
      </c>
      <c r="F16" s="1">
        <f>VLOOKUP($D16,'SegEnds_NonXtal_Prot#'!$A:$AZ,31,FALSE)-VLOOKUP($D16,'SegEnds_NonXtal_Prot#'!$A:$AZ,28,FALSE)</f>
        <v>48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p2y12_human__wt</v>
      </c>
      <c r="B17" s="3" t="str">
        <f>VLOOKUP(D17,Classification!A:D,3,FALSE)</f>
        <v>Nucleotide</v>
      </c>
      <c r="C17" s="3" t="str">
        <f>VLOOKUP(D17,Classification!A:D,4,FALSE)</f>
        <v>P2Y</v>
      </c>
      <c r="D17" s="9" t="s">
        <v>352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72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 t="s">
        <v>1302</v>
      </c>
      <c r="N17" s="1"/>
    </row>
    <row r="18" spans="1:14" x14ac:dyDescent="0.2">
      <c r="A18" s="3" t="str">
        <f t="shared" si="0"/>
        <v>oprd_human__wt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335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oprd_mouse__wt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915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oprk_human__wt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336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oprm_mouse__wt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917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>
        <f>G21</f>
        <v>68</v>
      </c>
      <c r="J21" s="3">
        <f>H21</f>
        <v>23</v>
      </c>
      <c r="K21" s="1" t="s">
        <v>1291</v>
      </c>
      <c r="L21" s="1"/>
      <c r="M21" s="1"/>
      <c r="N21" s="1"/>
    </row>
    <row r="22" spans="1:14" x14ac:dyDescent="0.2">
      <c r="A22" s="3" t="str">
        <f t="shared" si="0"/>
        <v>oprx_human__wt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1173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/>
      <c r="J22" s="3"/>
      <c r="K22" s="1"/>
      <c r="L22" s="1"/>
      <c r="M22" s="1"/>
      <c r="N22" s="1"/>
    </row>
    <row r="23" spans="1:14" x14ac:dyDescent="0.2">
      <c r="A23" s="3" t="str">
        <f t="shared" si="0"/>
        <v>opsd_bovin__wt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919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23</v>
      </c>
      <c r="I23" s="3"/>
      <c r="J23" s="3"/>
      <c r="K23" s="1" t="s">
        <v>1291</v>
      </c>
      <c r="L23" s="1"/>
      <c r="M23" s="1"/>
      <c r="N23" s="1"/>
    </row>
    <row r="24" spans="1:14" customFormat="1" x14ac:dyDescent="0.2">
      <c r="A24" s="3" t="str">
        <f t="shared" si="0"/>
        <v>opsd_human__wt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339</v>
      </c>
      <c r="E24" s="3">
        <f>VLOOKUP($D24,'SegEnds_NonXtal_Prot#'!$A:$AZ,30,FALSE)-VLOOKUP($D24,'SegEnds_NonXtal_Prot#'!$A:$AZ,29,FALSE)</f>
        <v>3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</row>
    <row r="25" spans="1:14" customFormat="1" x14ac:dyDescent="0.2">
      <c r="A25" s="1" t="s">
        <v>1329</v>
      </c>
      <c r="B25" s="3" t="str">
        <f>VLOOKUP(D25,Classification!A:D,3,FALSE)</f>
        <v>Peptide</v>
      </c>
      <c r="C25" s="3" t="str">
        <f>VLOOKUP(D25,Classification!A:D,4,FALSE)</f>
        <v>Endothelin</v>
      </c>
      <c r="D25" s="3" t="s">
        <v>196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53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</row>
    <row r="26" spans="1:14" customFormat="1" x14ac:dyDescent="0.2">
      <c r="A26" s="3" t="str">
        <f t="shared" ref="A26:A43" si="2">D26&amp;"__wt"</f>
        <v>lpar1_human__wt</v>
      </c>
      <c r="B26" s="3" t="str">
        <f>VLOOKUP(D26,Classification!A:D,3,FALSE)</f>
        <v>Lipid</v>
      </c>
      <c r="C26" s="3" t="str">
        <f>VLOOKUP(D26,Classification!A:D,4,FALSE)</f>
        <v>Lysophospholipid(LPA)</v>
      </c>
      <c r="D26" s="9" t="s">
        <v>103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56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22</v>
      </c>
      <c r="I26" s="3"/>
      <c r="J26" s="3"/>
      <c r="M26" t="s">
        <v>1298</v>
      </c>
    </row>
    <row r="27" spans="1:14" customFormat="1" x14ac:dyDescent="0.2">
      <c r="A27" s="3" t="str">
        <f t="shared" si="2"/>
        <v>s1pr1_human__wt</v>
      </c>
      <c r="B27" s="3" t="str">
        <f>VLOOKUP(D27,Classification!A:D,3,FALSE)</f>
        <v>Lipid</v>
      </c>
      <c r="C27" s="3" t="str">
        <f>VLOOKUP(D27,Classification!A:D,4,FALSE)</f>
        <v>Lysophospholipid(S1P)</v>
      </c>
      <c r="D27" s="9" t="s">
        <v>104</v>
      </c>
      <c r="E27" s="3">
        <f>VLOOKUP($D27,'SegEnds_NonXtal_Prot#'!$A:$AZ,30,FALSE)-VLOOKUP($D27,'SegEnds_NonXtal_Prot#'!$A:$AZ,29,FALSE)</f>
        <v>9</v>
      </c>
      <c r="F27" s="1">
        <f>VLOOKUP($D27,'SegEnds_NonXtal_Prot#'!$A:$AZ,31,FALSE)-VLOOKUP($D27,'SegEnds_NonXtal_Prot#'!$A:$AZ,28,FALSE)</f>
        <v>58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24</v>
      </c>
      <c r="I27" s="3"/>
      <c r="J27" s="3"/>
      <c r="M27" t="s">
        <v>1299</v>
      </c>
    </row>
    <row r="28" spans="1:14" customFormat="1" x14ac:dyDescent="0.2">
      <c r="A28" s="3" t="str">
        <f t="shared" si="2"/>
        <v>aa2ar_human__wt</v>
      </c>
      <c r="B28" s="3" t="str">
        <f>VLOOKUP(D28,Classification!A:D,3,FALSE)</f>
        <v>Nucleotide</v>
      </c>
      <c r="C28" s="3" t="str">
        <f>VLOOKUP(D28,Classification!A:D,4,FALSE)</f>
        <v>Adenosine</v>
      </c>
      <c r="D28" s="3" t="s">
        <v>139</v>
      </c>
      <c r="E28" s="3">
        <f>VLOOKUP($D28,'SegEnds_NonXtal_Prot#'!$A:$AZ,30,FALSE)-VLOOKUP($D28,'SegEnds_NonXtal_Prot#'!$A:$AZ,29,FALSE)</f>
        <v>6</v>
      </c>
      <c r="F28" s="1">
        <f>VLOOKUP($D28,'SegEnds_NonXtal_Prot#'!$A:$AZ,31,FALSE)-VLOOKUP($D28,'SegEnds_NonXtal_Prot#'!$A:$AZ,28,FALSE)</f>
        <v>59</v>
      </c>
      <c r="G28" s="3">
        <f>50+VLOOKUP($A28,'SegEnds_Xtal_Prot#'!$A:$AY,39,FALSE)-VLOOKUP($D28,'SegEnds_NonXtal_Prot#'!$A:$AZ,28,FALSE)</f>
        <v>74</v>
      </c>
      <c r="H28" s="3">
        <f>50+VLOOKUP($A28,'SegEnds_Xtal_Prot#'!$A:$AY,41,FALSE)-VLOOKUP($D28,'SegEnds_NonXtal_Prot#'!$A:$AZ,31,FALSE)</f>
        <v>21</v>
      </c>
      <c r="I28" s="3">
        <f>G28</f>
        <v>74</v>
      </c>
      <c r="J28" s="3">
        <f>H28</f>
        <v>21</v>
      </c>
      <c r="K28" s="1" t="s">
        <v>1291</v>
      </c>
      <c r="L28" s="1"/>
    </row>
    <row r="29" spans="1:14" customFormat="1" x14ac:dyDescent="0.2">
      <c r="A29" s="3" t="str">
        <f t="shared" ref="A29" si="3">D29&amp;"__wt"</f>
        <v>cnr2_human__wt</v>
      </c>
      <c r="B29" s="3" t="str">
        <f>VLOOKUP(D29,Classification!A:D,3,FALSE)</f>
        <v>Lipid</v>
      </c>
      <c r="C29" s="3" t="str">
        <f>VLOOKUP(D29,Classification!A:D,4,FALSE)</f>
        <v>Cannabinoid</v>
      </c>
      <c r="D29" s="3" t="s">
        <v>183</v>
      </c>
      <c r="E29" s="3">
        <f>VLOOKUP($D29,'SegEnds_NonXtal_Prot#'!$A:$AZ,30,FALSE)-VLOOKUP($D29,'SegEnds_NonXtal_Prot#'!$A:$AZ,29,FALSE)</f>
        <v>13</v>
      </c>
      <c r="F29" s="1">
        <f>VLOOKUP($D29,'SegEnds_NonXtal_Prot#'!$A:$AZ,31,FALSE)-VLOOKUP($D29,'SegEnds_NonXtal_Prot#'!$A:$AZ,28,FALSE)</f>
        <v>59</v>
      </c>
      <c r="G29" s="3">
        <f>50+VLOOKUP($A29,'SegEnds_Xtal_Prot#'!$A:$AY,39,FALSE)-VLOOKUP($D29,'SegEnds_NonXtal_Prot#'!$A:$AZ,28,FALSE)</f>
        <v>74</v>
      </c>
      <c r="H29" s="3">
        <f>50+VLOOKUP($A29,'SegEnds_Xtal_Prot#'!$A:$AY,41,FALSE)-VLOOKUP($D29,'SegEnds_NonXtal_Prot#'!$A:$AZ,31,FALSE)</f>
        <v>28</v>
      </c>
      <c r="I29" s="3"/>
      <c r="J29" s="3"/>
      <c r="K29" s="1"/>
      <c r="L29" s="1"/>
    </row>
    <row r="30" spans="1:14" customFormat="1" x14ac:dyDescent="0.2">
      <c r="A30" s="3" t="str">
        <f t="shared" si="2"/>
        <v>ntr1_rat__wt</v>
      </c>
      <c r="B30" s="3" t="str">
        <f>VLOOKUP(D30,Classification!A:D,3,FALSE)</f>
        <v>Peptide</v>
      </c>
      <c r="C30" s="3" t="str">
        <f>VLOOKUP(D30,Classification!A:D,4,FALSE)</f>
        <v>Neurotensin</v>
      </c>
      <c r="D30" s="48" t="s">
        <v>913</v>
      </c>
      <c r="E30" s="3">
        <f>VLOOKUP($D30,'SegEnds_NonXtal_Prot#'!$A:$AZ,30,FALSE)-VLOOKUP($D30,'SegEnds_NonXtal_Prot#'!$A:$AZ,29,FALSE)</f>
        <v>22</v>
      </c>
      <c r="F30" s="1">
        <f>VLOOKUP($D30,'SegEnds_NonXtal_Prot#'!$A:$AZ,31,FALSE)-VLOOKUP($D30,'SegEnds_NonXtal_Prot#'!$A:$AZ,28,FALSE)</f>
        <v>74</v>
      </c>
      <c r="G30" s="3">
        <f>50+VLOOKUP($A30,'SegEnds_Xtal_Prot#'!$A:$AY,39,FALSE)-VLOOKUP($D30,'SegEnds_NonXtal_Prot#'!$A:$AZ,28,FALSE)</f>
        <v>76</v>
      </c>
      <c r="H30" s="3">
        <f>50+VLOOKUP($A30,'SegEnds_Xtal_Prot#'!$A:$AY,41,FALSE)-VLOOKUP($D30,'SegEnds_NonXtal_Prot#'!$A:$AZ,31,FALSE)</f>
        <v>24</v>
      </c>
      <c r="I30" s="3"/>
      <c r="J30" s="3"/>
      <c r="M30" t="s">
        <v>1295</v>
      </c>
    </row>
    <row r="31" spans="1:14" customFormat="1" x14ac:dyDescent="0.2">
      <c r="A31" s="3" t="str">
        <f t="shared" si="2"/>
        <v>adrb2_human__wt</v>
      </c>
      <c r="B31" s="3" t="str">
        <f>VLOOKUP(D31,Classification!A:D,3,FALSE)</f>
        <v>Aminergic</v>
      </c>
      <c r="C31" s="3" t="str">
        <f>VLOOKUP(D31,Classification!A:D,4,FALSE)</f>
        <v>Adrenoceptors</v>
      </c>
      <c r="D31" s="48" t="s">
        <v>126</v>
      </c>
      <c r="E31" s="3">
        <f>VLOOKUP($D31,'SegEnds_NonXtal_Prot#'!$A:$AZ,30,FALSE)-VLOOKUP($D31,'SegEnds_NonXtal_Prot#'!$A:$AZ,29,FALSE)</f>
        <v>25</v>
      </c>
      <c r="F31" s="1">
        <f>VLOOKUP($D31,'SegEnds_NonXtal_Prot#'!$A:$AZ,31,FALSE)-VLOOKUP($D31,'SegEnds_NonXtal_Prot#'!$A:$AZ,28,FALSE)</f>
        <v>77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>
        <f>G31</f>
        <v>76</v>
      </c>
      <c r="J31" s="3"/>
      <c r="K31" s="1" t="s">
        <v>1291</v>
      </c>
      <c r="L31" s="1"/>
      <c r="N31" t="s">
        <v>1301</v>
      </c>
    </row>
    <row r="32" spans="1:14" x14ac:dyDescent="0.2">
      <c r="A32" s="3" t="str">
        <f t="shared" si="2"/>
        <v>5ht1b_human__wt</v>
      </c>
      <c r="B32" s="3" t="str">
        <f>VLOOKUP(D32,Classification!A:D,3,FALSE)</f>
        <v>Aminergic</v>
      </c>
      <c r="C32" s="3" t="str">
        <f>VLOOKUP(D32,Classification!A:D,4,FALSE)</f>
        <v>5-Hydroxytryptamine</v>
      </c>
      <c r="D32" s="3" t="s">
        <v>34</v>
      </c>
      <c r="E32" s="3">
        <f>VLOOKUP($D32,'SegEnds_NonXtal_Prot#'!$A:$AZ,30,FALSE)-VLOOKUP($D32,'SegEnds_NonXtal_Prot#'!$A:$AZ,29,FALSE)</f>
        <v>59</v>
      </c>
      <c r="F32" s="1">
        <f>VLOOKUP($D32,'SegEnds_NonXtal_Prot#'!$A:$AZ,31,FALSE)-VLOOKUP($D32,'SegEnds_NonXtal_Prot#'!$A:$AZ,28,FALSE)</f>
        <v>109</v>
      </c>
      <c r="G32" s="3">
        <f>50+VLOOKUP($A32,'SegEnds_Xtal_Prot#'!$A:$AY,39,FALSE)-VLOOKUP($D32,'SegEnds_NonXtal_Prot#'!$A:$AZ,28,FALSE)</f>
        <v>74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>
        <v>76</v>
      </c>
      <c r="M32" s="1"/>
      <c r="N32" s="1"/>
    </row>
    <row r="33" spans="1:14" x14ac:dyDescent="0.2">
      <c r="A33" s="3" t="str">
        <f t="shared" si="2"/>
        <v>5ht2b_human__wt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35</v>
      </c>
      <c r="E33" s="3">
        <f>VLOOKUP($D33,'SegEnds_NonXtal_Prot#'!$A:$AZ,30,FALSE)-VLOOKUP($D33,'SegEnds_NonXtal_Prot#'!$A:$AZ,29,FALSE)</f>
        <v>58</v>
      </c>
      <c r="F33" s="1">
        <f>VLOOKUP($D33,'SegEnds_NonXtal_Prot#'!$A:$AZ,31,FALSE)-VLOOKUP($D33,'SegEnds_NonXtal_Prot#'!$A:$AZ,28,FALSE)</f>
        <v>110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2"/>
        <v>drd3_human__wt</v>
      </c>
      <c r="B34" s="3" t="str">
        <f>VLOOKUP(D34,Classification!A:D,3,FALSE)</f>
        <v>Aminergic</v>
      </c>
      <c r="C34" s="3" t="str">
        <f>VLOOKUP(D34,Classification!A:D,4,FALSE)</f>
        <v>Dopamine</v>
      </c>
      <c r="D34" s="3" t="s">
        <v>192</v>
      </c>
      <c r="E34" s="3">
        <f>VLOOKUP($D34,'SegEnds_NonXtal_Prot#'!$A:$AZ,30,FALSE)-VLOOKUP($D34,'SegEnds_NonXtal_Prot#'!$A:$AZ,29,FALSE)</f>
        <v>92</v>
      </c>
      <c r="F34" s="1">
        <f>VLOOKUP($D34,'SegEnds_NonXtal_Prot#'!$A:$AZ,31,FALSE)-VLOOKUP($D34,'SegEnds_NonXtal_Prot#'!$A:$AZ,28,FALSE)</f>
        <v>144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2"/>
        <v>acm1_human__wt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146</v>
      </c>
      <c r="E35" s="3">
        <f>VLOOKUP($D35,'SegEnds_NonXtal_Prot#'!$A:$AZ,30,FALSE)-VLOOKUP($D35,'SegEnds_NonXtal_Prot#'!$A:$AZ,29,FALSE)</f>
        <v>129</v>
      </c>
      <c r="F35" s="1">
        <f>VLOOKUP($D35,'SegEnds_NonXtal_Prot#'!$A:$AZ,31,FALSE)-VLOOKUP($D35,'SegEnds_NonXtal_Prot#'!$A:$AZ,28,FALSE)</f>
        <v>180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2"/>
        <v>acm2_human__wt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147</v>
      </c>
      <c r="E36" s="3">
        <f>VLOOKUP($D36,'SegEnds_NonXtal_Prot#'!$A:$AZ,30,FALSE)-VLOOKUP($D36,'SegEnds_NonXtal_Prot#'!$A:$AZ,29,FALSE)</f>
        <v>153</v>
      </c>
      <c r="F36" s="1">
        <f>VLOOKUP($D36,'SegEnds_NonXtal_Prot#'!$A:$AZ,31,FALSE)-VLOOKUP($D36,'SegEnds_NonXtal_Prot#'!$A:$AZ,28,FALSE)</f>
        <v>204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>
        <f>G36</f>
        <v>75</v>
      </c>
      <c r="J36" s="3">
        <f>H36</f>
        <v>24</v>
      </c>
      <c r="K36" s="1" t="s">
        <v>1291</v>
      </c>
      <c r="L36" s="1"/>
      <c r="M36" s="1"/>
      <c r="N36" s="1"/>
    </row>
    <row r="37" spans="1:14" x14ac:dyDescent="0.2">
      <c r="A37" s="3" t="str">
        <f t="shared" si="2"/>
        <v>acm4_human__wt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149</v>
      </c>
      <c r="E37" s="3">
        <f>VLOOKUP($D37,'SegEnds_NonXtal_Prot#'!$A:$AZ,30,FALSE)-VLOOKUP($D37,'SegEnds_NonXtal_Prot#'!$A:$AZ,29,FALSE)</f>
        <v>157</v>
      </c>
      <c r="F37" s="1">
        <f>VLOOKUP($D37,'SegEnds_NonXtal_Prot#'!$A:$AZ,31,FALSE)-VLOOKUP($D37,'SegEnds_NonXtal_Prot#'!$A:$AZ,28,FALSE)</f>
        <v>208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customFormat="1" x14ac:dyDescent="0.2">
      <c r="A38" s="3" t="str">
        <f t="shared" si="2"/>
        <v>hrh1_human__wt</v>
      </c>
      <c r="B38" s="3" t="str">
        <f>VLOOKUP(D38,Classification!A:D,3,FALSE)</f>
        <v>Aminergic</v>
      </c>
      <c r="C38" s="3" t="str">
        <f>VLOOKUP(D38,Classification!A:D,4,FALSE)</f>
        <v>Histamine</v>
      </c>
      <c r="D38" s="3" t="s">
        <v>278</v>
      </c>
      <c r="E38" s="3">
        <f>VLOOKUP($D38,'SegEnds_NonXtal_Prot#'!$A:$AZ,30,FALSE)-VLOOKUP($D38,'SegEnds_NonXtal_Prot#'!$A:$AZ,29,FALSE)</f>
        <v>176</v>
      </c>
      <c r="F38" s="1">
        <f>VLOOKUP($D38,'SegEnds_NonXtal_Prot#'!$A:$AZ,31,FALSE)-VLOOKUP($D38,'SegEnds_NonXtal_Prot#'!$A:$AZ,28,FALSE)</f>
        <v>228</v>
      </c>
      <c r="G38" s="3">
        <f>50+VLOOKUP($A38,'SegEnds_Xtal_Prot#'!$A:$AY,39,FALSE)-VLOOKUP($D38,'SegEnds_NonXtal_Prot#'!$A:$AZ,28,FALSE)</f>
        <v>76</v>
      </c>
      <c r="H38" s="3">
        <f>50+VLOOKUP($A38,'SegEnds_Xtal_Prot#'!$A:$AY,41,FALSE)-VLOOKUP($D38,'SegEnds_NonXtal_Prot#'!$A:$AZ,31,FALSE)</f>
        <v>24</v>
      </c>
      <c r="I38" s="3"/>
      <c r="J38" s="3"/>
    </row>
    <row r="39" spans="1:14" customFormat="1" x14ac:dyDescent="0.2">
      <c r="A39" s="3" t="str">
        <f t="shared" si="2"/>
        <v>acm3_rat__wt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909</v>
      </c>
      <c r="E39" s="3">
        <f>VLOOKUP($D39,'SegEnds_NonXtal_Prot#'!$A:$AZ,30,FALSE)-VLOOKUP($D39,'SegEnds_NonXtal_Prot#'!$A:$AZ,29,FALSE)</f>
        <v>212</v>
      </c>
      <c r="F39" s="1">
        <f>VLOOKUP($D39,'SegEnds_NonXtal_Prot#'!$A:$AZ,31,FALSE)-VLOOKUP($D39,'SegEnds_NonXtal_Prot#'!$A:$AZ,28,FALSE)</f>
        <v>263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s="60" customFormat="1" x14ac:dyDescent="0.2">
      <c r="A40" s="59" t="str">
        <f t="shared" si="2"/>
        <v>opsd_todpa__wt</v>
      </c>
      <c r="B40" s="59" t="str">
        <f>VLOOKUP(D40,Classification!A:D,3,FALSE)</f>
        <v>Sensory</v>
      </c>
      <c r="C40" s="59" t="str">
        <f>VLOOKUP(D40,Classification!A:D,4,FALSE)</f>
        <v>Opsins</v>
      </c>
      <c r="D40" s="59" t="s">
        <v>921</v>
      </c>
      <c r="E40" s="59">
        <f>VLOOKUP($D40,'SegEnds_NonXtal_Prot#'!$A:$AZ,30,FALSE)-VLOOKUP($D40,'SegEnds_NonXtal_Prot#'!$A:$AZ,29,FALSE)</f>
        <v>5</v>
      </c>
      <c r="F40" s="42">
        <f>VLOOKUP($D40,'SegEnds_NonXtal_Prot#'!$A:$AZ,31,FALSE)-VLOOKUP($D40,'SegEnds_NonXtal_Prot#'!$A:$AZ,28,FALSE)</f>
        <v>64</v>
      </c>
      <c r="G40" s="59">
        <f>50+VLOOKUP($A40,'SegEnds_Xtal_Prot#'!$A:$AY,39,FALSE)-VLOOKUP($D40,'SegEnds_NonXtal_Prot#'!$A:$AZ,28,FALSE)</f>
        <v>77</v>
      </c>
      <c r="H40" s="59">
        <f>50+VLOOKUP($A40,'SegEnds_Xtal_Prot#'!$A:$AY,41,FALSE)-VLOOKUP($D40,'SegEnds_NonXtal_Prot#'!$A:$AZ,31,FALSE)</f>
        <v>18</v>
      </c>
      <c r="I40" s="79" t="s">
        <v>1331</v>
      </c>
      <c r="J40" s="59"/>
    </row>
    <row r="41" spans="1:14" x14ac:dyDescent="0.2">
      <c r="A41" s="3" t="str">
        <f t="shared" si="2"/>
        <v>ox2r_human__wt</v>
      </c>
      <c r="B41" s="3" t="str">
        <f>VLOOKUP(D41,Classification!A:D,3,FALSE)</f>
        <v>Peptide</v>
      </c>
      <c r="C41" s="3" t="str">
        <f>VLOOKUP(D41,Classification!A:D,4,FALSE)</f>
        <v>Orexin</v>
      </c>
      <c r="D41" s="48" t="s">
        <v>1175</v>
      </c>
      <c r="E41" s="3">
        <f>VLOOKUP($D41,'SegEnds_NonXtal_Prot#'!$A:$AZ,30,FALSE)-VLOOKUP($D41,'SegEnds_NonXtal_Prot#'!$A:$AZ,29,FALSE)</f>
        <v>33</v>
      </c>
      <c r="F41" s="1">
        <f>VLOOKUP($D41,'SegEnds_NonXtal_Prot#'!$A:$AZ,31,FALSE)-VLOOKUP($D41,'SegEnds_NonXtal_Prot#'!$A:$AZ,28,FALSE)</f>
        <v>84</v>
      </c>
      <c r="G41" s="3">
        <f>50+VLOOKUP($A41,'SegEnds_Xtal_Prot#'!$A:$AY,39,FALSE)-VLOOKUP($D41,'SegEnds_NonXtal_Prot#'!$A:$AZ,28,FALSE)</f>
        <v>71</v>
      </c>
      <c r="H41" s="3">
        <f>50+VLOOKUP($A41,'SegEnds_Xtal_Prot#'!$A:$AY,41,FALSE)-VLOOKUP($D41,'SegEnds_NonXtal_Prot#'!$A:$AZ,31,FALSE)</f>
        <v>20</v>
      </c>
      <c r="I41" s="3"/>
      <c r="J41" s="3"/>
      <c r="K41" s="1"/>
      <c r="L41" s="1"/>
      <c r="M41" s="1" t="s">
        <v>1294</v>
      </c>
      <c r="N41" s="1" t="s">
        <v>1300</v>
      </c>
    </row>
    <row r="42" spans="1:14" customFormat="1" x14ac:dyDescent="0.2">
      <c r="A42" s="3" t="str">
        <f t="shared" si="2"/>
        <v>ox1r_human__wt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8" t="s">
        <v>1174</v>
      </c>
      <c r="E42" s="3">
        <f>VLOOKUP($D42,'SegEnds_NonXtal_Prot#'!$A:$AZ,30,FALSE)-VLOOKUP($D42,'SegEnds_NonXtal_Prot#'!$A:$AZ,29,FALSE)</f>
        <v>35</v>
      </c>
      <c r="F42" s="1">
        <f>VLOOKUP($D42,'SegEnds_NonXtal_Prot#'!$A:$AZ,31,FALSE)-VLOOKUP($D42,'SegEnds_NonXtal_Prot#'!$A:$AZ,28,FALSE)</f>
        <v>86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M42" s="1" t="s">
        <v>1294</v>
      </c>
      <c r="N42" s="1" t="s">
        <v>1300</v>
      </c>
    </row>
    <row r="43" spans="1:14" x14ac:dyDescent="0.2">
      <c r="A43" s="3" t="str">
        <f t="shared" si="2"/>
        <v>adrb1_melga__wt</v>
      </c>
      <c r="B43" s="3" t="str">
        <f>VLOOKUP(D43,Classification!A:D,3,FALSE)</f>
        <v>Aminergic</v>
      </c>
      <c r="C43" s="3" t="str">
        <f>VLOOKUP(D43,Classification!A:D,4,FALSE)</f>
        <v>Adrenoceptors</v>
      </c>
      <c r="D43" s="3" t="s">
        <v>911</v>
      </c>
      <c r="E43" s="3">
        <f>VLOOKUP($D43,'SegEnds_NonXtal_Prot#'!$A:$AZ,30,FALSE)-VLOOKUP($D43,'SegEnds_NonXtal_Prot#'!$A:$AZ,29,FALSE)</f>
        <v>30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76</v>
      </c>
      <c r="H43" s="3">
        <f>50+VLOOKUP($A43,'SegEnds_Xtal_Prot#'!$A:$AY,41,FALSE)-VLOOKUP($D43,'SegEnds_NonXtal_Prot#'!$A:$AZ,31,FALSE)</f>
        <v>20</v>
      </c>
      <c r="I43" s="3">
        <f>G43</f>
        <v>76</v>
      </c>
      <c r="J43" s="3">
        <f>H43</f>
        <v>20</v>
      </c>
      <c r="K43" s="1" t="s">
        <v>1291</v>
      </c>
      <c r="L43" s="1"/>
      <c r="M43" s="1"/>
      <c r="N43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3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zoomScale="113" zoomScaleNormal="113" zoomScalePageLayoutView="113" workbookViewId="0">
      <pane ySplit="1" topLeftCell="A2" activePane="bottomLeft" state="frozenSplit"/>
      <selection pane="bottomLeft" activeCell="D10" sqref="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5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  <row r="9" spans="1:15" x14ac:dyDescent="0.2">
      <c r="A9" s="3" t="str">
        <f>D9&amp;"__wt"</f>
        <v>crfr2_human__wt</v>
      </c>
      <c r="B9" s="3" t="str">
        <f>VLOOKUP(D9,Classification!A:D,3,FALSE)</f>
        <v>Peptide</v>
      </c>
      <c r="C9" s="3" t="str">
        <f>VLOOKUP(D9,Classification!A:D,4,FALSE)</f>
        <v>Corticotropin-releasingfact</v>
      </c>
      <c r="D9" s="3" t="s">
        <v>403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50</v>
      </c>
      <c r="G9" s="3">
        <f>50+VLOOKUP($A9,'SegEnds_Xtal_Prot#'!$A:$AY,39,FALSE)-VLOOKUP($D9,'SegEnds_NonXtal_Prot#'!$A:$AZ,28,FALSE)</f>
        <v>71</v>
      </c>
      <c r="H9" s="3">
        <f>50+VLOOKUP($A9,'SegEnds_Xtal_Prot#'!$A:$AY,41,FALSE)-VLOOKUP($D9,'SegEnds_NonXtal_Prot#'!$A:$AZ,31,FALSE)</f>
        <v>25</v>
      </c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9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4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20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1594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57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20</v>
      </c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:B7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6"/>
  <sheetViews>
    <sheetView zoomScale="135" zoomScaleNormal="135" zoomScalePageLayoutView="135" workbookViewId="0">
      <pane ySplit="1" topLeftCell="A8" activePane="bottomLeft" state="frozenSplit"/>
      <selection pane="bottomLeft" activeCell="S27" sqref="S27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1206</v>
      </c>
      <c r="C1" s="26" t="s">
        <v>1060</v>
      </c>
      <c r="D1" s="8" t="s">
        <v>1061</v>
      </c>
      <c r="E1" s="8" t="s">
        <v>1077</v>
      </c>
      <c r="F1" s="8" t="s">
        <v>1078</v>
      </c>
      <c r="G1" s="8" t="s">
        <v>1062</v>
      </c>
      <c r="H1" s="99" t="s">
        <v>1063</v>
      </c>
      <c r="I1" s="8" t="s">
        <v>1079</v>
      </c>
      <c r="J1" s="8" t="s">
        <v>1080</v>
      </c>
      <c r="K1" s="99" t="s">
        <v>1064</v>
      </c>
      <c r="L1" s="8" t="s">
        <v>1065</v>
      </c>
      <c r="M1" s="8" t="s">
        <v>1092</v>
      </c>
      <c r="N1" s="99" t="s">
        <v>1093</v>
      </c>
      <c r="O1" s="86" t="s">
        <v>1066</v>
      </c>
      <c r="P1" s="8" t="s">
        <v>1067</v>
      </c>
      <c r="Q1" s="8" t="s">
        <v>1095</v>
      </c>
      <c r="R1" s="8" t="s">
        <v>1096</v>
      </c>
      <c r="S1" s="8" t="s">
        <v>1068</v>
      </c>
      <c r="T1" s="8" t="s">
        <v>1069</v>
      </c>
      <c r="U1" s="8" t="s">
        <v>1070</v>
      </c>
      <c r="V1" s="8" t="s">
        <v>1071</v>
      </c>
      <c r="W1" s="8" t="s">
        <v>1072</v>
      </c>
      <c r="X1" s="8" t="s">
        <v>1073</v>
      </c>
      <c r="Y1" s="8" t="s">
        <v>1074</v>
      </c>
      <c r="Z1" s="8" t="s">
        <v>1075</v>
      </c>
      <c r="AA1" s="26" t="s">
        <v>99</v>
      </c>
      <c r="AB1" s="30" t="s">
        <v>1240</v>
      </c>
      <c r="AC1" s="30" t="s">
        <v>1286</v>
      </c>
      <c r="AD1" s="30" t="s">
        <v>1282</v>
      </c>
      <c r="AE1" s="30" t="s">
        <v>1241</v>
      </c>
      <c r="AF1" s="30" t="s">
        <v>1275</v>
      </c>
      <c r="AG1" s="26" t="s">
        <v>1279</v>
      </c>
      <c r="AH1" s="30" t="s">
        <v>1391</v>
      </c>
      <c r="AI1" s="30" t="s">
        <v>1242</v>
      </c>
      <c r="AJ1" s="30" t="s">
        <v>1239</v>
      </c>
      <c r="AK1" s="30" t="s">
        <v>1480</v>
      </c>
      <c r="AL1" s="30" t="s">
        <v>1226</v>
      </c>
    </row>
    <row r="2" spans="1:38" x14ac:dyDescent="0.2">
      <c r="A2" s="1" t="s">
        <v>243</v>
      </c>
      <c r="B2" s="1" t="str">
        <f>VLOOKUP(A2,Xtal_Templ!A:B,2,FALSE)</f>
        <v>par2_human</v>
      </c>
      <c r="C2" s="5">
        <f>VLOOKUP($B2&amp;"__wt",'SegEnds_Xtal_BW#'!$A:$Z,3,FALSE)</f>
        <v>28</v>
      </c>
      <c r="D2" s="1">
        <f>VLOOKUP($B2&amp;"__wt",'SegEnds_Xtal_BW#'!$A:$Z,4,FALSE)</f>
        <v>60</v>
      </c>
      <c r="E2" s="1" t="str">
        <f>VLOOKUP($B2&amp;"__wt",'SegEnds_Xtal_BW#'!$A:$Z,5,FALSE)</f>
        <v>-</v>
      </c>
      <c r="F2" s="1" t="str">
        <f>VLOOKUP($B2&amp;"__wt",'SegEnds_Xtal_BW#'!$A:$Z,6,FALSE)</f>
        <v>-</v>
      </c>
      <c r="G2" s="1">
        <v>37</v>
      </c>
      <c r="H2" s="12">
        <v>66</v>
      </c>
      <c r="I2" s="1">
        <f>VLOOKUP($B2&amp;"__wt",'SegEnds_Xtal_BW#'!$A:$Z,9,FALSE)</f>
        <v>47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62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08">
        <v>38</v>
      </c>
      <c r="T2" s="1">
        <f t="array" ref="T2">INDEX(ICL3_classA!$G$2:$G$39,MATCH(MIN(ABS(AI2-ICL3_classA!$F$2:$F$39)),ABS(AI2-ICL3_classA!$F$2:$F$39),0))</f>
        <v>68</v>
      </c>
      <c r="U2" s="1">
        <f t="array" ref="U2">INDEX(ICL3_classA!$H$2:$H$39,MATCH(MIN(ABS(AI2-ICL3_classA!$F$2:$F$39)),ABS(AI2-ICL3_classA!$F$2:$F$39),0))</f>
        <v>24</v>
      </c>
      <c r="V2" s="1">
        <v>61</v>
      </c>
      <c r="W2" s="131">
        <f>VLOOKUP($B2&amp;"__wt",'SegEnds_Xtal_BW#'!$A:$Z,23,FALSE)</f>
        <v>31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61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49</v>
      </c>
      <c r="AF2" s="1">
        <f>VLOOKUP(A2,'SegEnds_NonXtal_Prot#'!A:AL,22,FALSE)-VLOOKUP(A2,'SegEnds_NonXtal_Prot#'!A:AL,19,FALSE)</f>
        <v>20</v>
      </c>
      <c r="AG2" s="1" t="e">
        <f>VLOOKUP(A2,'SegEnds_NonXtal_Prot#'!A:AL,28,FALSE)-VLOOKUP(A2,'SegEnds_NonXtal_Prot#'!A:AL,25,FALSE)</f>
        <v>#VALUE!</v>
      </c>
      <c r="AH2" s="1">
        <f>VLOOKUP(A2,'SegEnds_NonXtal_Prot#'!A:AL,28,FALSE)-VLOOKUP(A2,'SegEnds_NonXtal_Prot#'!A:AL,22,FALSE)</f>
        <v>33</v>
      </c>
      <c r="AI2" s="1">
        <f>VLOOKUP(A2,'SegEnds_NonXtal_Prot#'!A:AL,31,FALSE)-VLOOKUP(A2,'SegEnds_NonXtal_Prot#'!A:AL,28,FALSE)</f>
        <v>48</v>
      </c>
      <c r="AJ2" s="1">
        <f>VLOOKUP(A2,'SegEnds_NonXtal_Prot#'!A:AL,34,FALSE)-VLOOKUP(A2,'SegEnds_NonXtal_Prot#'!A:AL,31,FALSE)</f>
        <v>38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220</v>
      </c>
      <c r="B3" s="1" t="str">
        <f>VLOOKUP(A3,Xtal_Templ!A:B,2,FALSE)</f>
        <v>5ht1b_human</v>
      </c>
      <c r="C3" s="5">
        <f>VLOOKUP($B3&amp;"__wt",'SegEnds_Xtal_BW#'!$A:$Z,3,FALSE)</f>
        <v>28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v>66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7"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15">
        <v>35</v>
      </c>
      <c r="T3" s="1">
        <f t="array" ref="T3">INDEX(ICL3_classA!$G$2:$G$39,MATCH(MIN(ABS(AI3-ICL3_classA!$F$2:$F$39)),ABS(AI3-ICL3_classA!$F$2:$F$39),0))</f>
        <v>76</v>
      </c>
      <c r="U3" s="1">
        <f t="array" ref="U3">INDEX(ICL3_classA!$H$2:$H$39,MATCH(MIN(ABS(AI3-ICL3_classA!$F$2:$F$39)),ABS(AI3-ICL3_classA!$F$2:$F$39),0))</f>
        <v>24</v>
      </c>
      <c r="V3" s="1">
        <v>58</v>
      </c>
      <c r="W3" s="1">
        <v>36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58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29</v>
      </c>
      <c r="AC3" s="1">
        <f>VLOOKUP(A3,'SegEnds_NonXtal_Prot#'!A:AL,10,FALSE)-VLOOKUP(A3,'SegEnds_NonXtal_Prot#'!A:AL,7,FALSE)</f>
        <v>16</v>
      </c>
      <c r="AD3" s="1">
        <f>VLOOKUP(A3,'SegEnds_NonXtal_Prot#'!A:AL,13,FALSE)-VLOOKUP(A3,'SegEnds_NonXtal_Prot#'!A:AL,10,FALSE)</f>
        <v>18</v>
      </c>
      <c r="AE3" s="1">
        <f>VLOOKUP(A3,'SegEnds_NonXtal_Prot#'!A:AL,16,FALSE)-VLOOKUP(A3,'SegEnds_NonXtal_Prot#'!A:AL,10,FALSE)</f>
        <v>50</v>
      </c>
      <c r="AF3" s="1">
        <f>VLOOKUP(A3,'SegEnds_NonXtal_Prot#'!A:AL,22,FALSE)-VLOOKUP(A3,'SegEnds_NonXtal_Prot#'!A:AL,19,FALSE)</f>
        <v>20</v>
      </c>
      <c r="AG3" s="1" t="e">
        <f>VLOOKUP(A3,'SegEnds_NonXtal_Prot#'!A:AL,28,FALSE)-VLOOKUP(A3,'SegEnds_NonXtal_Prot#'!A:AL,25,FALSE)</f>
        <v>#VALUE!</v>
      </c>
      <c r="AH3" s="1">
        <f>VLOOKUP(A3,'SegEnds_NonXtal_Prot#'!A:AL,28,FALSE)-VLOOKUP(A3,'SegEnds_NonXtal_Prot#'!A:AL,22,FALSE)</f>
        <v>38</v>
      </c>
      <c r="AI3" s="1">
        <f>VLOOKUP(A3,'SegEnds_NonXtal_Prot#'!A:AL,31,FALSE)-VLOOKUP(A3,'SegEnds_NonXtal_Prot#'!A:AL,28,FALSE)</f>
        <v>68</v>
      </c>
      <c r="AJ3" s="1">
        <f>VLOOKUP(A3,'SegEnds_NonXtal_Prot#'!A:AL,34,FALSE)-VLOOKUP(A3,'SegEnds_NonXtal_Prot#'!A:AL,31,FALSE)</f>
        <v>30</v>
      </c>
      <c r="AK3" s="1">
        <f>VLOOKUP(A3,'SegEnds_NonXtal_Prot#'!A:AL,37,FALSE)-VLOOKUP(A3,'SegEnds_NonXtal_Prot#'!A:AL,34,FALSE)</f>
        <v>11</v>
      </c>
      <c r="AL3" s="1" t="str">
        <f>IF(ISERROR(MATCH(A3,'SegEnds_Xtal_Prot#'!B:B, 0)), "NoXtal", "Xtal")</f>
        <v>NoXtal</v>
      </c>
    </row>
    <row r="4" spans="1:38" x14ac:dyDescent="0.2">
      <c r="A4" s="1" t="s">
        <v>295</v>
      </c>
      <c r="B4" s="1" t="str">
        <f>VLOOKUP(A4,Xtal_Templ!A:B,2,FALSE)</f>
        <v>ccr9_human</v>
      </c>
      <c r="C4" s="5">
        <f>VLOOKUP($B4&amp;"__wt",'SegEnds_Xtal_BW#'!$A:$Z,3,FALSE)</f>
        <v>27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33</v>
      </c>
      <c r="T4" s="1">
        <f t="array" ref="T4">INDEX(ICL3_classA!$G$2:$G$39,MATCH(MIN(ABS(AI4-ICL3_classA!$F$2:$F$39)),ABS(AI4-ICL3_classA!$F$2:$F$39),0))</f>
        <v>68</v>
      </c>
      <c r="U4" s="1">
        <f t="array" ref="U4">INDEX(ICL3_classA!$H$2:$H$39,MATCH(MIN(ABS(AI4-ICL3_classA!$F$2:$F$39)),ABS(AI4-ICL3_classA!$F$2:$F$39),0))</f>
        <v>30</v>
      </c>
      <c r="V4" s="1">
        <v>61</v>
      </c>
      <c r="W4" s="1">
        <v>34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67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26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20</v>
      </c>
      <c r="AG4" s="1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39</v>
      </c>
      <c r="AI4" s="1">
        <f>VLOOKUP(A4,'SegEnds_NonXtal_Prot#'!A:AL,31,FALSE)-VLOOKUP(A4,'SegEnds_NonXtal_Prot#'!A:AL,28,FALSE)</f>
        <v>42</v>
      </c>
      <c r="AJ4" s="1">
        <f>VLOOKUP(A4,'SegEnds_NonXtal_Prot#'!A:AL,34,FALSE)-VLOOKUP(A4,'SegEnds_NonXtal_Prot#'!A:AL,31,FALSE)</f>
        <v>32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151</v>
      </c>
      <c r="B5" s="1" t="str">
        <f>VLOOKUP(A5,Xtal_Templ!A:B,2,FALSE)</f>
        <v>s1pr1_human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67</v>
      </c>
      <c r="I5" s="1" t="s">
        <v>23</v>
      </c>
      <c r="J5" s="1" t="s">
        <v>23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f>VLOOKUP($B5&amp;"__wt",'SegEnds_Xtal_BW#'!$A:$Z,15,FALSE)</f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08">
        <v>33</v>
      </c>
      <c r="T5" s="1">
        <f t="array" ref="T5">INDEX(ICL3_classA!$G$2:$G$39,MATCH(MIN(ABS(AI5-ICL3_classA!$F$2:$F$39)),ABS(AI5-ICL3_classA!$F$2:$F$39),0))</f>
        <v>66</v>
      </c>
      <c r="U5" s="1">
        <f t="array" ref="U5">INDEX(ICL3_classA!$H$2:$H$39,MATCH(MIN(ABS(AI5-ICL3_classA!$F$2:$F$39)),ABS(AI5-ICL3_classA!$F$2:$F$39),0))</f>
        <v>30</v>
      </c>
      <c r="V5" s="1">
        <v>61</v>
      </c>
      <c r="W5" s="131">
        <f>VLOOKUP($B5&amp;"__wt",'SegEnds_Xtal_BW#'!$A:$Z,23,FALSE)</f>
        <v>30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 t="e">
        <f>VLOOKUP(A5,'SegEnds_NonXtal_Prot#'!A:AL,13,FALSE)-VLOOKUP(A5,'SegEnds_NonXtal_Prot#'!A:AL,10,FALSE)</f>
        <v>#VALUE!</v>
      </c>
      <c r="AE5" s="1">
        <f>VLOOKUP(A5,'SegEnds_NonXtal_Prot#'!A:AL,16,FALSE)-VLOOKUP(A5,'SegEnds_NonXtal_Prot#'!A:AL,10,FALSE)</f>
        <v>58</v>
      </c>
      <c r="AF5" s="1">
        <f>VLOOKUP(A5,'SegEnds_NonXtal_Prot#'!A:AL,22,FALSE)-VLOOKUP(A5,'SegEnds_NonXtal_Prot#'!A:AL,19,FALSE)</f>
        <v>20</v>
      </c>
      <c r="AG5" s="1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40</v>
      </c>
      <c r="AI5" s="1">
        <f>VLOOKUP(A5,'SegEnds_NonXtal_Prot#'!A:AL,31,FALSE)-VLOOKUP(A5,'SegEnds_NonXtal_Prot#'!A:AL,28,FALSE)</f>
        <v>39</v>
      </c>
      <c r="AJ5" s="1">
        <f>VLOOKUP(A5,'SegEnds_NonXtal_Prot#'!A:AL,34,FALSE)-VLOOKUP(A5,'SegEnds_NonXtal_Prot#'!A:AL,31,FALSE)</f>
        <v>39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296</v>
      </c>
      <c r="B6" s="1" t="str">
        <f>VLOOKUP(A6,Xtal_Templ!A:B,2,FALSE)</f>
        <v>lpar1_human</v>
      </c>
      <c r="C6" s="5">
        <f>VLOOKUP($B6&amp;"__wt",'SegEnds_Xtal_BW#'!$A:$Z,3,FALSE)</f>
        <v>30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67</v>
      </c>
      <c r="I6" s="1" t="s">
        <v>23</v>
      </c>
      <c r="J6" s="1" t="s">
        <v>23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f>VLOOKUP($B6&amp;"__wt",'SegEnds_Xtal_BW#'!$A:$Z,15,FALSE)</f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08">
        <v>33</v>
      </c>
      <c r="T6" s="1">
        <f t="array" ref="T6">INDEX(ICL3_classA!$G$2:$G$39,MATCH(MIN(ABS(AI6-ICL3_classA!$F$2:$F$39)),ABS(AI6-ICL3_classA!$F$2:$F$39),0))</f>
        <v>68</v>
      </c>
      <c r="U6" s="108">
        <v>27</v>
      </c>
      <c r="V6" s="1">
        <v>61</v>
      </c>
      <c r="W6" s="131">
        <f>VLOOKUP($B6&amp;"__wt",'SegEnds_Xtal_BW#'!$A:$Z,23,FALSE)</f>
        <v>30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 t="e">
        <f>VLOOKUP(A6,'SegEnds_NonXtal_Prot#'!A:AL,13,FALSE)-VLOOKUP(A6,'SegEnds_NonXtal_Prot#'!A:AL,10,FALSE)</f>
        <v>#VALUE!</v>
      </c>
      <c r="AE6" s="1">
        <f>VLOOKUP(A6,'SegEnds_NonXtal_Prot#'!A:AL,16,FALSE)-VLOOKUP(A6,'SegEnds_NonXtal_Prot#'!A:AL,10,FALSE)</f>
        <v>58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40</v>
      </c>
      <c r="AI6" s="1">
        <f>VLOOKUP(A6,'SegEnds_NonXtal_Prot#'!A:AL,31,FALSE)-VLOOKUP(A6,'SegEnds_NonXtal_Prot#'!A:AL,28,FALSE)</f>
        <v>48</v>
      </c>
      <c r="AJ6" s="1">
        <f>VLOOKUP(A6,'SegEnds_NonXtal_Prot#'!A:AL,34,FALSE)-VLOOKUP(A6,'SegEnds_NonXtal_Prot#'!A:AL,31,FALSE)</f>
        <v>39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297</v>
      </c>
      <c r="B7" s="1" t="str">
        <f>VLOOKUP(A7,Xtal_Templ!A:B,2,FALSE)</f>
        <v>s1pr1_human</v>
      </c>
      <c r="C7" s="5">
        <f>VLOOKUP($B7&amp;"__wt",'SegEnds_Xtal_BW#'!$A:$Z,3,FALSE)</f>
        <v>29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67</v>
      </c>
      <c r="I7" s="1" t="s">
        <v>23</v>
      </c>
      <c r="J7" s="1" t="s">
        <v>23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f>VLOOKUP($B7&amp;"__wt",'SegEnds_Xtal_BW#'!$A:$Z,15,FALSE)</f>
        <v>38</v>
      </c>
      <c r="P7" s="1">
        <f>VLOOKUP($B7&amp;"__wt",'SegEnds_Xtal_BW#'!$A:$Z,16,FALSE)</f>
        <v>63</v>
      </c>
      <c r="Q7" s="1" t="str">
        <f>VLOOKUP($B7&amp;"__wt",'SegEnds_Xtal_BW#'!$A:$Z,17,FALSE)</f>
        <v>-</v>
      </c>
      <c r="R7" s="1" t="str">
        <f>VLOOKUP($B7&amp;"__wt",'SegEnds_Xtal_BW#'!$A:$Z,18,FALSE)</f>
        <v>-</v>
      </c>
      <c r="S7" s="108">
        <v>33</v>
      </c>
      <c r="T7" s="1">
        <f t="array" ref="T7">INDEX(ICL3_classA!$G$2:$G$39,MATCH(MIN(ABS(AI7-ICL3_classA!$F$2:$F$39)),ABS(AI7-ICL3_classA!$F$2:$F$39),0))</f>
        <v>67</v>
      </c>
      <c r="U7" s="108">
        <v>27</v>
      </c>
      <c r="V7" s="1">
        <v>61</v>
      </c>
      <c r="W7" s="131">
        <f>VLOOKUP($B7&amp;"__wt",'SegEnds_Xtal_BW#'!$A:$Z,23,FALSE)</f>
        <v>30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59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57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40</v>
      </c>
      <c r="AI7" s="1">
        <f>VLOOKUP(A7,'SegEnds_NonXtal_Prot#'!A:AL,31,FALSE)-VLOOKUP(A7,'SegEnds_NonXtal_Prot#'!A:AL,28,FALSE)</f>
        <v>46</v>
      </c>
      <c r="AJ7" s="1">
        <f>VLOOKUP(A7,'SegEnds_NonXtal_Prot#'!A:AL,34,FALSE)-VLOOKUP(A7,'SegEnds_NonXtal_Prot#'!A:AL,31,FALSE)</f>
        <v>39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298</v>
      </c>
      <c r="B8" s="1" t="str">
        <f>VLOOKUP(A8,Xtal_Templ!A:B,2,FALSE)</f>
        <v>lpar1_human</v>
      </c>
      <c r="C8" s="5">
        <f>VLOOKUP($B8&amp;"__wt",'SegEnds_Xtal_BW#'!$A:$Z,3,FALSE)</f>
        <v>30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63</v>
      </c>
      <c r="I8" s="1">
        <v>49</v>
      </c>
      <c r="J8" s="1">
        <f>VLOOKUP($B8&amp;"__wt",'SegEnds_Xtal_BW#'!$A:$Z,10,FALSE)</f>
        <v>53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f>VLOOKUP($B8&amp;"__wt",'SegEnds_Xtal_BW#'!$A:$Z,15,FALSE)</f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08">
        <v>33</v>
      </c>
      <c r="T8" s="1">
        <f t="array" ref="T8">INDEX(ICL3_classA!$G$2:$G$39,MATCH(MIN(ABS(AI8-ICL3_classA!$F$2:$F$39)),ABS(AI8-ICL3_classA!$F$2:$F$39),0))</f>
        <v>67</v>
      </c>
      <c r="U8" s="108">
        <v>27</v>
      </c>
      <c r="V8" s="1">
        <v>61</v>
      </c>
      <c r="W8" s="131">
        <f>VLOOKUP($B8&amp;"__wt",'SegEnds_Xtal_BW#'!$A:$Z,23,FALSE)</f>
        <v>30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 t="e">
        <f>VLOOKUP(A8,'SegEnds_NonXtal_Prot#'!A:AL,13,FALSE)-VLOOKUP(A8,'SegEnds_NonXtal_Prot#'!A:AL,10,FALSE)</f>
        <v>#VALUE!</v>
      </c>
      <c r="AE8" s="1">
        <f>VLOOKUP(A8,'SegEnds_NonXtal_Prot#'!A:AL,16,FALSE)-VLOOKUP(A8,'SegEnds_NonXtal_Prot#'!A:AL,10,FALSE)</f>
        <v>58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40</v>
      </c>
      <c r="AI8" s="1">
        <f>VLOOKUP(A8,'SegEnds_NonXtal_Prot#'!A:AL,31,FALSE)-VLOOKUP(A8,'SegEnds_NonXtal_Prot#'!A:AL,28,FALSE)</f>
        <v>46</v>
      </c>
      <c r="AJ8" s="1">
        <f>VLOOKUP(A8,'SegEnds_NonXtal_Prot#'!A:AL,34,FALSE)-VLOOKUP(A8,'SegEnds_NonXtal_Prot#'!A:AL,31,FALSE)</f>
        <v>39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309</v>
      </c>
      <c r="B9" s="1" t="str">
        <f>VLOOKUP(A9,Xtal_Templ!A:B,2,FALSE)</f>
        <v>s1pr1_human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67</v>
      </c>
      <c r="I9" s="1" t="s">
        <v>23</v>
      </c>
      <c r="J9" s="1" t="s">
        <v>23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f>VLOOKUP($B9&amp;"__wt",'SegEnds_Xtal_BW#'!$A:$Z,15,FALSE)</f>
        <v>38</v>
      </c>
      <c r="P9" s="1">
        <f>VLOOKUP($B9&amp;"__wt",'SegEnds_Xtal_BW#'!$A:$Z,16,FALSE)</f>
        <v>63</v>
      </c>
      <c r="Q9" s="1" t="str">
        <f>VLOOKUP($B9&amp;"__wt",'SegEnds_Xtal_BW#'!$A:$Z,17,FALSE)</f>
        <v>-</v>
      </c>
      <c r="R9" s="1" t="str">
        <f>VLOOKUP($B9&amp;"__wt",'SegEnds_Xtal_BW#'!$A:$Z,18,FALSE)</f>
        <v>-</v>
      </c>
      <c r="S9" s="108">
        <v>33</v>
      </c>
      <c r="T9" s="1">
        <f t="array" ref="T9">INDEX(ICL3_classA!$G$2:$G$39,MATCH(MIN(ABS(AI9-ICL3_classA!$F$2:$F$39)),ABS(AI9-ICL3_classA!$F$2:$F$39),0))</f>
        <v>67</v>
      </c>
      <c r="U9" s="108">
        <v>27</v>
      </c>
      <c r="V9" s="1">
        <v>61</v>
      </c>
      <c r="W9" s="131">
        <f>VLOOKUP($B9&amp;"__wt",'SegEnds_Xtal_BW#'!$A:$Z,23,FALSE)</f>
        <v>30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59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28</v>
      </c>
      <c r="AC9" s="1">
        <f>VLOOKUP(A9,'SegEnds_NonXtal_Prot#'!A:AL,10,FALSE)-VLOOKUP(A9,'SegEnds_NonXtal_Prot#'!A:AL,7,FALSE)</f>
        <v>15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58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40</v>
      </c>
      <c r="AI9" s="1">
        <f>VLOOKUP(A9,'SegEnds_NonXtal_Prot#'!A:AL,31,FALSE)-VLOOKUP(A9,'SegEnds_NonXtal_Prot#'!A:AL,28,FALSE)</f>
        <v>47</v>
      </c>
      <c r="AJ9" s="1">
        <f>VLOOKUP(A9,'SegEnds_NonXtal_Prot#'!A:AL,34,FALSE)-VLOOKUP(A9,'SegEnds_NonXtal_Prot#'!A:AL,31,FALSE)</f>
        <v>39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191</v>
      </c>
      <c r="B10" s="1" t="str">
        <f>VLOOKUP(A10,Xtal_Templ!A:B,2,FALSE)</f>
        <v>drd2_human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68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f>VLOOKUP($B10&amp;"__wt",'SegEnds_Xtal_BW#'!$A:$Z,14,FALSE)</f>
        <v>58</v>
      </c>
      <c r="O10" s="87">
        <v>38</v>
      </c>
      <c r="P10" s="1">
        <f>VLOOKUP($B10&amp;"__wt",'SegEnds_Xtal_BW#'!$A:$Z,16,FALSE)</f>
        <v>62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35</v>
      </c>
      <c r="T10" s="1">
        <f t="array" ref="T10">INDEX(ICL3_classA!$G$2:$G$39,MATCH(MIN(ABS(AI10-ICL3_classA!$F$2:$F$39)),ABS(AI10-ICL3_classA!$F$2:$F$39),0))</f>
        <v>75</v>
      </c>
      <c r="U10" s="1">
        <f t="array" ref="U10">INDEX(ICL3_classA!$H$2:$H$39,MATCH(MIN(ABS(AI10-ICL3_classA!$F$2:$F$39)),ABS(AI10-ICL3_classA!$F$2:$F$39),0))</f>
        <v>24</v>
      </c>
      <c r="V10" s="1">
        <v>61</v>
      </c>
      <c r="W10" s="1">
        <v>31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59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28</v>
      </c>
      <c r="AC10" s="1">
        <f>VLOOKUP(A10,'SegEnds_NonXtal_Prot#'!A:AL,10,FALSE)-VLOOKUP(A10,'SegEnds_NonXtal_Prot#'!A:AL,7,FALSE)</f>
        <v>15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21</v>
      </c>
      <c r="AG10" s="1">
        <f>VLOOKUP(A10,'SegEnds_NonXtal_Prot#'!A:AL,28,FALSE)-VLOOKUP(A10,'SegEnds_NonXtal_Prot#'!A:AL,25,FALSE)</f>
        <v>19</v>
      </c>
      <c r="AH10" s="1">
        <f>VLOOKUP(A10,'SegEnds_NonXtal_Prot#'!A:AL,28,FALSE)-VLOOKUP(A10,'SegEnds_NonXtal_Prot#'!A:AL,22,FALSE)</f>
        <v>41</v>
      </c>
      <c r="AI10" s="1">
        <f>VLOOKUP(A10,'SegEnds_NonXtal_Prot#'!A:AL,31,FALSE)-VLOOKUP(A10,'SegEnds_NonXtal_Prot#'!A:AL,28,FALSE)</f>
        <v>187</v>
      </c>
      <c r="AJ10" s="1">
        <f>VLOOKUP(A10,'SegEnds_NonXtal_Prot#'!A:AL,34,FALSE)-VLOOKUP(A10,'SegEnds_NonXtal_Prot#'!A:AL,31,FALSE)</f>
        <v>35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Xtal</v>
      </c>
    </row>
    <row r="11" spans="1:38" x14ac:dyDescent="0.2">
      <c r="A11" s="1" t="s">
        <v>248</v>
      </c>
      <c r="B11" s="1" t="str">
        <f>VLOOKUP(A11,Xtal_Templ!A:B,2,FALSE)</f>
        <v>ox1r_human</v>
      </c>
      <c r="C11" s="5">
        <f>VLOOKUP($B11&amp;"__wt",'SegEnds_Xtal_BW#'!$A:$Z,3,FALSE)</f>
        <v>32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68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58</v>
      </c>
      <c r="O11" s="87">
        <f>VLOOKUP($B11&amp;"__wt",'SegEnds_Xtal_BW#'!$A:$Z,15,FALSE)</f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v>35</v>
      </c>
      <c r="T11" s="1">
        <f t="array" ref="T11">INDEX(ICL3_classA!$G$2:$G$39,MATCH(MIN(ABS(AI11-ICL3_classA!$F$2:$F$39)),ABS(AI11-ICL3_classA!$F$2:$F$39),0))</f>
        <v>76</v>
      </c>
      <c r="U11" s="1">
        <f t="array" ref="U11">INDEX(ICL3_classA!$H$2:$H$39,MATCH(MIN(ABS(AI11-ICL3_classA!$F$2:$F$39)),ABS(AI11-ICL3_classA!$F$2:$F$39),0))</f>
        <v>24</v>
      </c>
      <c r="V11" s="1">
        <v>61</v>
      </c>
      <c r="W11" s="1">
        <v>31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63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56</v>
      </c>
      <c r="AF11" s="1">
        <f>VLOOKUP(A11,'SegEnds_NonXtal_Prot#'!A:AL,22,FALSE)-VLOOKUP(A11,'SegEnds_NonXtal_Prot#'!A:AL,19,FALSE)</f>
        <v>21</v>
      </c>
      <c r="AG11" s="1">
        <f>VLOOKUP(A11,'SegEnds_NonXtal_Prot#'!A:AL,28,FALSE)-VLOOKUP(A11,'SegEnds_NonXtal_Prot#'!A:AL,25,FALSE)</f>
        <v>18</v>
      </c>
      <c r="AH11" s="1">
        <f>VLOOKUP(A11,'SegEnds_NonXtal_Prot#'!A:AL,28,FALSE)-VLOOKUP(A11,'SegEnds_NonXtal_Prot#'!A:AL,22,FALSE)</f>
        <v>41</v>
      </c>
      <c r="AI11" s="1">
        <f>VLOOKUP(A11,'SegEnds_NonXtal_Prot#'!A:AL,31,FALSE)-VLOOKUP(A11,'SegEnds_NonXtal_Prot#'!A:AL,28,FALSE)</f>
        <v>110</v>
      </c>
      <c r="AJ11" s="1">
        <f>VLOOKUP(A11,'SegEnds_NonXtal_Prot#'!A:AL,34,FALSE)-VLOOKUP(A11,'SegEnds_NonXtal_Prot#'!A:AL,31,FALSE)</f>
        <v>36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192</v>
      </c>
      <c r="B12" s="1" t="str">
        <f>VLOOKUP(A12,Xtal_Templ!A:B,2,FALSE)</f>
        <v>drd3_human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f>VLOOKUP($B12&amp;"__wt",'SegEnds_Xtal_BW#'!$A:$Z,8,FALSE)</f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f>VLOOKUP($B12&amp;"__wt",'SegEnds_Xtal_BW#'!$A:$Z,14,FALSE)</f>
        <v>58</v>
      </c>
      <c r="O12" s="87">
        <f>VLOOKUP($B12&amp;"__wt",'SegEnds_Xtal_BW#'!$A:$Z,15,FALSE)</f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INDEX(ICL3_classA!$G$2:$G$39,MATCH(MIN(ABS(AI12-ICL3_classA!$F$2:$F$39)),ABS(AI12-ICL3_classA!$F$2:$F$39),0))</f>
        <v>76</v>
      </c>
      <c r="U12" s="1">
        <f t="array" ref="U12">INDEX(ICL3_classA!$H$2:$H$39,MATCH(MIN(ABS(AI12-ICL3_classA!$F$2:$F$39)),ABS(AI12-ICL3_classA!$F$2:$F$39),0))</f>
        <v>24</v>
      </c>
      <c r="V12" s="1">
        <f>VLOOKUP($B12&amp;"__wt",'SegEnds_Xtal_BW#'!$A:$Z,22,FALSE)</f>
        <v>60</v>
      </c>
      <c r="W12" s="1">
        <v>31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59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28</v>
      </c>
      <c r="AC12" s="1">
        <f>VLOOKUP(A12,'SegEnds_NonXtal_Prot#'!A:AL,10,FALSE)-VLOOKUP(A12,'SegEnds_NonXtal_Prot#'!A:AL,7,FALSE)</f>
        <v>15</v>
      </c>
      <c r="AD12" s="1">
        <f>VLOOKUP(A12,'SegEnds_NonXtal_Prot#'!A:AL,13,FALSE)-VLOOKUP(A12,'SegEnds_NonXtal_Prot#'!A:AL,10,FALSE)</f>
        <v>21</v>
      </c>
      <c r="AE12" s="1">
        <f>VLOOKUP(A12,'SegEnds_NonXtal_Prot#'!A:AL,16,FALSE)-VLOOKUP(A12,'SegEnds_NonXtal_Prot#'!A:AL,10,FALSE)</f>
        <v>53</v>
      </c>
      <c r="AF12" s="1">
        <f>VLOOKUP(A12,'SegEnds_NonXtal_Prot#'!A:AL,22,FALSE)-VLOOKUP(A12,'SegEnds_NonXtal_Prot#'!A:AL,19,FALSE)</f>
        <v>23</v>
      </c>
      <c r="AG12" s="1">
        <f>VLOOKUP(A12,'SegEnds_NonXtal_Prot#'!A:AL,28,FALSE)-VLOOKUP(A12,'SegEnds_NonXtal_Prot#'!A:AL,25,FALSE)</f>
        <v>19</v>
      </c>
      <c r="AH12" s="1">
        <f>VLOOKUP(A12,'SegEnds_NonXtal_Prot#'!A:AL,28,FALSE)-VLOOKUP(A12,'SegEnds_NonXtal_Prot#'!A:AL,22,FALSE)</f>
        <v>42</v>
      </c>
      <c r="AI12" s="1">
        <f>VLOOKUP(A12,'SegEnds_NonXtal_Prot#'!A:AL,31,FALSE)-VLOOKUP(A12,'SegEnds_NonXtal_Prot#'!A:AL,28,FALSE)</f>
        <v>144</v>
      </c>
      <c r="AJ12" s="1">
        <f>VLOOKUP(A12,'SegEnds_NonXtal_Prot#'!A:AL,34,FALSE)-VLOOKUP(A12,'SegEnds_NonXtal_Prot#'!A:AL,31,FALSE)</f>
        <v>36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Xtal</v>
      </c>
    </row>
    <row r="13" spans="1:38" x14ac:dyDescent="0.2">
      <c r="A13" s="1" t="s">
        <v>254</v>
      </c>
      <c r="B13" s="1" t="str">
        <f>VLOOKUP(A13,Xtal_Templ!A:B,2,FALSE)</f>
        <v>fpr2_human</v>
      </c>
      <c r="C13" s="5">
        <f>VLOOKUP($B13&amp;"__wt",'SegEnds_Xtal_BW#'!$A:$Z,3,FALSE)</f>
        <v>25</v>
      </c>
      <c r="D13" s="108">
        <v>60</v>
      </c>
      <c r="E13" s="1" t="str">
        <f>VLOOKUP($B13&amp;"__wt",'SegEnds_Xtal_BW#'!$A:$Z,5,FALSE)</f>
        <v>-</v>
      </c>
      <c r="F13" s="1" t="str">
        <f>VLOOKUP($B13&amp;"__wt",'SegEnds_Xtal_BW#'!$A:$Z,6,FALSE)</f>
        <v>-</v>
      </c>
      <c r="G13" s="1">
        <v>37</v>
      </c>
      <c r="H13" s="12"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24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INDEX(ICL3_classA!$G$2:$G$39,MATCH(MIN(ABS(AI13-ICL3_classA!$F$2:$F$39)),ABS(AI13-ICL3_classA!$F$2:$F$39),0))</f>
        <v>68</v>
      </c>
      <c r="U13" s="1">
        <f t="array" ref="U13">INDEX(ICL3_classA!$H$2:$H$39,MATCH(MIN(ABS(AI13-ICL3_classA!$F$2:$F$39)),ABS(AI13-ICL3_classA!$F$2:$F$39),0))</f>
        <v>24</v>
      </c>
      <c r="V13" s="1">
        <v>61</v>
      </c>
      <c r="W13" s="1">
        <v>28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28</v>
      </c>
      <c r="AC13" s="1">
        <f>VLOOKUP(A13,'SegEnds_NonXtal_Prot#'!A:AL,10,FALSE)-VLOOKUP(A13,'SegEnds_NonXtal_Prot#'!A:AL,7,FALSE)</f>
        <v>15</v>
      </c>
      <c r="AD13" s="1" t="e">
        <f>VLOOKUP(A13,'SegEnds_NonXtal_Prot#'!A:AL,13,FALSE)-VLOOKUP(A13,'SegEnds_NonXtal_Prot#'!A:AL,10,FALSE)</f>
        <v>#VALUE!</v>
      </c>
      <c r="AE13" s="1">
        <f>VLOOKUP(A13,'SegEnds_NonXtal_Prot#'!A:AL,16,FALSE)-VLOOKUP(A13,'SegEnds_NonXtal_Prot#'!A:AL,10,FALSE)</f>
        <v>48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21</v>
      </c>
      <c r="AH13" s="1">
        <f>VLOOKUP(A13,'SegEnds_NonXtal_Prot#'!A:AL,28,FALSE)-VLOOKUP(A13,'SegEnds_NonXtal_Prot#'!A:AL,22,FALSE)</f>
        <v>42</v>
      </c>
      <c r="AI13" s="1">
        <f>VLOOKUP(A13,'SegEnds_NonXtal_Prot#'!A:AL,31,FALSE)-VLOOKUP(A13,'SegEnds_NonXtal_Prot#'!A:AL,28,FALSE)</f>
        <v>49</v>
      </c>
      <c r="AJ13" s="1">
        <f>VLOOKUP(A13,'SegEnds_NonXtal_Prot#'!A:AL,34,FALSE)-VLOOKUP(A13,'SegEnds_NonXtal_Prot#'!A:AL,31,FALSE)</f>
        <v>41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301</v>
      </c>
      <c r="B14" s="1" t="str">
        <f>VLOOKUP(A14,Xtal_Templ!A:B,2,FALSE)</f>
        <v>c5ar1_human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21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31</v>
      </c>
      <c r="T14" s="1">
        <f t="array" ref="T14">INDEX(ICL3_classA!$G$2:$G$39,MATCH(MIN(ABS(AI14-ICL3_classA!$F$2:$F$39)),ABS(AI14-ICL3_classA!$F$2:$F$39),0))</f>
        <v>68</v>
      </c>
      <c r="U14" s="1">
        <f t="array" ref="U14">INDEX(ICL3_classA!$H$2:$H$39,MATCH(MIN(ABS(AI14-ICL3_classA!$F$2:$F$39)),ABS(AI14-ICL3_classA!$F$2:$F$39),0))</f>
        <v>28</v>
      </c>
      <c r="V14" s="1">
        <v>61</v>
      </c>
      <c r="W14" s="1">
        <v>31</v>
      </c>
      <c r="X14" s="108">
        <v>56</v>
      </c>
      <c r="Y14" s="1">
        <f>VLOOKUP($B14&amp;"__wt",'SegEnds_Xtal_BW#'!$A:$Z,25,FALSE)</f>
        <v>47</v>
      </c>
      <c r="Z14" s="1">
        <f>VLOOKUP($B14&amp;"__wt",'SegEnds_Xtal_BW#'!$A:$Z,26,FALSE)</f>
        <v>56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27</v>
      </c>
      <c r="AC14" s="1" t="e">
        <f>VLOOKUP(A14,'SegEnds_NonXtal_Prot#'!A:AL,10,FALSE)-VLOOKUP(A14,'SegEnds_NonXtal_Prot#'!A:AL,7,FALSE)</f>
        <v>#VALUE!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51</v>
      </c>
      <c r="AF14" s="1">
        <f>VLOOKUP(A14,'SegEnds_NonXtal_Prot#'!A:AL,22,FALSE)-VLOOKUP(A14,'SegEnds_NonXtal_Prot#'!A:AL,19,FALSE)</f>
        <v>20</v>
      </c>
      <c r="AG14" s="1" t="e">
        <f>VLOOKUP(A14,'SegEnds_NonXtal_Prot#'!A:AL,28,FALSE)-VLOOKUP(A14,'SegEnds_NonXtal_Prot#'!A:AL,25,FALSE)</f>
        <v>#VALUE!</v>
      </c>
      <c r="AH14" s="1">
        <f>VLOOKUP(A14,'SegEnds_NonXtal_Prot#'!A:AL,28,FALSE)-VLOOKUP(A14,'SegEnds_NonXtal_Prot#'!A:AL,22,FALSE)</f>
        <v>42</v>
      </c>
      <c r="AI14" s="1">
        <f>VLOOKUP(A14,'SegEnds_NonXtal_Prot#'!A:AL,31,FALSE)-VLOOKUP(A14,'SegEnds_NonXtal_Prot#'!A:AL,28,FALSE)</f>
        <v>44</v>
      </c>
      <c r="AJ14" s="1">
        <f>VLOOKUP(A14,'SegEnds_NonXtal_Prot#'!A:AL,34,FALSE)-VLOOKUP(A14,'SegEnds_NonXtal_Prot#'!A:AL,31,FALSE)</f>
        <v>37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302</v>
      </c>
      <c r="B15" s="1" t="str">
        <f>VLOOKUP(A15,Xtal_Templ!A:B,2,FALSE)</f>
        <v>cxcr4_human</v>
      </c>
      <c r="C15" s="5">
        <f>VLOOKUP($B15&amp;"__wt",'SegEnds_Xtal_BW#'!$A:$Z,3,FALSE)</f>
        <v>24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21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32</v>
      </c>
      <c r="T15" s="1">
        <f t="array" ref="T15">INDEX(ICL3_classA!$G$2:$G$39,MATCH(MIN(ABS(AI15-ICL3_classA!$F$2:$F$39)),ABS(AI15-ICL3_classA!$F$2:$F$39),0))</f>
        <v>68</v>
      </c>
      <c r="U15" s="1">
        <f t="array" ref="U15">INDEX(ICL3_classA!$H$2:$H$39,MATCH(MIN(ABS(AI15-ICL3_classA!$F$2:$F$39)),ABS(AI15-ICL3_classA!$F$2:$F$39),0))</f>
        <v>30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27</v>
      </c>
      <c r="AC15" s="1" t="e">
        <f>VLOOKUP(A15,'SegEnds_NonXtal_Prot#'!A:AL,10,FALSE)-VLOOKUP(A15,'SegEnds_NonXtal_Prot#'!A:AL,7,FALSE)</f>
        <v>#VALUE!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 t="e">
        <f>VLOOKUP(A15,'SegEnds_NonXtal_Prot#'!A:AL,28,FALSE)-VLOOKUP(A15,'SegEnds_NonXtal_Prot#'!A:AL,25,FALSE)</f>
        <v>#VALUE!</v>
      </c>
      <c r="AH15" s="1">
        <f>VLOOKUP(A15,'SegEnds_NonXtal_Prot#'!A:AL,28,FALSE)-VLOOKUP(A15,'SegEnds_NonXtal_Prot#'!A:AL,22,FALSE)</f>
        <v>42</v>
      </c>
      <c r="AI15" s="1">
        <f>VLOOKUP(A15,'SegEnds_NonXtal_Prot#'!A:AL,31,FALSE)-VLOOKUP(A15,'SegEnds_NonXtal_Prot#'!A:AL,28,FALSE)</f>
        <v>42</v>
      </c>
      <c r="AJ15" s="1">
        <f>VLOOKUP(A15,'SegEnds_NonXtal_Prot#'!A:AL,34,FALSE)-VLOOKUP(A15,'SegEnds_NonXtal_Prot#'!A:AL,31,FALSE)</f>
        <v>34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304</v>
      </c>
      <c r="B16" s="1" t="str">
        <f>VLOOKUP(A16,Xtal_Templ!A:B,2,FALSE)</f>
        <v>agtr1_human</v>
      </c>
      <c r="C16" s="5">
        <f>VLOOKUP($B16&amp;"__wt",'SegEnds_Xtal_BW#'!$A:$Z,3,FALSE)</f>
        <v>28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63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08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INDEX(ICL3_classA!$G$2:$G$39,MATCH(MIN(ABS(AI16-ICL3_classA!$F$2:$F$39)),ABS(AI16-ICL3_classA!$F$2:$F$39),0))</f>
        <v>67</v>
      </c>
      <c r="U16" s="1">
        <f t="array" ref="U16">INDEX(ICL3_classA!$H$2:$H$39,MATCH(MIN(ABS(AI16-ICL3_classA!$F$2:$F$39)),ABS(AI16-ICL3_classA!$F$2:$F$39),0))</f>
        <v>30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27</v>
      </c>
      <c r="AC16" s="1" t="e">
        <f>VLOOKUP(A16,'SegEnds_NonXtal_Prot#'!A:AL,10,FALSE)-VLOOKUP(A16,'SegEnds_NonXtal_Prot#'!A:AL,7,FALSE)</f>
        <v>#VALUE!</v>
      </c>
      <c r="AD16" s="1" t="e">
        <f>VLOOKUP(A16,'SegEnds_NonXtal_Prot#'!A:AL,13,FALSE)-VLOOKUP(A16,'SegEnds_NonXtal_Prot#'!A:AL,10,FALSE)</f>
        <v>#VALUE!</v>
      </c>
      <c r="AE16" s="1">
        <f>VLOOKUP(A16,'SegEnds_NonXtal_Prot#'!A:AL,16,FALSE)-VLOOKUP(A16,'SegEnds_NonXtal_Prot#'!A:AL,10,FALSE)</f>
        <v>46</v>
      </c>
      <c r="AF16" s="1">
        <f>VLOOKUP(A16,'SegEnds_NonXtal_Prot#'!A:AL,22,FALSE)-VLOOKUP(A16,'SegEnds_NonXtal_Prot#'!A:AL,19,FALSE)</f>
        <v>20</v>
      </c>
      <c r="AG16" s="1" t="e">
        <f>VLOOKUP(A16,'SegEnds_NonXtal_Prot#'!A:AL,28,FALSE)-VLOOKUP(A16,'SegEnds_NonXtal_Prot#'!A:AL,25,FALSE)</f>
        <v>#VALUE!</v>
      </c>
      <c r="AH16" s="1">
        <f>VLOOKUP(A16,'SegEnds_NonXtal_Prot#'!A:AL,28,FALSE)-VLOOKUP(A16,'SegEnds_NonXtal_Prot#'!A:AL,22,FALSE)</f>
        <v>42</v>
      </c>
      <c r="AI16" s="1">
        <f>VLOOKUP(A16,'SegEnds_NonXtal_Prot#'!A:AL,31,FALSE)-VLOOKUP(A16,'SegEnds_NonXtal_Prot#'!A:AL,28,FALSE)</f>
        <v>41</v>
      </c>
      <c r="AJ16" s="1">
        <f>VLOOKUP(A16,'SegEnds_NonXtal_Prot#'!A:AL,34,FALSE)-VLOOKUP(A16,'SegEnds_NonXtal_Prot#'!A:AL,31,FALSE)</f>
        <v>34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305</v>
      </c>
      <c r="B17" s="1" t="str">
        <f>VLOOKUP(A17,Xtal_Templ!A:B,2,FALSE)</f>
        <v>agtr1_human</v>
      </c>
      <c r="C17" s="5">
        <f>VLOOKUP($B17&amp;"__wt",'SegEnds_Xtal_BW#'!$A:$Z,3,FALSE)</f>
        <v>28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7"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INDEX(ICL3_classA!$G$2:$G$39,MATCH(MIN(ABS(AI17-ICL3_classA!$F$2:$F$39)),ABS(AI17-ICL3_classA!$F$2:$F$39),0))</f>
        <v>68</v>
      </c>
      <c r="U17" s="1">
        <f t="array" ref="U17">INDEX(ICL3_classA!$H$2:$H$39,MATCH(MIN(ABS(AI17-ICL3_classA!$F$2:$F$39)),ABS(AI17-ICL3_classA!$F$2:$F$39),0))</f>
        <v>30</v>
      </c>
      <c r="V17" s="1">
        <v>61</v>
      </c>
      <c r="W17" s="108">
        <v>25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61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27</v>
      </c>
      <c r="AC17" s="1" t="e">
        <f>VLOOKUP(A17,'SegEnds_NonXtal_Prot#'!A:AL,10,FALSE)-VLOOKUP(A17,'SegEnds_NonXtal_Prot#'!A:AL,7,FALSE)</f>
        <v>#VALUE!</v>
      </c>
      <c r="AD17" s="1" t="e">
        <f>VLOOKUP(A17,'SegEnds_NonXtal_Prot#'!A:AL,13,FALSE)-VLOOKUP(A17,'SegEnds_NonXtal_Prot#'!A:AL,10,FALSE)</f>
        <v>#VALUE!</v>
      </c>
      <c r="AE17" s="1">
        <f>VLOOKUP(A17,'SegEnds_NonXtal_Prot#'!A:AL,16,FALSE)-VLOOKUP(A17,'SegEnds_NonXtal_Prot#'!A:AL,10,FALSE)</f>
        <v>48</v>
      </c>
      <c r="AF17" s="1">
        <f>VLOOKUP(A17,'SegEnds_NonXtal_Prot#'!A:AL,22,FALSE)-VLOOKUP(A17,'SegEnds_NonXtal_Prot#'!A:AL,19,FALSE)</f>
        <v>20</v>
      </c>
      <c r="AG17" s="1" t="e">
        <f>VLOOKUP(A17,'SegEnds_NonXtal_Prot#'!A:AL,28,FALSE)-VLOOKUP(A17,'SegEnds_NonXtal_Prot#'!A:AL,25,FALSE)</f>
        <v>#VALUE!</v>
      </c>
      <c r="AH17" s="1">
        <f>VLOOKUP(A17,'SegEnds_NonXtal_Prot#'!A:AL,28,FALSE)-VLOOKUP(A17,'SegEnds_NonXtal_Prot#'!A:AL,22,FALSE)</f>
        <v>42</v>
      </c>
      <c r="AI17" s="1">
        <f>VLOOKUP(A17,'SegEnds_NonXtal_Prot#'!A:AL,31,FALSE)-VLOOKUP(A17,'SegEnds_NonXtal_Prot#'!A:AL,28,FALSE)</f>
        <v>42</v>
      </c>
      <c r="AJ17" s="1">
        <f>VLOOKUP(A17,'SegEnds_NonXtal_Prot#'!A:AL,34,FALSE)-VLOOKUP(A17,'SegEnds_NonXtal_Prot#'!A:AL,31,FALSE)</f>
        <v>38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306</v>
      </c>
      <c r="B18" s="1" t="str">
        <f>VLOOKUP(A18,Xtal_Templ!A:B,2,FALSE)</f>
        <v>c5ar1_human</v>
      </c>
      <c r="C18" s="5">
        <f>VLOOKUP($B18&amp;"__wt",'SegEnds_Xtal_BW#'!$A:$Z,3,FALSE)</f>
        <v>29</v>
      </c>
      <c r="D18" s="1">
        <f>VLOOKUP($B18&amp;"__wt",'SegEnds_Xtal_BW#'!$A:$Z,4,FALSE)</f>
        <v>60</v>
      </c>
      <c r="E18" s="1" t="str">
        <f>VLOOKUP($B18&amp;"__wt",'SegEnds_Xtal_BW#'!$A:$Z,5,FALSE)</f>
        <v>-</v>
      </c>
      <c r="F18" s="1" t="str">
        <f>VLOOKUP($B18&amp;"__wt",'SegEnds_Xtal_BW#'!$A:$Z,6,FALSE)</f>
        <v>-</v>
      </c>
      <c r="G18" s="1">
        <v>37</v>
      </c>
      <c r="H18" s="12">
        <f>VLOOKUP($B18&amp;"__wt",'SegEnds_Xtal_BW#'!$A:$Z,8,FALSE)</f>
        <v>67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f>VLOOKUP($B18&amp;"__wt",'SegEnds_Xtal_BW#'!$A:$Z,15,FALSE)</f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31</v>
      </c>
      <c r="T18" s="1">
        <f t="array" ref="T18">INDEX(ICL3_classA!$G$2:$G$39,MATCH(MIN(ABS(AI18-ICL3_classA!$F$2:$F$39)),ABS(AI18-ICL3_classA!$F$2:$F$39),0))</f>
        <v>68</v>
      </c>
      <c r="U18" s="1">
        <f t="array" ref="U18">INDEX(ICL3_classA!$H$2:$H$39,MATCH(MIN(ABS(AI18-ICL3_classA!$F$2:$F$39)),ABS(AI18-ICL3_classA!$F$2:$F$39),0))</f>
        <v>30</v>
      </c>
      <c r="V18" s="1">
        <v>61</v>
      </c>
      <c r="W18" s="131">
        <f>VLOOKUP($B18&amp;"__wt",'SegEnds_Xtal_BW#'!$A:$Z,23,FALSE)</f>
        <v>25</v>
      </c>
      <c r="X18" s="108">
        <v>56</v>
      </c>
      <c r="Y18" s="1">
        <f>VLOOKUP($B18&amp;"__wt",'SegEnds_Xtal_BW#'!$A:$Z,25,FALSE)</f>
        <v>47</v>
      </c>
      <c r="Z18" s="1">
        <f>VLOOKUP($B18&amp;"__wt",'SegEnds_Xtal_BW#'!$A:$Z,26,FALSE)</f>
        <v>56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27</v>
      </c>
      <c r="AC18" s="1" t="e">
        <f>VLOOKUP(A18,'SegEnds_NonXtal_Prot#'!A:AL,10,FALSE)-VLOOKUP(A18,'SegEnds_NonXtal_Prot#'!A:AL,7,FALSE)</f>
        <v>#VALUE!</v>
      </c>
      <c r="AD18" s="1" t="e">
        <f>VLOOKUP(A18,'SegEnds_NonXtal_Prot#'!A:AL,13,FALSE)-VLOOKUP(A18,'SegEnds_NonXtal_Prot#'!A:AL,10,FALSE)</f>
        <v>#VALUE!</v>
      </c>
      <c r="AE18" s="1">
        <f>VLOOKUP(A18,'SegEnds_NonXtal_Prot#'!A:AL,16,FALSE)-VLOOKUP(A18,'SegEnds_NonXtal_Prot#'!A:AL,10,FALSE)</f>
        <v>52</v>
      </c>
      <c r="AF18" s="1">
        <f>VLOOKUP(A18,'SegEnds_NonXtal_Prot#'!A:AL,22,FALSE)-VLOOKUP(A18,'SegEnds_NonXtal_Prot#'!A:AL,19,FALSE)</f>
        <v>20</v>
      </c>
      <c r="AG18" s="1" t="e">
        <f>VLOOKUP(A18,'SegEnds_NonXtal_Prot#'!A:AL,28,FALSE)-VLOOKUP(A18,'SegEnds_NonXtal_Prot#'!A:AL,25,FALSE)</f>
        <v>#VALUE!</v>
      </c>
      <c r="AH18" s="1">
        <f>VLOOKUP(A18,'SegEnds_NonXtal_Prot#'!A:AL,28,FALSE)-VLOOKUP(A18,'SegEnds_NonXtal_Prot#'!A:AL,22,FALSE)</f>
        <v>42</v>
      </c>
      <c r="AI18" s="1">
        <f>VLOOKUP(A18,'SegEnds_NonXtal_Prot#'!A:AL,31,FALSE)-VLOOKUP(A18,'SegEnds_NonXtal_Prot#'!A:AL,28,FALSE)</f>
        <v>42</v>
      </c>
      <c r="AJ18" s="1">
        <f>VLOOKUP(A18,'SegEnds_NonXtal_Prot#'!A:AL,34,FALSE)-VLOOKUP(A18,'SegEnds_NonXtal_Prot#'!A:AL,31,FALSE)</f>
        <v>38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307</v>
      </c>
      <c r="B19" s="1" t="str">
        <f>VLOOKUP(A19,Xtal_Templ!A:B,2,FALSE)</f>
        <v>pd2r2_human</v>
      </c>
      <c r="C19" s="5">
        <f>VLOOKUP($B19&amp;"__wt",'SegEnds_Xtal_BW#'!$A:$Z,3,FALSE)</f>
        <v>32</v>
      </c>
      <c r="D19" s="1">
        <f>VLOOKUP($B19&amp;"__wt",'SegEnds_Xtal_BW#'!$A:$Z,4,FALSE)</f>
        <v>60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v>66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26</v>
      </c>
      <c r="T19" s="1">
        <f t="array" ref="T19">INDEX(ICL3_classA!$G$2:$G$39,MATCH(MIN(ABS(AI19-ICL3_classA!$F$2:$F$39)),ABS(AI19-ICL3_classA!$F$2:$F$39),0))</f>
        <v>68</v>
      </c>
      <c r="U19" s="1">
        <f t="array" ref="U19">INDEX(ICL3_classA!$H$2:$H$39,MATCH(MIN(ABS(AI19-ICL3_classA!$F$2:$F$39)),ABS(AI19-ICL3_classA!$F$2:$F$39),0))</f>
        <v>30</v>
      </c>
      <c r="V19" s="1">
        <v>61</v>
      </c>
      <c r="W19" s="131">
        <f>VLOOKUP($B19&amp;"__wt",'SegEnds_Xtal_BW#'!$A:$Z,23,FALSE)</f>
        <v>27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64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 t="e">
        <f>VLOOKUP(A19,'SegEnds_NonXtal_Prot#'!A:AL,10,FALSE)-VLOOKUP(A19,'SegEnds_NonXtal_Prot#'!A:AL,7,FALSE)</f>
        <v>#VALUE!</v>
      </c>
      <c r="AD19" s="1" t="e">
        <f>VLOOKUP(A19,'SegEnds_NonXtal_Prot#'!A:AL,13,FALSE)-VLOOKUP(A19,'SegEnds_NonXtal_Prot#'!A:AL,10,FALSE)</f>
        <v>#VALUE!</v>
      </c>
      <c r="AE19" s="1">
        <f>VLOOKUP(A19,'SegEnds_NonXtal_Prot#'!A:AL,16,FALSE)-VLOOKUP(A19,'SegEnds_NonXtal_Prot#'!A:AL,10,FALSE)</f>
        <v>48</v>
      </c>
      <c r="AF19" s="1">
        <f>VLOOKUP(A19,'SegEnds_NonXtal_Prot#'!A:AL,22,FALSE)-VLOOKUP(A19,'SegEnds_NonXtal_Prot#'!A:AL,19,FALSE)</f>
        <v>20</v>
      </c>
      <c r="AG19" s="1" t="e">
        <f>VLOOKUP(A19,'SegEnds_NonXtal_Prot#'!A:AL,28,FALSE)-VLOOKUP(A19,'SegEnds_NonXtal_Prot#'!A:AL,25,FALSE)</f>
        <v>#VALUE!</v>
      </c>
      <c r="AH19" s="1">
        <f>VLOOKUP(A19,'SegEnds_NonXtal_Prot#'!A:AL,28,FALSE)-VLOOKUP(A19,'SegEnds_NonXtal_Prot#'!A:AL,22,FALSE)</f>
        <v>42</v>
      </c>
      <c r="AI19" s="1">
        <f>VLOOKUP(A19,'SegEnds_NonXtal_Prot#'!A:AL,31,FALSE)-VLOOKUP(A19,'SegEnds_NonXtal_Prot#'!A:AL,28,FALSE)</f>
        <v>42</v>
      </c>
      <c r="AJ19" s="1">
        <f>VLOOKUP(A19,'SegEnds_NonXtal_Prot#'!A:AL,34,FALSE)-VLOOKUP(A19,'SegEnds_NonXtal_Prot#'!A:AL,31,FALSE)</f>
        <v>38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308</v>
      </c>
      <c r="B20" s="1" t="str">
        <f>VLOOKUP(A20,Xtal_Templ!A:B,2,FALSE)</f>
        <v>par2_human</v>
      </c>
      <c r="C20" s="5">
        <f>VLOOKUP($B20&amp;"__wt",'SegEnds_Xtal_BW#'!$A:$Z,3,FALSE)</f>
        <v>28</v>
      </c>
      <c r="D20" s="1">
        <f>VLOOKUP($B20&amp;"__wt",'SegEnds_Xtal_BW#'!$A:$Z,4,FALSE)</f>
        <v>60</v>
      </c>
      <c r="E20" s="1" t="str">
        <f>VLOOKUP($B20&amp;"__wt",'SegEnds_Xtal_BW#'!$A:$Z,5,FALSE)</f>
        <v>-</v>
      </c>
      <c r="F20" s="1" t="str">
        <f>VLOOKUP($B20&amp;"__wt",'SegEnds_Xtal_BW#'!$A:$Z,6,FALSE)</f>
        <v>-</v>
      </c>
      <c r="G20" s="1">
        <v>37</v>
      </c>
      <c r="H20" s="12">
        <v>66</v>
      </c>
      <c r="I20" s="1">
        <f>VLOOKUP($B20&amp;"__wt",'SegEnds_Xtal_BW#'!$A:$Z,9,FALSE)</f>
        <v>47</v>
      </c>
      <c r="J20" s="1">
        <f>VLOOKUP($B20&amp;"__wt",'SegEnds_Xtal_BW#'!$A:$Z,10,FALSE)</f>
        <v>52</v>
      </c>
      <c r="K20" s="12">
        <v>24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v>38</v>
      </c>
      <c r="P20" s="1">
        <f>VLOOKUP($B20&amp;"__wt",'SegEnds_Xtal_BW#'!$A:$Z,16,FALSE)</f>
        <v>62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31</v>
      </c>
      <c r="T20" s="1">
        <f t="array" ref="T20">INDEX(ICL3_classA!$G$2:$G$39,MATCH(MIN(ABS(AI20-ICL3_classA!$F$2:$F$39)),ABS(AI20-ICL3_classA!$F$2:$F$39),0))</f>
        <v>68</v>
      </c>
      <c r="U20" s="1">
        <f t="array" ref="U20">INDEX(ICL3_classA!$H$2:$H$39,MATCH(MIN(ABS(AI20-ICL3_classA!$F$2:$F$39)),ABS(AI20-ICL3_classA!$F$2:$F$39),0))</f>
        <v>30</v>
      </c>
      <c r="V20" s="1">
        <v>61</v>
      </c>
      <c r="W20" s="131">
        <f>VLOOKUP($B20&amp;"__wt",'SegEnds_Xtal_BW#'!$A:$Z,23,FALSE)</f>
        <v>31</v>
      </c>
      <c r="X20" s="108">
        <v>56</v>
      </c>
      <c r="Y20" s="1">
        <f>VLOOKUP($B20&amp;"__wt",'SegEnds_Xtal_BW#'!$A:$Z,25,FALSE)</f>
        <v>47</v>
      </c>
      <c r="Z20" s="1">
        <f>VLOOKUP($B20&amp;"__wt",'SegEnds_Xtal_BW#'!$A:$Z,26,FALSE)</f>
        <v>61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27</v>
      </c>
      <c r="AC20" s="1" t="e">
        <f>VLOOKUP(A20,'SegEnds_NonXtal_Prot#'!A:AL,10,FALSE)-VLOOKUP(A20,'SegEnds_NonXtal_Prot#'!A:AL,7,FALSE)</f>
        <v>#VALUE!</v>
      </c>
      <c r="AD20" s="1" t="e">
        <f>VLOOKUP(A20,'SegEnds_NonXtal_Prot#'!A:AL,13,FALSE)-VLOOKUP(A20,'SegEnds_NonXtal_Prot#'!A:AL,10,FALSE)</f>
        <v>#VALUE!</v>
      </c>
      <c r="AE20" s="1">
        <f>VLOOKUP(A20,'SegEnds_NonXtal_Prot#'!A:AL,16,FALSE)-VLOOKUP(A20,'SegEnds_NonXtal_Prot#'!A:AL,10,FALSE)</f>
        <v>48</v>
      </c>
      <c r="AF20" s="1">
        <f>VLOOKUP(A20,'SegEnds_NonXtal_Prot#'!A:AL,22,FALSE)-VLOOKUP(A20,'SegEnds_NonXtal_Prot#'!A:AL,19,FALSE)</f>
        <v>20</v>
      </c>
      <c r="AG20" s="1" t="e">
        <f>VLOOKUP(A20,'SegEnds_NonXtal_Prot#'!A:AL,28,FALSE)-VLOOKUP(A20,'SegEnds_NonXtal_Prot#'!A:AL,25,FALSE)</f>
        <v>#VALUE!</v>
      </c>
      <c r="AH20" s="1">
        <f>VLOOKUP(A20,'SegEnds_NonXtal_Prot#'!A:AL,28,FALSE)-VLOOKUP(A20,'SegEnds_NonXtal_Prot#'!A:AL,22,FALSE)</f>
        <v>42</v>
      </c>
      <c r="AI20" s="1">
        <f>VLOOKUP(A20,'SegEnds_NonXtal_Prot#'!A:AL,31,FALSE)-VLOOKUP(A20,'SegEnds_NonXtal_Prot#'!A:AL,28,FALSE)</f>
        <v>42</v>
      </c>
      <c r="AJ20" s="1">
        <f>VLOOKUP(A20,'SegEnds_NonXtal_Prot#'!A:AL,34,FALSE)-VLOOKUP(A20,'SegEnds_NonXtal_Prot#'!A:AL,31,FALSE)</f>
        <v>38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183</v>
      </c>
      <c r="B21" s="1" t="str">
        <f>VLOOKUP(A21,Xtal_Templ!A:B,2,FALSE)</f>
        <v>cnr2_human</v>
      </c>
      <c r="C21" s="5">
        <f>VLOOKUP($B21&amp;"__wt",'SegEnds_Xtal_BW#'!$A:$Z,3,FALSE)</f>
        <v>28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v>48</v>
      </c>
      <c r="J21" s="1">
        <v>52</v>
      </c>
      <c r="K21" s="12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f>VLOOKUP($B21&amp;"__wt",'SegEnds_Xtal_BW#'!$A:$Z,15,FALSE)</f>
        <v>38</v>
      </c>
      <c r="P21" s="1">
        <f>VLOOKUP($B21&amp;"__wt",'SegEnds_Xtal_BW#'!$A:$Z,16,FALSE)</f>
        <v>63</v>
      </c>
      <c r="Q21" s="1" t="str">
        <f>VLOOKUP($B21&amp;"__wt",'SegEnds_Xtal_BW#'!$A:$Z,17,FALSE)</f>
        <v>-</v>
      </c>
      <c r="R21" s="1" t="str">
        <f>VLOOKUP($B21&amp;"__wt",'SegEnds_Xtal_BW#'!$A:$Z,18,FALSE)</f>
        <v>-</v>
      </c>
      <c r="S21" s="1">
        <f>VLOOKUP($B21&amp;"__wt",'SegEnds_Xtal_BW#'!$A:$Z,19,FALSE)</f>
        <v>36</v>
      </c>
      <c r="T21" s="1">
        <f t="array" ref="T21">INDEX(ICL3_classA!$G$2:$G$39,MATCH(MIN(ABS(AI21-ICL3_classA!$F$2:$F$39)),ABS(AI21-ICL3_classA!$F$2:$F$39),0))</f>
        <v>74</v>
      </c>
      <c r="U21" s="108">
        <v>28</v>
      </c>
      <c r="V21" s="1">
        <f>VLOOKUP($B21&amp;"__wt",'SegEnds_Xtal_BW#'!$A:$Z,22,FALSE)</f>
        <v>61</v>
      </c>
      <c r="W21" s="1">
        <f>VLOOKUP($B21&amp;"__wt",'SegEnds_Xtal_BW#'!$A:$Z,23,FALSE)</f>
        <v>28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63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 t="e">
        <f>VLOOKUP(A21,'SegEnds_NonXtal_Prot#'!A:AL,13,FALSE)-VLOOKUP(A21,'SegEnds_NonXtal_Prot#'!A:AL,10,FALSE)</f>
        <v>#VALUE!</v>
      </c>
      <c r="AE21" s="1">
        <f>VLOOKUP(A21,'SegEnds_NonXtal_Prot#'!A:AL,16,FALSE)-VLOOKUP(A21,'SegEnds_NonXtal_Prot#'!A:AL,10,FALSE)</f>
        <v>51</v>
      </c>
      <c r="AF21" s="1">
        <f>VLOOKUP(A21,'SegEnds_NonXtal_Prot#'!A:AL,22,FALSE)-VLOOKUP(A21,'SegEnds_NonXtal_Prot#'!A:AL,19,FALSE)</f>
        <v>20</v>
      </c>
      <c r="AG21" s="1" t="e">
        <f>VLOOKUP(A21,'SegEnds_NonXtal_Prot#'!A:AL,28,FALSE)-VLOOKUP(A21,'SegEnds_NonXtal_Prot#'!A:AL,25,FALSE)</f>
        <v>#VALUE!</v>
      </c>
      <c r="AH21" s="1">
        <f>VLOOKUP(A21,'SegEnds_NonXtal_Prot#'!A:AL,28,FALSE)-VLOOKUP(A21,'SegEnds_NonXtal_Prot#'!A:AL,22,FALSE)</f>
        <v>43</v>
      </c>
      <c r="AI21" s="1">
        <f>VLOOKUP(A21,'SegEnds_NonXtal_Prot#'!A:AL,31,FALSE)-VLOOKUP(A21,'SegEnds_NonXtal_Prot#'!A:AL,28,FALSE)</f>
        <v>59</v>
      </c>
      <c r="AJ21" s="1">
        <f>VLOOKUP(A21,'SegEnds_NonXtal_Prot#'!A:AL,34,FALSE)-VLOOKUP(A21,'SegEnds_NonXtal_Prot#'!A:AL,31,FALSE)</f>
        <v>36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Xtal</v>
      </c>
    </row>
    <row r="22" spans="1:38" x14ac:dyDescent="0.2">
      <c r="A22" s="1" t="s">
        <v>216</v>
      </c>
      <c r="B22" s="1" t="str">
        <f>VLOOKUP(A22,Xtal_Templ!A:B,2,FALSE)</f>
        <v>5ht2c_human</v>
      </c>
      <c r="C22" s="5">
        <f>VLOOKUP($B22&amp;"__wt",'SegEnds_Xtal_BW#'!$A:$Z,3,FALSE)</f>
        <v>33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"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08">
        <v>56</v>
      </c>
      <c r="O22" s="87">
        <f>VLOOKUP($B22&amp;"__wt",'SegEnds_Xtal_BW#'!$A:$Z,15,FALSE)</f>
        <v>38</v>
      </c>
      <c r="P22" s="1">
        <f>VLOOKUP($B22&amp;"__wt",'SegEnds_Xtal_BW#'!$A:$Z,16,FALSE)</f>
        <v>67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35</v>
      </c>
      <c r="T22" s="1">
        <f t="array" ref="T22">INDEX(ICL3_classA!$G$2:$G$39,MATCH(MIN(ABS(AI22-ICL3_classA!$F$2:$F$39)),ABS(AI22-ICL3_classA!$F$2:$F$39),0))</f>
        <v>68</v>
      </c>
      <c r="U22" s="1">
        <f t="array" ref="U22">INDEX(ICL3_classA!$H$2:$H$39,MATCH(MIN(ABS(AI22-ICL3_classA!$F$2:$F$39)),ABS(AI22-ICL3_classA!$F$2:$F$39),0))</f>
        <v>24</v>
      </c>
      <c r="V22" s="1">
        <v>61</v>
      </c>
      <c r="W22" s="131">
        <f>VLOOKUP($B22&amp;"__wt",'SegEnds_Xtal_BW#'!$A:$Z,23,FALSE)</f>
        <v>27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60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29</v>
      </c>
      <c r="AC22" s="1" t="e">
        <f>VLOOKUP(A22,'SegEnds_NonXtal_Prot#'!A:AL,10,FALSE)-VLOOKUP(A22,'SegEnds_NonXtal_Prot#'!A:AL,7,FALSE)</f>
        <v>#VALUE!</v>
      </c>
      <c r="AD22" s="1" t="e">
        <f>VLOOKUP(A22,'SegEnds_NonXtal_Prot#'!A:AL,13,FALSE)-VLOOKUP(A22,'SegEnds_NonXtal_Prot#'!A:AL,10,FALSE)</f>
        <v>#VALUE!</v>
      </c>
      <c r="AE22" s="1">
        <f>VLOOKUP(A22,'SegEnds_NonXtal_Prot#'!A:AL,16,FALSE)-VLOOKUP(A22,'SegEnds_NonXtal_Prot#'!A:AL,10,FALSE)</f>
        <v>53</v>
      </c>
      <c r="AF22" s="1">
        <f>VLOOKUP(A22,'SegEnds_NonXtal_Prot#'!A:AL,22,FALSE)-VLOOKUP(A22,'SegEnds_NonXtal_Prot#'!A:AL,19,FALSE)</f>
        <v>19</v>
      </c>
      <c r="AG22" s="1" t="e">
        <f>VLOOKUP(A22,'SegEnds_NonXtal_Prot#'!A:AL,28,FALSE)-VLOOKUP(A22,'SegEnds_NonXtal_Prot#'!A:AL,25,FALSE)</f>
        <v>#VALUE!</v>
      </c>
      <c r="AH22" s="1">
        <f>VLOOKUP(A22,'SegEnds_NonXtal_Prot#'!A:AL,28,FALSE)-VLOOKUP(A22,'SegEnds_NonXtal_Prot#'!A:AL,22,FALSE)</f>
        <v>43</v>
      </c>
      <c r="AI22" s="1">
        <f>VLOOKUP(A22,'SegEnds_NonXtal_Prot#'!A:AL,31,FALSE)-VLOOKUP(A22,'SegEnds_NonXtal_Prot#'!A:AL,28,FALSE)</f>
        <v>48</v>
      </c>
      <c r="AJ22" s="1">
        <f>VLOOKUP(A22,'SegEnds_NonXtal_Prot#'!A:AL,34,FALSE)-VLOOKUP(A22,'SegEnds_NonXtal_Prot#'!A:AL,31,FALSE)</f>
        <v>39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218</v>
      </c>
      <c r="B23" s="1" t="str">
        <f>VLOOKUP(A23,Xtal_Templ!A:B,2,FALSE)</f>
        <v>5ht2a_human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08">
        <v>56</v>
      </c>
      <c r="O23" s="87">
        <f>VLOOKUP($B23&amp;"__wt",'SegEnds_Xtal_BW#'!$A:$Z,15,FALSE)</f>
        <v>38</v>
      </c>
      <c r="P23" s="1">
        <f>VLOOKUP($B23&amp;"__wt",'SegEnds_Xtal_BW#'!$A:$Z,16,FALSE)</f>
        <v>67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35</v>
      </c>
      <c r="T23" s="1">
        <f t="array" ref="T23">INDEX(ICL3_classA!$G$2:$G$39,MATCH(MIN(ABS(AI23-ICL3_classA!$F$2:$F$39)),ABS(AI23-ICL3_classA!$F$2:$F$39),0))</f>
        <v>67</v>
      </c>
      <c r="U23" s="1">
        <f t="array" ref="U23">INDEX(ICL3_classA!$H$2:$H$39,MATCH(MIN(ABS(AI23-ICL3_classA!$F$2:$F$39)),ABS(AI23-ICL3_classA!$F$2:$F$39),0))</f>
        <v>26</v>
      </c>
      <c r="V23" s="1">
        <v>61</v>
      </c>
      <c r="W23" s="131">
        <f>VLOOKUP($B23&amp;"__wt",'SegEnds_Xtal_BW#'!$A:$Z,23,FALSE)</f>
        <v>27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60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29</v>
      </c>
      <c r="AC23" s="1" t="e">
        <f>VLOOKUP(A23,'SegEnds_NonXtal_Prot#'!A:AL,10,FALSE)-VLOOKUP(A23,'SegEnds_NonXtal_Prot#'!A:AL,7,FALSE)</f>
        <v>#VALUE!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53</v>
      </c>
      <c r="AF23" s="1">
        <f>VLOOKUP(A23,'SegEnds_NonXtal_Prot#'!A:AL,22,FALSE)-VLOOKUP(A23,'SegEnds_NonXtal_Prot#'!A:AL,19,FALSE)</f>
        <v>19</v>
      </c>
      <c r="AG23" s="1" t="e">
        <f>VLOOKUP(A23,'SegEnds_NonXtal_Prot#'!A:AL,28,FALSE)-VLOOKUP(A23,'SegEnds_NonXtal_Prot#'!A:AL,25,FALSE)</f>
        <v>#VALUE!</v>
      </c>
      <c r="AH23" s="1">
        <f>VLOOKUP(A23,'SegEnds_NonXtal_Prot#'!A:AL,28,FALSE)-VLOOKUP(A23,'SegEnds_NonXtal_Prot#'!A:AL,22,FALSE)</f>
        <v>43</v>
      </c>
      <c r="AI23" s="1">
        <f>VLOOKUP(A23,'SegEnds_NonXtal_Prot#'!A:AL,31,FALSE)-VLOOKUP(A23,'SegEnds_NonXtal_Prot#'!A:AL,28,FALSE)</f>
        <v>47</v>
      </c>
      <c r="AJ23" s="1">
        <f>VLOOKUP(A23,'SegEnds_NonXtal_Prot#'!A:AL,34,FALSE)-VLOOKUP(A23,'SegEnds_NonXtal_Prot#'!A:AL,31,FALSE)</f>
        <v>39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303</v>
      </c>
      <c r="B24" s="1" t="str">
        <f>VLOOKUP(A24,Xtal_Templ!A:B,2,FALSE)</f>
        <v>c5ar1_human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 t="str">
        <f>VLOOKUP($B24&amp;"__wt",'SegEnds_Xtal_BW#'!$A:$Z,5,FALSE)</f>
        <v>-</v>
      </c>
      <c r="F24" s="1" t="str">
        <f>VLOOKUP($B24&amp;"__wt",'SegEnds_Xtal_BW#'!$A:$Z,6,FALSE)</f>
        <v>-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INDEX(ICL3_classA!$G$2:$G$39,MATCH(MIN(ABS(AI24-ICL3_classA!$F$2:$F$39)),ABS(AI24-ICL3_classA!$F$2:$F$39),0))</f>
        <v>68</v>
      </c>
      <c r="U24" s="1">
        <f t="array" ref="U24">INDEX(ICL3_classA!$H$2:$H$39,MATCH(MIN(ABS(AI24-ICL3_classA!$F$2:$F$39)),ABS(AI24-ICL3_classA!$F$2:$F$39),0))</f>
        <v>30</v>
      </c>
      <c r="V24" s="1">
        <v>61</v>
      </c>
      <c r="W24" s="1">
        <v>32</v>
      </c>
      <c r="X24" s="108">
        <v>56</v>
      </c>
      <c r="Y24" s="1">
        <f>VLOOKUP($B24&amp;"__wt",'SegEnds_Xtal_BW#'!$A:$Z,25,FALSE)</f>
        <v>47</v>
      </c>
      <c r="Z24" s="1">
        <f>VLOOKUP($B24&amp;"__wt",'SegEnds_Xtal_BW#'!$A:$Z,26,FALSE)</f>
        <v>56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27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VLOOKUP(A24,'SegEnds_NonXtal_Prot#'!A:AL,28,FALSE)-VLOOKUP(A24,'SegEnds_NonXtal_Prot#'!A:AL,25,FALSE)</f>
        <v>#VALUE!</v>
      </c>
      <c r="AH24" s="1">
        <f>VLOOKUP(A24,'SegEnds_NonXtal_Prot#'!A:AL,28,FALSE)-VLOOKUP(A24,'SegEnds_NonXtal_Prot#'!A:AL,22,FALSE)</f>
        <v>43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400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v>35</v>
      </c>
      <c r="T25" s="1">
        <f t="array" ref="T25">INDEX(ICL3_classA!$G$2:$G$39,MATCH(MIN(ABS(AI25-ICL3_classA!$F$2:$F$39)),ABS(AI25-ICL3_classA!$F$2:$F$39),0))</f>
        <v>68</v>
      </c>
      <c r="U25" s="1">
        <f t="array" ref="U25">INDEX(ICL3_classA!$H$2:$H$39,MATCH(MIN(ABS(AI25-ICL3_classA!$F$2:$F$39)),ABS(AI25-ICL3_classA!$F$2:$F$39),0))</f>
        <v>30</v>
      </c>
      <c r="V25" s="1">
        <v>64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22</v>
      </c>
      <c r="AH25" s="1">
        <f>VLOOKUP(A25,'SegEnds_NonXtal_Prot#'!A:AL,28,FALSE)-VLOOKUP(A25,'SegEnds_NonXtal_Prot#'!A:AL,22,FALSE)</f>
        <v>43</v>
      </c>
      <c r="AI25" s="1">
        <f>VLOOKUP(A25,'SegEnds_NonXtal_Prot#'!A:AL,31,FALSE)-VLOOKUP(A25,'SegEnds_NonXtal_Prot#'!A:AL,28,FALSE)</f>
        <v>43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137</v>
      </c>
      <c r="B26" s="1" t="str">
        <f>VLOOKUP(A26,Xtal_Templ!A:B,2,FALSE)</f>
        <v>5ht1b_human</v>
      </c>
      <c r="C26" s="5">
        <f>VLOOKUP($B26&amp;"__wt",'SegEnds_Xtal_BW#'!$A:$Z,3,FALSE)</f>
        <v>28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f>VLOOKUP($B26&amp;"__wt",'SegEnds_Xtal_BW#'!$A:$Z,8,FALSE)</f>
        <v>68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f>VLOOKUP($B26&amp;"__wt",'SegEnds_Xtal_BW#'!$A:$Z,15,FALSE)</f>
        <v>38</v>
      </c>
      <c r="P26" s="1">
        <f>VLOOKUP($B26&amp;"__wt",'SegEnds_Xtal_BW#'!$A:$Z,16,FALSE)</f>
        <v>63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v>35</v>
      </c>
      <c r="T26" s="1">
        <f t="array" ref="T26">INDEX(ICL3_classA!$G$2:$G$39,MATCH(MIN(ABS(AI26-ICL3_classA!$F$2:$F$39)),ABS(AI26-ICL3_classA!$F$2:$F$39),0))</f>
        <v>76</v>
      </c>
      <c r="U26" s="1">
        <f t="array" ref="U26">INDEX(ICL3_classA!$H$2:$H$39,MATCH(MIN(ABS(AI26-ICL3_classA!$F$2:$F$39)),ABS(AI26-ICL3_classA!$F$2:$F$39),0))</f>
        <v>24</v>
      </c>
      <c r="V26" s="1">
        <v>61</v>
      </c>
      <c r="W26" s="131">
        <v>27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58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21</v>
      </c>
      <c r="AE26" s="1">
        <f>VLOOKUP(A26,'SegEnds_NonXtal_Prot#'!A:AL,16,FALSE)-VLOOKUP(A26,'SegEnds_NonXtal_Prot#'!A:AL,10,FALSE)</f>
        <v>53</v>
      </c>
      <c r="AF26" s="1">
        <f>VLOOKUP(A26,'SegEnds_NonXtal_Prot#'!A:AL,22,FALSE)-VLOOKUP(A26,'SegEnds_NonXtal_Prot#'!A:AL,19,FALSE)</f>
        <v>20</v>
      </c>
      <c r="AG26" s="1">
        <f>VLOOKUP(A26,'SegEnds_NonXtal_Prot#'!A:AL,28,FALSE)-VLOOKUP(A26,'SegEnds_NonXtal_Prot#'!A:AL,25,FALSE)</f>
        <v>20</v>
      </c>
      <c r="AH26" s="1">
        <f>VLOOKUP(A26,'SegEnds_NonXtal_Prot#'!A:AL,28,FALSE)-VLOOKUP(A26,'SegEnds_NonXtal_Prot#'!A:AL,22,FALSE)</f>
        <v>44</v>
      </c>
      <c r="AI26" s="1">
        <f>VLOOKUP(A26,'SegEnds_NonXtal_Prot#'!A:AL,31,FALSE)-VLOOKUP(A26,'SegEnds_NonXtal_Prot#'!A:AL,28,FALSE)</f>
        <v>91</v>
      </c>
      <c r="AJ26" s="1">
        <f>VLOOKUP(A26,'SegEnds_NonXtal_Prot#'!A:AL,34,FALSE)-VLOOKUP(A26,'SegEnds_NonXtal_Prot#'!A:AL,31,FALSE)</f>
        <v>39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142</v>
      </c>
      <c r="B27" s="1" t="str">
        <f>VLOOKUP(A27,Xtal_Templ!A:B,2,FALSE)</f>
        <v>fpr2_human</v>
      </c>
      <c r="C27" s="5">
        <f>VLOOKUP($B27&amp;"__wt",'SegEnds_Xtal_BW#'!$A:$Z,3,FALSE)</f>
        <v>25</v>
      </c>
      <c r="D27" s="1">
        <f>VLOOKUP($B27&amp;"__wt",'SegEnds_Xtal_BW#'!$A:$Z,4,FALSE)</f>
        <v>61</v>
      </c>
      <c r="E27" s="1" t="str">
        <f>VLOOKUP($B27&amp;"__wt",'SegEnds_Xtal_BW#'!$A:$Z,5,FALSE)</f>
        <v>-</v>
      </c>
      <c r="F27" s="1" t="str">
        <f>VLOOKUP($B27&amp;"__wt",'SegEnds_Xtal_BW#'!$A:$Z,6,FALSE)</f>
        <v>-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f>VLOOKUP($B27&amp;"__wt",'SegEnds_Xtal_BW#'!$A:$Z,14,FALSE)</f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08">
        <v>35</v>
      </c>
      <c r="T27" s="1">
        <f t="array" ref="T27">INDEX(ICL3_classA!$G$2:$G$39,MATCH(MIN(ABS(AI27-ICL3_classA!$F$2:$F$39)),ABS(AI27-ICL3_classA!$F$2:$F$39),0))</f>
        <v>64</v>
      </c>
      <c r="U27" s="1">
        <f t="array" ref="U27">INDEX(ICL3_classA!$H$2:$H$39,MATCH(MIN(ABS(AI27-ICL3_classA!$F$2:$F$39)),ABS(AI27-ICL3_classA!$F$2:$F$39),0))</f>
        <v>34</v>
      </c>
      <c r="V27" s="1">
        <v>64</v>
      </c>
      <c r="W27" s="1">
        <v>24</v>
      </c>
      <c r="X27" s="108">
        <v>56</v>
      </c>
      <c r="Y27" s="1">
        <f>VLOOKUP($B27&amp;"__wt",'SegEnds_Xtal_BW#'!$A:$Z,25,FALSE)</f>
        <v>47</v>
      </c>
      <c r="Z27" s="1">
        <f>VLOOKUP($B27&amp;"__wt",'SegEnds_Xtal_BW#'!$A:$Z,26,FALSE)</f>
        <v>58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30</v>
      </c>
      <c r="AC27" s="1" t="e">
        <f>VLOOKUP(A27,'SegEnds_NonXtal_Prot#'!A:AL,10,FALSE)-VLOOKUP(A27,'SegEnds_NonXtal_Prot#'!A:AL,7,FALSE)</f>
        <v>#VALUE!</v>
      </c>
      <c r="AD27" s="1" t="e">
        <f>VLOOKUP(A27,'SegEnds_NonXtal_Prot#'!A:AL,13,FALSE)-VLOOKUP(A27,'SegEnds_NonXtal_Prot#'!A:AL,10,FALSE)</f>
        <v>#VALUE!</v>
      </c>
      <c r="AE27" s="1">
        <f>VLOOKUP(A27,'SegEnds_NonXtal_Prot#'!A:AL,16,FALSE)-VLOOKUP(A27,'SegEnds_NonXtal_Prot#'!A:AL,10,FALSE)</f>
        <v>48</v>
      </c>
      <c r="AF27" s="1" t="e">
        <f>VLOOKUP(A27,'SegEnds_NonXtal_Prot#'!A:AL,22,FALSE)-VLOOKUP(A27,'SegEnds_NonXtal_Prot#'!A:AL,19,FALSE)</f>
        <v>#VALUE!</v>
      </c>
      <c r="AG27" s="1">
        <f>VLOOKUP(A27,'SegEnds_NonXtal_Prot#'!A:AL,28,FALSE)-VLOOKUP(A27,'SegEnds_NonXtal_Prot#'!A:AL,25,FALSE)</f>
        <v>23</v>
      </c>
      <c r="AH27" s="1">
        <f>VLOOKUP(A27,'SegEnds_NonXtal_Prot#'!A:AL,28,FALSE)-VLOOKUP(A27,'SegEnds_NonXtal_Prot#'!A:AL,22,FALSE)</f>
        <v>44</v>
      </c>
      <c r="AI27" s="1">
        <f>VLOOKUP(A27,'SegEnds_NonXtal_Prot#'!A:AL,31,FALSE)-VLOOKUP(A27,'SegEnds_NonXtal_Prot#'!A:AL,28,FALSE)</f>
        <v>37</v>
      </c>
      <c r="AJ27" s="1">
        <f>VLOOKUP(A27,'SegEnds_NonXtal_Prot#'!A:AL,34,FALSE)-VLOOKUP(A27,'SegEnds_NonXtal_Prot#'!A:AL,31,FALSE)</f>
        <v>46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193</v>
      </c>
      <c r="B28" s="1" t="str">
        <f>VLOOKUP(A28,Xtal_Templ!A:B,2,FALSE)</f>
        <v>drd4_human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38</v>
      </c>
      <c r="H28" s="12">
        <f>VLOOKUP($B28&amp;"__wt",'SegEnds_Xtal_BW#'!$A:$Z,8,FALSE)</f>
        <v>67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19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f>VLOOKUP($B28&amp;"__wt",'SegEnds_Xtal_BW#'!$A:$Z,14,FALSE)</f>
        <v>57</v>
      </c>
      <c r="O28" s="87">
        <f>VLOOKUP($B28&amp;"__wt",'SegEnds_Xtal_BW#'!$A:$Z,15,FALSE)</f>
        <v>38</v>
      </c>
      <c r="P28" s="1">
        <f>VLOOKUP($B28&amp;"__wt",'SegEnds_Xtal_BW#'!$A:$Z,16,FALSE)</f>
        <v>63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v>35</v>
      </c>
      <c r="T28" s="1">
        <f t="array" ref="T28">INDEX(ICL3_classA!$G$2:$G$39,MATCH(MIN(ABS(AI28-ICL3_classA!$F$2:$F$39)),ABS(AI28-ICL3_classA!$F$2:$F$39),0))</f>
        <v>75</v>
      </c>
      <c r="U28" s="1">
        <f t="array" ref="U28">INDEX(ICL3_classA!$H$2:$H$39,MATCH(MIN(ABS(AI28-ICL3_classA!$F$2:$F$39)),ABS(AI28-ICL3_classA!$F$2:$F$39),0))</f>
        <v>24</v>
      </c>
      <c r="V28" s="1">
        <f>VLOOKUP($B28&amp;"__wt",'SegEnds_Xtal_BW#'!$A:$Z,22,FALSE)</f>
        <v>61</v>
      </c>
      <c r="W28" s="1">
        <v>31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">
        <f>VLOOKUP(A28,'SegEnds_NonXtal_Prot#'!A:AL,10,FALSE)-VLOOKUP(A28,'SegEnds_NonXtal_Prot#'!A:AL,7,FALSE)</f>
        <v>15</v>
      </c>
      <c r="AD28" s="1">
        <f>VLOOKUP(A28,'SegEnds_NonXtal_Prot#'!A:AL,13,FALSE)-VLOOKUP(A28,'SegEnds_NonXtal_Prot#'!A:AL,10,FALSE)</f>
        <v>21</v>
      </c>
      <c r="AE28" s="1">
        <f>VLOOKUP(A28,'SegEnds_NonXtal_Prot#'!A:AL,16,FALSE)-VLOOKUP(A28,'SegEnds_NonXtal_Prot#'!A:AL,10,FALSE)</f>
        <v>53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19</v>
      </c>
      <c r="AH28" s="1">
        <f>VLOOKUP(A28,'SegEnds_NonXtal_Prot#'!A:AL,28,FALSE)-VLOOKUP(A28,'SegEnds_NonXtal_Prot#'!A:AL,22,FALSE)</f>
        <v>44</v>
      </c>
      <c r="AI28" s="1">
        <f>VLOOKUP(A28,'SegEnds_NonXtal_Prot#'!A:AL,31,FALSE)-VLOOKUP(A28,'SegEnds_NonXtal_Prot#'!A:AL,28,FALSE)</f>
        <v>205</v>
      </c>
      <c r="AJ28" s="1">
        <f>VLOOKUP(A28,'SegEnds_NonXtal_Prot#'!A:AL,34,FALSE)-VLOOKUP(A28,'SegEnds_NonXtal_Prot#'!A:AL,31,FALSE)</f>
        <v>36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Xtal</v>
      </c>
    </row>
    <row r="29" spans="1:38" x14ac:dyDescent="0.2">
      <c r="A29" s="1" t="s">
        <v>214</v>
      </c>
      <c r="B29" s="1" t="str">
        <f>VLOOKUP(A29,Xtal_Templ!A:B,2,FALSE)</f>
        <v>par2_human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 t="str">
        <f>VLOOKUP($B29&amp;"__wt",'SegEnds_Xtal_BW#'!$A:$Z,5,FALSE)</f>
        <v>-</v>
      </c>
      <c r="F29" s="1" t="str">
        <f>VLOOKUP($B29&amp;"__wt",'SegEnds_Xtal_BW#'!$A:$Z,6,FALSE)</f>
        <v>-</v>
      </c>
      <c r="G29" s="1">
        <v>37</v>
      </c>
      <c r="H29" s="12">
        <f>VLOOKUP($B29&amp;"__wt",'SegEnds_Xtal_BW#'!$A:$Z,8,FALSE)</f>
        <v>66</v>
      </c>
      <c r="I29" s="1">
        <f>VLOOKUP($B29&amp;"__wt",'SegEnds_Xtal_BW#'!$A:$Z,9,FALSE)</f>
        <v>47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f>VLOOKUP($B29&amp;"__wt",'SegEnds_Xtal_BW#'!$A:$Z,14,FALSE)</f>
        <v>56</v>
      </c>
      <c r="O29" s="87">
        <f>VLOOKUP($B29&amp;"__wt",'SegEnds_Xtal_BW#'!$A:$Z,15,FALSE)</f>
        <v>38</v>
      </c>
      <c r="P29" s="1">
        <f>VLOOKUP($B29&amp;"__wt",'SegEnds_Xtal_BW#'!$A:$Z,16,FALSE)</f>
        <v>62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31</v>
      </c>
      <c r="T29" s="1">
        <f t="array" ref="T29">INDEX(ICL3_classA!$G$2:$G$39,MATCH(MIN(ABS(AI29-ICL3_classA!$F$2:$F$39)),ABS(AI29-ICL3_classA!$F$2:$F$39),0))</f>
        <v>67</v>
      </c>
      <c r="U29" s="1">
        <f t="array" ref="U29">INDEX(ICL3_classA!$H$2:$H$39,MATCH(MIN(ABS(AI29-ICL3_classA!$F$2:$F$39)),ABS(AI29-ICL3_classA!$F$2:$F$39),0))</f>
        <v>26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61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 t="e">
        <f>VLOOKUP(A29,'SegEnds_NonXtal_Prot#'!A:AL,10,FALSE)-VLOOKUP(A29,'SegEnds_NonXtal_Prot#'!A:AL,7,FALSE)</f>
        <v>#VALUE!</v>
      </c>
      <c r="AD29" s="1">
        <f>VLOOKUP(A29,'SegEnds_NonXtal_Prot#'!A:AL,13,FALSE)-VLOOKUP(A29,'SegEnds_NonXtal_Prot#'!A:AL,10,FALSE)</f>
        <v>20</v>
      </c>
      <c r="AE29" s="1">
        <f>VLOOKUP(A29,'SegEnds_NonXtal_Prot#'!A:AL,16,FALSE)-VLOOKUP(A29,'SegEnds_NonXtal_Prot#'!A:AL,10,FALSE)</f>
        <v>52</v>
      </c>
      <c r="AF29" s="1" t="e">
        <f>VLOOKUP(A29,'SegEnds_NonXtal_Prot#'!A:AL,22,FALSE)-VLOOKUP(A29,'SegEnds_NonXtal_Prot#'!A:AL,19,FALSE)</f>
        <v>#VALUE!</v>
      </c>
      <c r="AG29" s="1">
        <f>VLOOKUP(A29,'SegEnds_NonXtal_Prot#'!A:AL,28,FALSE)-VLOOKUP(A29,'SegEnds_NonXtal_Prot#'!A:AL,25,FALSE)</f>
        <v>25</v>
      </c>
      <c r="AH29" s="1">
        <f>VLOOKUP(A29,'SegEnds_NonXtal_Prot#'!A:AL,28,FALSE)-VLOOKUP(A29,'SegEnds_NonXtal_Prot#'!A:AL,22,FALSE)</f>
        <v>44</v>
      </c>
      <c r="AI29" s="1">
        <f>VLOOKUP(A29,'SegEnds_NonXtal_Prot#'!A:AL,31,FALSE)-VLOOKUP(A29,'SegEnds_NonXtal_Prot#'!A:AL,28,FALSE)</f>
        <v>46</v>
      </c>
      <c r="AJ29" s="1">
        <f>VLOOKUP(A29,'SegEnds_NonXtal_Prot#'!A:AL,34,FALSE)-VLOOKUP(A29,'SegEnds_NonXtal_Prot#'!A:AL,31,FALSE)</f>
        <v>48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4" t="s">
        <v>235</v>
      </c>
      <c r="B30" s="4" t="str">
        <f>VLOOKUP(A30,Xtal_Templ!A:B,2,FALSE)</f>
        <v>lpar1_human</v>
      </c>
      <c r="C30" s="5">
        <f>VLOOKUP($B30&amp;"__wt",'SegEnds_Xtal_BW#'!$A:$Z,3,FALSE)</f>
        <v>30</v>
      </c>
      <c r="D30" s="4">
        <f>VLOOKUP($B30&amp;"__wt",'SegEnds_Xtal_BW#'!$A:$Z,4,FALSE)</f>
        <v>60</v>
      </c>
      <c r="E30" s="4">
        <f>VLOOKUP($B30&amp;"__wt",'SegEnds_Xtal_BW#'!$A:$Z,5,FALSE)</f>
        <v>48</v>
      </c>
      <c r="F30" s="4">
        <f>VLOOKUP($B30&amp;"__wt",'SegEnds_Xtal_BW#'!$A:$Z,6,FALSE)</f>
        <v>51</v>
      </c>
      <c r="G30" s="4">
        <v>37</v>
      </c>
      <c r="H30" s="11">
        <v>66</v>
      </c>
      <c r="I30" s="4">
        <v>48</v>
      </c>
      <c r="J30" s="4">
        <v>52</v>
      </c>
      <c r="K30" s="11">
        <v>24</v>
      </c>
      <c r="L30" s="4">
        <f>VLOOKUP($B30&amp;"__wt",'SegEnds_Xtal_BW#'!$A:$Z,12,FALSE)</f>
        <v>56</v>
      </c>
      <c r="M30" s="4">
        <f>VLOOKUP($B30&amp;"__wt",'SegEnds_Xtal_BW#'!$A:$Z,13,FALSE)</f>
        <v>50</v>
      </c>
      <c r="N30" s="11">
        <f>VLOOKUP($B30&amp;"__wt",'SegEnds_Xtal_BW#'!$A:$Z,14,FALSE)</f>
        <v>56</v>
      </c>
      <c r="O30" s="88">
        <v>38</v>
      </c>
      <c r="P30" s="4">
        <f>VLOOKUP($B30&amp;"__wt",'SegEnds_Xtal_BW#'!$A:$Z,16,FALSE)</f>
        <v>63</v>
      </c>
      <c r="Q30" s="115">
        <v>50</v>
      </c>
      <c r="R30" s="115">
        <v>52</v>
      </c>
      <c r="S30" s="4">
        <v>35</v>
      </c>
      <c r="T30" s="4">
        <f t="array" ref="T30">INDEX(ICL3_classA!$G$2:$G$39,MATCH(MIN(ABS(AI30-ICL3_classA!$F$2:$F$39)),ABS(AI30-ICL3_classA!$F$2:$F$39),0))</f>
        <v>74</v>
      </c>
      <c r="U30" s="4">
        <f t="array" ref="U30">INDEX(ICL3_classA!$H$2:$H$39,MATCH(MIN(ABS(AI30-ICL3_classA!$F$2:$F$39)),ABS(AI30-ICL3_classA!$F$2:$F$39),0))</f>
        <v>21</v>
      </c>
      <c r="V30" s="4">
        <v>61</v>
      </c>
      <c r="W30" s="131">
        <f>VLOOKUP($B30&amp;"__wt",'SegEnds_Xtal_BW#'!$A:$Z,23,FALSE)</f>
        <v>30</v>
      </c>
      <c r="X30" s="4">
        <f>VLOOKUP($B30&amp;"__wt",'SegEnds_Xtal_BW#'!$A:$Z,24,FALSE)</f>
        <v>56</v>
      </c>
      <c r="Y30" s="4">
        <f>VLOOKUP($B30&amp;"__wt",'SegEnds_Xtal_BW#'!$A:$Z,25,FALSE)</f>
        <v>47</v>
      </c>
      <c r="Z30" s="4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29</v>
      </c>
      <c r="AC30" s="4">
        <f>VLOOKUP(A30,'SegEnds_NonXtal_Prot#'!A:AL,10,FALSE)-VLOOKUP(A30,'SegEnds_NonXtal_Prot#'!A:AL,7,FALSE)</f>
        <v>16</v>
      </c>
      <c r="AD30" s="4" t="e">
        <f>VLOOKUP(A30,'SegEnds_NonXtal_Prot#'!A:AL,13,FALSE)-VLOOKUP(A30,'SegEnds_NonXtal_Prot#'!A:AL,10,FALSE)</f>
        <v>#VALUE!</v>
      </c>
      <c r="AE30" s="4">
        <f>VLOOKUP(A30,'SegEnds_NonXtal_Prot#'!A:AL,16,FALSE)-VLOOKUP(A30,'SegEnds_NonXtal_Prot#'!A:AL,10,FALSE)</f>
        <v>49</v>
      </c>
      <c r="AF30" s="1" t="e">
        <f>VLOOKUP(A30,'SegEnds_NonXtal_Prot#'!A:AL,22,FALSE)-VLOOKUP(A30,'SegEnds_NonXtal_Prot#'!A:AL,19,FALSE)</f>
        <v>#VALUE!</v>
      </c>
      <c r="AG30" s="4">
        <f>VLOOKUP(A30,'SegEnds_NonXtal_Prot#'!A:AL,28,FALSE)-VLOOKUP(A30,'SegEnds_NonXtal_Prot#'!A:AL,25,FALSE)</f>
        <v>21</v>
      </c>
      <c r="AH30" s="1">
        <f>VLOOKUP(A30,'SegEnds_NonXtal_Prot#'!A:AL,28,FALSE)-VLOOKUP(A30,'SegEnds_NonXtal_Prot#'!A:AL,22,FALSE)</f>
        <v>44</v>
      </c>
      <c r="AI30" s="4">
        <f>VLOOKUP(A30,'SegEnds_NonXtal_Prot#'!A:AL,31,FALSE)-VLOOKUP(A30,'SegEnds_NonXtal_Prot#'!A:AL,28,FALSE)</f>
        <v>63</v>
      </c>
      <c r="AJ30" s="4">
        <f>VLOOKUP(A30,'SegEnds_NonXtal_Prot#'!A:AL,34,FALSE)-VLOOKUP(A30,'SegEnds_NonXtal_Prot#'!A:AL,31,FALSE)</f>
        <v>38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236</v>
      </c>
      <c r="B31" s="1" t="str">
        <f>VLOOKUP(A31,Xtal_Templ!A:B,2,FALSE)</f>
        <v>cltr2_human</v>
      </c>
      <c r="C31" s="5">
        <f>VLOOKUP($B31&amp;"__wt",'SegEnds_Xtal_BW#'!$A:$Z,3,FALSE)</f>
        <v>25</v>
      </c>
      <c r="D31" s="1">
        <f>VLOOKUP($B31&amp;"__wt",'SegEnds_Xtal_BW#'!$A:$Z,4,FALSE)</f>
        <v>60</v>
      </c>
      <c r="E31" s="1" t="str">
        <f>VLOOKUP($B31&amp;"__wt",'SegEnds_Xtal_BW#'!$A:$Z,5,FALSE)</f>
        <v>-</v>
      </c>
      <c r="F31" s="1" t="str">
        <f>VLOOKUP($B31&amp;"__wt",'SegEnds_Xtal_BW#'!$A:$Z,6,FALSE)</f>
        <v>-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7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34</v>
      </c>
      <c r="T31" s="1">
        <f t="array" ref="T31">INDEX(ICL3_classA!$G$2:$G$39,MATCH(MIN(ABS(AI31-ICL3_classA!$F$2:$F$39)),ABS(AI31-ICL3_classA!$F$2:$F$39),0))</f>
        <v>68</v>
      </c>
      <c r="U31" s="1">
        <f t="array" ref="U31">INDEX(ICL3_classA!$H$2:$H$39,MATCH(MIN(ABS(AI31-ICL3_classA!$F$2:$F$39)),ABS(AI31-ICL3_classA!$F$2:$F$39),0))</f>
        <v>24</v>
      </c>
      <c r="V31" s="1">
        <v>64</v>
      </c>
      <c r="W31" s="1">
        <v>24</v>
      </c>
      <c r="X31" s="124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60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19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21</v>
      </c>
      <c r="AH31" s="1">
        <f>VLOOKUP(A31,'SegEnds_NonXtal_Prot#'!A:AL,28,FALSE)-VLOOKUP(A31,'SegEnds_NonXtal_Prot#'!A:AL,22,FALSE)</f>
        <v>44</v>
      </c>
      <c r="AI31" s="1">
        <f>VLOOKUP(A31,'SegEnds_NonXtal_Prot#'!A:AL,31,FALSE)-VLOOKUP(A31,'SegEnds_NonXtal_Prot#'!A:AL,28,FALSE)</f>
        <v>48</v>
      </c>
      <c r="AJ31" s="1">
        <f>VLOOKUP(A31,'SegEnds_NonXtal_Prot#'!A:AL,34,FALSE)-VLOOKUP(A31,'SegEnds_NonXtal_Prot#'!A:AL,31,FALSE)</f>
        <v>47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4" t="s">
        <v>238</v>
      </c>
      <c r="B32" s="4" t="str">
        <f>VLOOKUP(A32,Xtal_Templ!A:B,2,FALSE)</f>
        <v>lpar1_human</v>
      </c>
      <c r="C32" s="5">
        <f>VLOOKUP($B32&amp;"__wt",'SegEnds_Xtal_BW#'!$A:$Z,3,FALSE)</f>
        <v>30</v>
      </c>
      <c r="D32" s="4">
        <f>VLOOKUP($B32&amp;"__wt",'SegEnds_Xtal_BW#'!$A:$Z,4,FALSE)</f>
        <v>60</v>
      </c>
      <c r="E32" s="4">
        <f>VLOOKUP($B32&amp;"__wt",'SegEnds_Xtal_BW#'!$A:$Z,5,FALSE)</f>
        <v>48</v>
      </c>
      <c r="F32" s="4">
        <f>VLOOKUP($B32&amp;"__wt",'SegEnds_Xtal_BW#'!$A:$Z,6,FALSE)</f>
        <v>51</v>
      </c>
      <c r="G32" s="4">
        <v>37</v>
      </c>
      <c r="H32" s="11">
        <v>62</v>
      </c>
      <c r="I32" s="4">
        <v>48</v>
      </c>
      <c r="J32" s="4">
        <v>52</v>
      </c>
      <c r="K32" s="11">
        <v>24</v>
      </c>
      <c r="L32" s="4">
        <f>VLOOKUP($B32&amp;"__wt",'SegEnds_Xtal_BW#'!$A:$Z,12,FALSE)</f>
        <v>56</v>
      </c>
      <c r="M32" s="4">
        <f>VLOOKUP($B32&amp;"__wt",'SegEnds_Xtal_BW#'!$A:$Z,13,FALSE)</f>
        <v>50</v>
      </c>
      <c r="N32" s="11">
        <v>57</v>
      </c>
      <c r="O32" s="88">
        <v>38</v>
      </c>
      <c r="P32" s="4">
        <f>VLOOKUP($B32&amp;"__wt",'SegEnds_Xtal_BW#'!$A:$Z,16,FALSE)</f>
        <v>63</v>
      </c>
      <c r="Q32" s="4" t="str">
        <f>VLOOKUP($B32&amp;"__wt",'SegEnds_Xtal_BW#'!$A:$Z,17,FALSE)</f>
        <v>-</v>
      </c>
      <c r="R32" s="4" t="str">
        <f>VLOOKUP($B32&amp;"__wt",'SegEnds_Xtal_BW#'!$A:$Z,18,FALSE)</f>
        <v>-</v>
      </c>
      <c r="S32" s="4">
        <f>VLOOKUP($B32&amp;"__wt",'SegEnds_Xtal_BW#'!$A:$Z,19,FALSE)</f>
        <v>36</v>
      </c>
      <c r="T32" s="4">
        <f t="array" ref="T32">INDEX(ICL3_classA!$G$2:$G$39,MATCH(MIN(ABS(AI32-ICL3_classA!$F$2:$F$39)),ABS(AI32-ICL3_classA!$F$2:$F$39),0))</f>
        <v>73</v>
      </c>
      <c r="U32" s="4">
        <f t="array" ref="U32">INDEX(ICL3_classA!$H$2:$H$39,MATCH(MIN(ABS(AI32-ICL3_classA!$F$2:$F$39)),ABS(AI32-ICL3_classA!$F$2:$F$39),0))</f>
        <v>22</v>
      </c>
      <c r="V32" s="4">
        <v>61</v>
      </c>
      <c r="W32" s="4">
        <v>34</v>
      </c>
      <c r="X32" s="4">
        <f>VLOOKUP($B32&amp;"__wt",'SegEnds_Xtal_BW#'!$A:$Z,24,FALSE)</f>
        <v>56</v>
      </c>
      <c r="Y32" s="4">
        <f>VLOOKUP($B32&amp;"__wt",'SegEnds_Xtal_BW#'!$A:$Z,25,FALSE)</f>
        <v>47</v>
      </c>
      <c r="Z32" s="4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4" t="e">
        <f>VLOOKUP(A32,'SegEnds_NonXtal_Prot#'!A:AL,10,FALSE)-VLOOKUP(A32,'SegEnds_NonXtal_Prot#'!A:AL,7,FALSE)</f>
        <v>#VALUE!</v>
      </c>
      <c r="AD32" s="4">
        <f>VLOOKUP(A32,'SegEnds_NonXtal_Prot#'!A:AL,13,FALSE)-VLOOKUP(A32,'SegEnds_NonXtal_Prot#'!A:AL,10,FALSE)</f>
        <v>15</v>
      </c>
      <c r="AE32" s="4">
        <f>VLOOKUP(A32,'SegEnds_NonXtal_Prot#'!A:AL,16,FALSE)-VLOOKUP(A32,'SegEnds_NonXtal_Prot#'!A:AL,10,FALSE)</f>
        <v>48</v>
      </c>
      <c r="AF32" s="1">
        <f>VLOOKUP(A32,'SegEnds_NonXtal_Prot#'!A:AL,22,FALSE)-VLOOKUP(A32,'SegEnds_NonXtal_Prot#'!A:AL,19,FALSE)</f>
        <v>20</v>
      </c>
      <c r="AG32" s="4" t="e">
        <f>VLOOKUP(A32,'SegEnds_NonXtal_Prot#'!A:AL,28,FALSE)-VLOOKUP(A32,'SegEnds_NonXtal_Prot#'!A:AL,25,FALSE)</f>
        <v>#VALUE!</v>
      </c>
      <c r="AH32" s="1">
        <f>VLOOKUP(A32,'SegEnds_NonXtal_Prot#'!A:AL,28,FALSE)-VLOOKUP(A32,'SegEnds_NonXtal_Prot#'!A:AL,22,FALSE)</f>
        <v>44</v>
      </c>
      <c r="AI32" s="4">
        <f>VLOOKUP(A32,'SegEnds_NonXtal_Prot#'!A:AL,31,FALSE)-VLOOKUP(A32,'SegEnds_NonXtal_Prot#'!A:AL,28,FALSE)</f>
        <v>57</v>
      </c>
      <c r="AJ32" s="4">
        <f>VLOOKUP(A32,'SegEnds_NonXtal_Prot#'!A:AL,34,FALSE)-VLOOKUP(A32,'SegEnds_NonXtal_Prot#'!A:AL,31,FALSE)</f>
        <v>32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ht="17" customHeight="1" x14ac:dyDescent="0.2">
      <c r="A33" s="1" t="s">
        <v>249</v>
      </c>
      <c r="B33" s="1" t="str">
        <f>VLOOKUP(A33,Xtal_Templ!A:B,2,FALSE)</f>
        <v>lpar1_human</v>
      </c>
      <c r="C33" s="5">
        <f>VLOOKUP($B33&amp;"__wt",'SegEnds_Xtal_BW#'!$A:$Z,3,FALSE)</f>
        <v>30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62</v>
      </c>
      <c r="I33" s="1">
        <v>48</v>
      </c>
      <c r="J33" s="1"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v>38</v>
      </c>
      <c r="P33" s="1">
        <f>VLOOKUP($B33&amp;"__wt",'SegEnds_Xtal_BW#'!$A:$Z,16,FALSE)</f>
        <v>63</v>
      </c>
      <c r="Q33" s="1" t="str">
        <f>VLOOKUP($B33&amp;"__wt",'SegEnds_Xtal_BW#'!$A:$Z,17,FALSE)</f>
        <v>-</v>
      </c>
      <c r="R33" s="1" t="str">
        <f>VLOOKUP($B33&amp;"__wt",'SegEnds_Xtal_BW#'!$A:$Z,18,FALSE)</f>
        <v>-</v>
      </c>
      <c r="S33" s="1">
        <f>VLOOKUP($B33&amp;"__wt",'SegEnds_Xtal_BW#'!$A:$Z,19,FALSE)</f>
        <v>36</v>
      </c>
      <c r="T33" s="1">
        <f t="array" ref="T33">INDEX(ICL3_classA!$G$2:$G$39,MATCH(MIN(ABS(AI33-ICL3_classA!$F$2:$F$39)),ABS(AI33-ICL3_classA!$F$2:$F$39),0))</f>
        <v>73</v>
      </c>
      <c r="U33" s="1">
        <f t="array" ref="U33">INDEX(ICL3_classA!$H$2:$H$39,MATCH(MIN(ABS(AI33-ICL3_classA!$F$2:$F$39)),ABS(AI33-ICL3_classA!$F$2:$F$39),0))</f>
        <v>22</v>
      </c>
      <c r="V33" s="1">
        <v>61</v>
      </c>
      <c r="W33" s="1">
        <v>34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15</v>
      </c>
      <c r="AE33" s="1">
        <f>VLOOKUP(A33,'SegEnds_NonXtal_Prot#'!A:AL,16,FALSE)-VLOOKUP(A33,'SegEnds_NonXtal_Prot#'!A:AL,10,FALSE)</f>
        <v>48</v>
      </c>
      <c r="AF33" s="1">
        <f>VLOOKUP(A33,'SegEnds_NonXtal_Prot#'!A:AL,22,FALSE)-VLOOKUP(A33,'SegEnds_NonXtal_Prot#'!A:AL,19,FALSE)</f>
        <v>20</v>
      </c>
      <c r="AG33" s="1" t="e">
        <f>VLOOKUP(A33,'SegEnds_NonXtal_Prot#'!A:AL,28,FALSE)-VLOOKUP(A33,'SegEnds_NonXtal_Prot#'!A:AL,25,FALSE)</f>
        <v>#VALUE!</v>
      </c>
      <c r="AH33" s="1">
        <f>VLOOKUP(A33,'SegEnds_NonXtal_Prot#'!A:AL,28,FALSE)-VLOOKUP(A33,'SegEnds_NonXtal_Prot#'!A:AL,22,FALSE)</f>
        <v>44</v>
      </c>
      <c r="AI33" s="1">
        <f>VLOOKUP(A33,'SegEnds_NonXtal_Prot#'!A:AL,31,FALSE)-VLOOKUP(A33,'SegEnds_NonXtal_Prot#'!A:AL,28,FALSE)</f>
        <v>57</v>
      </c>
      <c r="AJ33" s="1">
        <f>VLOOKUP(A33,'SegEnds_NonXtal_Prot#'!A:AL,34,FALSE)-VLOOKUP(A33,'SegEnds_NonXtal_Prot#'!A:AL,31,FALSE)</f>
        <v>32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NoXtal</v>
      </c>
    </row>
    <row r="34" spans="1:38" x14ac:dyDescent="0.2">
      <c r="A34" s="1" t="s">
        <v>262</v>
      </c>
      <c r="B34" s="1" t="str">
        <f>VLOOKUP(A34,Xtal_Templ!A:B,2,FALSE)</f>
        <v>s1pr1_human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62</v>
      </c>
      <c r="I34" s="1">
        <v>48</v>
      </c>
      <c r="J34" s="1"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63</v>
      </c>
      <c r="Q34" s="1" t="str">
        <f>VLOOKUP($B34&amp;"__wt",'SegEnds_Xtal_BW#'!$A:$Z,17,FALSE)</f>
        <v>-</v>
      </c>
      <c r="R34" s="1" t="str">
        <f>VLOOKUP($B34&amp;"__wt",'SegEnds_Xtal_BW#'!$A:$Z,18,FALSE)</f>
        <v>-</v>
      </c>
      <c r="S34" s="1">
        <f>VLOOKUP($B34&amp;"__wt",'SegEnds_Xtal_BW#'!$A:$Z,19,FALSE)</f>
        <v>36</v>
      </c>
      <c r="T34" s="1">
        <f t="array" ref="T34">INDEX(ICL3_classA!$G$2:$G$39,MATCH(MIN(ABS(AI34-ICL3_classA!$F$2:$F$39)),ABS(AI34-ICL3_classA!$F$2:$F$39),0))</f>
        <v>73</v>
      </c>
      <c r="U34" s="1">
        <f t="array" ref="U34">INDEX(ICL3_classA!$H$2:$H$39,MATCH(MIN(ABS(AI34-ICL3_classA!$F$2:$F$39)),ABS(AI34-ICL3_classA!$F$2:$F$39),0))</f>
        <v>22</v>
      </c>
      <c r="V34" s="1">
        <v>61</v>
      </c>
      <c r="W34" s="1">
        <v>34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15</v>
      </c>
      <c r="AE34" s="1">
        <f>VLOOKUP(A34,'SegEnds_NonXtal_Prot#'!A:AL,16,FALSE)-VLOOKUP(A34,'SegEnds_NonXtal_Prot#'!A:AL,10,FALSE)</f>
        <v>48</v>
      </c>
      <c r="AF34" s="1">
        <f>VLOOKUP(A34,'SegEnds_NonXtal_Prot#'!A:AL,22,FALSE)-VLOOKUP(A34,'SegEnds_NonXtal_Prot#'!A:AL,19,FALSE)</f>
        <v>20</v>
      </c>
      <c r="AG34" s="1" t="e">
        <f>VLOOKUP(A34,'SegEnds_NonXtal_Prot#'!A:AL,28,FALSE)-VLOOKUP(A34,'SegEnds_NonXtal_Prot#'!A:AL,25,FALSE)</f>
        <v>#VALUE!</v>
      </c>
      <c r="AH34" s="1">
        <f>VLOOKUP(A34,'SegEnds_NonXtal_Prot#'!A:AL,28,FALSE)-VLOOKUP(A34,'SegEnds_NonXtal_Prot#'!A:AL,22,FALSE)</f>
        <v>44</v>
      </c>
      <c r="AI34" s="1">
        <f>VLOOKUP(A34,'SegEnds_NonXtal_Prot#'!A:AL,31,FALSE)-VLOOKUP(A34,'SegEnds_NonXtal_Prot#'!A:AL,28,FALSE)</f>
        <v>57</v>
      </c>
      <c r="AJ34" s="1">
        <f>VLOOKUP(A34,'SegEnds_NonXtal_Prot#'!A:AL,34,FALSE)-VLOOKUP(A34,'SegEnds_NonXtal_Prot#'!A:AL,31,FALSE)</f>
        <v>32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" t="s">
        <v>294</v>
      </c>
      <c r="B35" s="1" t="str">
        <f>VLOOKUP(A35,Xtal_Templ!A:B,2,FALSE)</f>
        <v>agtr1_human</v>
      </c>
      <c r="C35" s="5">
        <f>VLOOKUP($B35&amp;"__wt",'SegEnds_Xtal_BW#'!$A:$Z,3,FALSE)</f>
        <v>28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v>67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f>VLOOKUP($B35&amp;"__wt",'SegEnds_Xtal_BW#'!$A:$Z,15,FALSE)</f>
        <v>38</v>
      </c>
      <c r="P35" s="1">
        <f>VLOOKUP($B35&amp;"__wt",'SegEnds_Xtal_BW#'!$A:$Z,16,FALSE)</f>
        <v>64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34</v>
      </c>
      <c r="T35" s="1">
        <f t="array" ref="T35">INDEX(ICL3_classA!$G$2:$G$39,MATCH(MIN(ABS(AI35-ICL3_classA!$F$2:$F$39)),ABS(AI35-ICL3_classA!$F$2:$F$39),0))</f>
        <v>68</v>
      </c>
      <c r="U35" s="1">
        <f t="array" ref="U35">INDEX(ICL3_classA!$H$2:$H$39,MATCH(MIN(ABS(AI35-ICL3_classA!$F$2:$F$39)),ABS(AI35-ICL3_classA!$F$2:$F$39),0))</f>
        <v>30</v>
      </c>
      <c r="V35" s="1">
        <v>61</v>
      </c>
      <c r="W35" s="1">
        <v>32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61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 t="e">
        <f>VLOOKUP(A35,'SegEnds_NonXtal_Prot#'!A:AL,13,FALSE)-VLOOKUP(A35,'SegEnds_NonXtal_Prot#'!A:AL,10,FALSE)</f>
        <v>#VALUE!</v>
      </c>
      <c r="AE35" s="1">
        <f>VLOOKUP(A35,'SegEnds_NonXtal_Prot#'!A:AL,16,FALSE)-VLOOKUP(A35,'SegEnds_NonXtal_Prot#'!A:AL,10,FALSE)</f>
        <v>53</v>
      </c>
      <c r="AF35" s="1">
        <f>VLOOKUP(A35,'SegEnds_NonXtal_Prot#'!A:AL,22,FALSE)-VLOOKUP(A35,'SegEnds_NonXtal_Prot#'!A:AL,19,FALSE)</f>
        <v>20</v>
      </c>
      <c r="AG35" s="1" t="e">
        <f>VLOOKUP(A35,'SegEnds_NonXtal_Prot#'!A:AL,28,FALSE)-VLOOKUP(A35,'SegEnds_NonXtal_Prot#'!A:AL,25,FALSE)</f>
        <v>#VALUE!</v>
      </c>
      <c r="AH35" s="1">
        <f>VLOOKUP(A35,'SegEnds_NonXtal_Prot#'!A:AL,28,FALSE)-VLOOKUP(A35,'SegEnds_NonXtal_Prot#'!A:AL,22,FALSE)</f>
        <v>44</v>
      </c>
      <c r="AI35" s="1">
        <f>VLOOKUP(A35,'SegEnds_NonXtal_Prot#'!A:AL,31,FALSE)-VLOOKUP(A35,'SegEnds_NonXtal_Prot#'!A:AL,28,FALSE)</f>
        <v>42</v>
      </c>
      <c r="AJ35" s="1">
        <f>VLOOKUP(A35,'SegEnds_NonXtal_Prot#'!A:AL,34,FALSE)-VLOOKUP(A35,'SegEnds_NonXtal_Prot#'!A:AL,31,FALSE)</f>
        <v>34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131</v>
      </c>
      <c r="B36" s="1" t="str">
        <f>VLOOKUP(A36,Xtal_Templ!A:B,2,FALSE)</f>
        <v>5ht1b_human</v>
      </c>
      <c r="C36" s="5">
        <f>VLOOKUP($B36&amp;"__wt",'SegEnds_Xtal_BW#'!$A:$Z,3,FALSE)</f>
        <v>28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INDEX(ICL3_classA!$G$2:$G$39,MATCH(MIN(ABS(AI36-ICL3_classA!$F$2:$F$39)),ABS(AI36-ICL3_classA!$F$2:$F$39),0))</f>
        <v>76</v>
      </c>
      <c r="U36" s="1">
        <f t="array" ref="U36">INDEX(ICL3_classA!$H$2:$H$39,MATCH(MIN(ABS(AI36-ICL3_classA!$F$2:$F$39)),ABS(AI36-ICL3_classA!$F$2:$F$39),0))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21</v>
      </c>
      <c r="AH36" s="1">
        <f>VLOOKUP(A36,'SegEnds_NonXtal_Prot#'!A:AL,28,FALSE)-VLOOKUP(A36,'SegEnds_NonXtal_Prot#'!A:AL,22,FALSE)</f>
        <v>45</v>
      </c>
      <c r="AI36" s="1">
        <f>VLOOKUP(A36,'SegEnds_NonXtal_Prot#'!A:AL,31,FALSE)-VLOOKUP(A36,'SegEnds_NonXtal_Prot#'!A:AL,28,FALSE)</f>
        <v>115</v>
      </c>
      <c r="AJ36" s="1">
        <f>VLOOKUP(A36,'SegEnds_NonXtal_Prot#'!A:AL,34,FALSE)-VLOOKUP(A36,'SegEnds_NonXtal_Prot#'!A:AL,31,FALSE)</f>
        <v>36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152</v>
      </c>
      <c r="B37" s="1" t="str">
        <f>VLOOKUP(A37,Xtal_Templ!A:B,2,FALSE)</f>
        <v>adrb2_human</v>
      </c>
      <c r="C37" s="5">
        <f>VLOOKUP($B37&amp;"__wt",'SegEnds_Xtal_BW#'!$A:$Z,3,FALSE)</f>
        <v>25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64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INDEX(ICL3_classA!$G$2:$G$39,MATCH(MIN(ABS(AI37-ICL3_classA!$F$2:$F$39)),ABS(AI37-ICL3_classA!$F$2:$F$39),0))</f>
        <v>76</v>
      </c>
      <c r="U37" s="1">
        <f t="array" ref="U37">INDEX(ICL3_classA!$H$2:$H$39,MATCH(MIN(ABS(AI37-ICL3_classA!$F$2:$F$39)),ABS(AI37-ICL3_classA!$F$2:$F$39),0))</f>
        <v>24</v>
      </c>
      <c r="V37" s="1">
        <v>61</v>
      </c>
      <c r="W37" s="1">
        <v>31</v>
      </c>
      <c r="X37" s="108"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20</v>
      </c>
      <c r="AH37" s="1">
        <f>VLOOKUP(A37,'SegEnds_NonXtal_Prot#'!A:AL,28,FALSE)-VLOOKUP(A37,'SegEnds_NonXtal_Prot#'!A:AL,22,FALSE)</f>
        <v>45</v>
      </c>
      <c r="AI37" s="1">
        <f>VLOOKUP(A37,'SegEnds_NonXtal_Prot#'!A:AL,31,FALSE)-VLOOKUP(A37,'SegEnds_NonXtal_Prot#'!A:AL,28,FALSE)</f>
        <v>91</v>
      </c>
      <c r="AJ37" s="1">
        <f>VLOOKUP(A37,'SegEnds_NonXtal_Prot#'!A:AL,34,FALSE)-VLOOKUP(A37,'SegEnds_NonXtal_Prot#'!A:AL,31,FALSE)</f>
        <v>36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153</v>
      </c>
      <c r="B38" s="1" t="str">
        <f>VLOOKUP(A38,Xtal_Templ!A:B,2,FALSE)</f>
        <v>drd2_human</v>
      </c>
      <c r="C38" s="5">
        <f>VLOOKUP($B38&amp;"__wt",'SegEnds_Xtal_BW#'!$A:$Z,3,FALSE)</f>
        <v>29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68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INDEX(ICL3_classA!$G$2:$G$39,MATCH(MIN(ABS(AI38-ICL3_classA!$F$2:$F$39)),ABS(AI38-ICL3_classA!$F$2:$F$39),0))</f>
        <v>74</v>
      </c>
      <c r="U38" s="1">
        <f t="array" ref="U38">INDEX(ICL3_classA!$H$2:$H$39,MATCH(MIN(ABS(AI38-ICL3_classA!$F$2:$F$39)),ABS(AI38-ICL3_classA!$F$2:$F$39),0))</f>
        <v>24</v>
      </c>
      <c r="V38" s="1">
        <v>61</v>
      </c>
      <c r="W38" s="1">
        <v>31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20</v>
      </c>
      <c r="AH38" s="1">
        <f>VLOOKUP(A38,'SegEnds_NonXtal_Prot#'!A:AL,28,FALSE)-VLOOKUP(A38,'SegEnds_NonXtal_Prot#'!A:AL,22,FALSE)</f>
        <v>45</v>
      </c>
      <c r="AI38" s="1">
        <f>VLOOKUP(A38,'SegEnds_NonXtal_Prot#'!A:AL,31,FALSE)-VLOOKUP(A38,'SegEnds_NonXtal_Prot#'!A:AL,28,FALSE)</f>
        <v>94</v>
      </c>
      <c r="AJ38" s="1">
        <f>VLOOKUP(A38,'SegEnds_NonXtal_Prot#'!A:AL,34,FALSE)-VLOOKUP(A38,'SegEnds_NonXtal_Prot#'!A:AL,31,FALSE)</f>
        <v>36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154</v>
      </c>
      <c r="B39" s="1" t="str">
        <f>VLOOKUP(A39,Xtal_Templ!A:B,2,FALSE)</f>
        <v>adrb2_human</v>
      </c>
      <c r="C39" s="5">
        <f>VLOOKUP($B39&amp;"__wt",'SegEnds_Xtal_BW#'!$A:$Z,3,FALSE)</f>
        <v>25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INDEX(ICL3_classA!$G$2:$G$39,MATCH(MIN(ABS(AI39-ICL3_classA!$F$2:$F$39)),ABS(AI39-ICL3_classA!$F$2:$F$39),0))</f>
        <v>74</v>
      </c>
      <c r="U39" s="1">
        <f t="array" ref="U39">INDEX(ICL3_classA!$H$2:$H$39,MATCH(MIN(ABS(AI39-ICL3_classA!$F$2:$F$39)),ABS(AI39-ICL3_classA!$F$2:$F$39),0))</f>
        <v>24</v>
      </c>
      <c r="V39" s="1">
        <v>61</v>
      </c>
      <c r="W39" s="1">
        <v>31</v>
      </c>
      <c r="X39" s="108">
        <v>56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20</v>
      </c>
      <c r="AH39" s="1">
        <f>VLOOKUP(A39,'SegEnds_NonXtal_Prot#'!A:AL,28,FALSE)-VLOOKUP(A39,'SegEnds_NonXtal_Prot#'!A:AL,22,FALSE)</f>
        <v>45</v>
      </c>
      <c r="AI39" s="1">
        <f>VLOOKUP(A39,'SegEnds_NonXtal_Prot#'!A:AL,31,FALSE)-VLOOKUP(A39,'SegEnds_NonXtal_Prot#'!A:AL,28,FALSE)</f>
        <v>97</v>
      </c>
      <c r="AJ39" s="1">
        <f>VLOOKUP(A39,'SegEnds_NonXtal_Prot#'!A:AL,34,FALSE)-VLOOKUP(A39,'SegEnds_NonXtal_Prot#'!A:AL,31,FALSE)</f>
        <v>36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182</v>
      </c>
      <c r="B40" s="1" t="str">
        <f>VLOOKUP(A40,Xtal_Templ!A:B,2,FALSE)</f>
        <v>cnr1_human</v>
      </c>
      <c r="C40" s="5">
        <f>VLOOKUP($B40&amp;"__wt",'SegEnds_Xtal_BW#'!$A:$Z,3,FALSE)</f>
        <v>28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f>VLOOKUP($B40&amp;"__wt",'SegEnds_Xtal_BW#'!$A:$Z,7,FALSE)</f>
        <v>37</v>
      </c>
      <c r="H40" s="12">
        <f>VLOOKUP($B40&amp;"__wt",'SegEnds_Xtal_BW#'!$A:$Z,8,FALSE)</f>
        <v>66</v>
      </c>
      <c r="I40" s="1" t="str">
        <f>VLOOKUP($B40&amp;"__wt",'SegEnds_Xtal_BW#'!$A:$Z,9,FALSE)</f>
        <v>-</v>
      </c>
      <c r="J40" s="1" t="str">
        <f>VLOOKUP($B40&amp;"__wt",'SegEnds_Xtal_BW#'!$A:$Z,10,FALSE)</f>
        <v>-</v>
      </c>
      <c r="K40" s="12">
        <f>VLOOKUP($B40&amp;"__wt",'SegEnds_Xtal_BW#'!$A:$Z,11,FALSE)</f>
        <v>21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7">
        <f>VLOOKUP($B40&amp;"__wt",'SegEnds_Xtal_BW#'!$A:$Z,15,FALSE)</f>
        <v>38</v>
      </c>
      <c r="P40" s="1">
        <f>VLOOKUP($B40&amp;"__wt",'SegEnds_Xtal_BW#'!$A:$Z,16,FALSE)</f>
        <v>63</v>
      </c>
      <c r="Q40" s="1" t="str">
        <f>VLOOKUP($B40&amp;"__wt",'SegEnds_Xtal_BW#'!$A:$Z,17,FALSE)</f>
        <v>-</v>
      </c>
      <c r="R40" s="1" t="str">
        <f>VLOOKUP($B40&amp;"__wt",'SegEnds_Xtal_BW#'!$A:$Z,18,FALSE)</f>
        <v>-</v>
      </c>
      <c r="S40" s="1">
        <f>VLOOKUP($B40&amp;"__wt",'SegEnds_Xtal_BW#'!$A:$Z,19,FALSE)</f>
        <v>36</v>
      </c>
      <c r="T40" s="1">
        <f t="array" ref="T40">INDEX(ICL3_classA!$G$2:$G$39,MATCH(MIN(ABS(AI40-ICL3_classA!$F$2:$F$39)),ABS(AI40-ICL3_classA!$F$2:$F$39),0))</f>
        <v>76</v>
      </c>
      <c r="U40" s="1">
        <f t="array" ref="U40">INDEX(ICL3_classA!$H$2:$H$39,MATCH(MIN(ABS(AI40-ICL3_classA!$F$2:$F$39)),ABS(AI40-ICL3_classA!$F$2:$F$39),0))</f>
        <v>24</v>
      </c>
      <c r="V40" s="1">
        <f>VLOOKUP($B40&amp;"__wt",'SegEnds_Xtal_BW#'!$A:$Z,22,FALSE)</f>
        <v>61</v>
      </c>
      <c r="W40" s="1">
        <f>VLOOKUP($B40&amp;"__wt",'SegEnds_Xtal_BW#'!$A:$Z,23,FALSE)</f>
        <v>28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29</v>
      </c>
      <c r="AC40" s="1">
        <f>VLOOKUP(A40,'SegEnds_NonXtal_Prot#'!A:AL,10,FALSE)-VLOOKUP(A40,'SegEnds_NonXtal_Prot#'!A:AL,7,FALSE)</f>
        <v>16</v>
      </c>
      <c r="AD40" s="1" t="e">
        <f>VLOOKUP(A40,'SegEnds_NonXtal_Prot#'!A:AL,13,FALSE)-VLOOKUP(A40,'SegEnds_NonXtal_Prot#'!A:AL,10,FALSE)</f>
        <v>#VALUE!</v>
      </c>
      <c r="AE40" s="1">
        <f>VLOOKUP(A40,'SegEnds_NonXtal_Prot#'!A:AL,16,FALSE)-VLOOKUP(A40,'SegEnds_NonXtal_Prot#'!A:AL,10,FALSE)</f>
        <v>51</v>
      </c>
      <c r="AF40" s="1">
        <f>VLOOKUP(A40,'SegEnds_NonXtal_Prot#'!A:AL,22,FALSE)-VLOOKUP(A40,'SegEnds_NonXtal_Prot#'!A:AL,19,FALSE)</f>
        <v>20</v>
      </c>
      <c r="AG40" s="1" t="e">
        <f>VLOOKUP(A40,'SegEnds_NonXtal_Prot#'!A:AL,28,FALSE)-VLOOKUP(A40,'SegEnds_NonXtal_Prot#'!A:AL,25,FALSE)</f>
        <v>#VALUE!</v>
      </c>
      <c r="AH40" s="1">
        <f>VLOOKUP(A40,'SegEnds_NonXtal_Prot#'!A:AL,28,FALSE)-VLOOKUP(A40,'SegEnds_NonXtal_Prot#'!A:AL,22,FALSE)</f>
        <v>45</v>
      </c>
      <c r="AI40" s="1">
        <f>VLOOKUP(A40,'SegEnds_NonXtal_Prot#'!A:AL,31,FALSE)-VLOOKUP(A40,'SegEnds_NonXtal_Prot#'!A:AL,28,FALSE)</f>
        <v>72</v>
      </c>
      <c r="AJ40" s="1">
        <f>VLOOKUP(A40,'SegEnds_NonXtal_Prot#'!A:AL,34,FALSE)-VLOOKUP(A40,'SegEnds_NonXtal_Prot#'!A:AL,31,FALSE)</f>
        <v>36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Xtal</v>
      </c>
    </row>
    <row r="41" spans="1:38" x14ac:dyDescent="0.2">
      <c r="A41" s="1" t="s">
        <v>266</v>
      </c>
      <c r="B41" s="1" t="str">
        <f>VLOOKUP(A41,Xtal_Templ!A:B,2,FALSE)</f>
        <v>adrb2_human</v>
      </c>
      <c r="C41" s="5">
        <f>VLOOKUP($B41&amp;"__wt",'SegEnds_Xtal_BW#'!$A:$Z,3,FALSE)</f>
        <v>25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INDEX(ICL3_classA!$G$2:$G$39,MATCH(MIN(ABS(AI41-ICL3_classA!$F$2:$F$39)),ABS(AI41-ICL3_classA!$F$2:$F$39),0))</f>
        <v>76</v>
      </c>
      <c r="U41" s="1">
        <f t="array" ref="U41">INDEX(ICL3_classA!$H$2:$H$39,MATCH(MIN(ABS(AI41-ICL3_classA!$F$2:$F$39)),ABS(AI41-ICL3_classA!$F$2:$F$39),0))</f>
        <v>24</v>
      </c>
      <c r="V41" s="1">
        <v>61</v>
      </c>
      <c r="W41" s="1">
        <v>31</v>
      </c>
      <c r="X41" s="1">
        <f>VLOOKUP($B41&amp;"__wt",'SegEnds_Xtal_BW#'!$A:$Z,24,FALSE)</f>
        <v>55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30</v>
      </c>
      <c r="AC41" s="1">
        <f>VLOOKUP(A41,'SegEnds_NonXtal_Prot#'!A:AL,10,FALSE)-VLOOKUP(A41,'SegEnds_NonXtal_Prot#'!A:AL,7,FALSE)</f>
        <v>15</v>
      </c>
      <c r="AD41" s="1" t="e">
        <f>VLOOKUP(A41,'SegEnds_NonXtal_Prot#'!A:AL,13,FALSE)-VLOOKUP(A41,'SegEnds_NonXtal_Prot#'!A:AL,10,FALSE)</f>
        <v>#VALUE!</v>
      </c>
      <c r="AE41" s="1">
        <f>VLOOKUP(A41,'SegEnds_NonXtal_Prot#'!A:AL,16,FALSE)-VLOOKUP(A41,'SegEnds_NonXtal_Prot#'!A:AL,10,FALSE)</f>
        <v>53</v>
      </c>
      <c r="AF41" s="1" t="e">
        <f>VLOOKUP(A41,'SegEnds_NonXtal_Prot#'!A:AL,22,FALSE)-VLOOKUP(A41,'SegEnds_NonXtal_Prot#'!A:AL,19,FALSE)</f>
        <v>#VALUE!</v>
      </c>
      <c r="AG41" s="1">
        <f>VLOOKUP(A41,'SegEnds_NonXtal_Prot#'!A:AL,28,FALSE)-VLOOKUP(A41,'SegEnds_NonXtal_Prot#'!A:AL,25,FALSE)</f>
        <v>25</v>
      </c>
      <c r="AH41" s="1">
        <f>VLOOKUP(A41,'SegEnds_NonXtal_Prot#'!A:AL,28,FALSE)-VLOOKUP(A41,'SegEnds_NonXtal_Prot#'!A:AL,22,FALSE)</f>
        <v>45</v>
      </c>
      <c r="AI41" s="1">
        <f>VLOOKUP(A41,'SegEnds_NonXtal_Prot#'!A:AL,31,FALSE)-VLOOKUP(A41,'SegEnds_NonXtal_Prot#'!A:AL,28,FALSE)</f>
        <v>122</v>
      </c>
      <c r="AJ41" s="1">
        <f>VLOOKUP(A41,'SegEnds_NonXtal_Prot#'!A:AL,34,FALSE)-VLOOKUP(A41,'SegEnds_NonXtal_Prot#'!A:AL,31,FALSE)</f>
        <v>37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103</v>
      </c>
      <c r="B42" s="1" t="str">
        <f>VLOOKUP(A42,Xtal_Templ!A:B,2,FALSE)</f>
        <v>lpar1_human</v>
      </c>
      <c r="C42" s="5">
        <f>VLOOKUP($B42&amp;"__wt",'SegEnds_Xtal_BW#'!$A:$Z,3,FALSE)</f>
        <v>30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v>63</v>
      </c>
      <c r="I42" s="1">
        <f>VLOOKUP($B42&amp;"__wt",'SegEnds_Xtal_BW#'!$A:$Z,9,FALSE)</f>
        <v>47</v>
      </c>
      <c r="J42" s="1">
        <f>VLOOKUP($B42&amp;"__wt",'SegEnds_Xtal_BW#'!$A:$Z,10,FALSE)</f>
        <v>53</v>
      </c>
      <c r="K42" s="12">
        <f>VLOOKUP($B42&amp;"__wt",'SegEnds_Xtal_BW#'!$A:$Z,11,FALSE)</f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56</v>
      </c>
      <c r="O42" s="87">
        <f>VLOOKUP($B42&amp;"__wt",'SegEnds_Xtal_BW#'!$A:$Z,15,FALSE)</f>
        <v>38</v>
      </c>
      <c r="P42" s="1">
        <f>VLOOKUP($B42&amp;"__wt",'SegEnds_Xtal_BW#'!$A:$Z,16,FALSE)</f>
        <v>63</v>
      </c>
      <c r="Q42" s="1" t="str">
        <f>VLOOKUP($B42&amp;"__wt",'SegEnds_Xtal_BW#'!$A:$Z,17,FALSE)</f>
        <v>-</v>
      </c>
      <c r="R42" s="1" t="str">
        <f>VLOOKUP($B42&amp;"__wt",'SegEnds_Xtal_BW#'!$A:$Z,18,FALSE)</f>
        <v>-</v>
      </c>
      <c r="S42" s="1">
        <f>VLOOKUP($B42&amp;"__wt",'SegEnds_Xtal_BW#'!$A:$Z,19,FALSE)</f>
        <v>36</v>
      </c>
      <c r="T42" s="1">
        <f t="array" ref="T42">INDEX(ICL3_classA!$G$2:$G$39,MATCH(MIN(ABS(AI42-ICL3_classA!$F$2:$F$39)),ABS(AI42-ICL3_classA!$F$2:$F$39),0))</f>
        <v>73</v>
      </c>
      <c r="U42" s="1">
        <f t="array" ref="U42">INDEX(ICL3_classA!$H$2:$H$39,MATCH(MIN(ABS(AI42-ICL3_classA!$F$2:$F$39)),ABS(AI42-ICL3_classA!$F$2:$F$39),0))</f>
        <v>22</v>
      </c>
      <c r="V42" s="1">
        <v>61</v>
      </c>
      <c r="W42" s="1">
        <v>30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18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19</v>
      </c>
      <c r="AG42" s="1" t="e">
        <f>VLOOKUP(A42,'SegEnds_NonXtal_Prot#'!A:AL,28,FALSE)-VLOOKUP(A42,'SegEnds_NonXtal_Prot#'!A:AL,25,FALSE)</f>
        <v>#VALUE!</v>
      </c>
      <c r="AH42" s="1">
        <f>VLOOKUP(A42,'SegEnds_NonXtal_Prot#'!A:AL,28,FALSE)-VLOOKUP(A42,'SegEnds_NonXtal_Prot#'!A:AL,22,FALSE)</f>
        <v>45</v>
      </c>
      <c r="AI42" s="1">
        <f>VLOOKUP(A42,'SegEnds_NonXtal_Prot#'!A:AL,31,FALSE)-VLOOKUP(A42,'SegEnds_NonXtal_Prot#'!A:AL,28,FALSE)</f>
        <v>56</v>
      </c>
      <c r="AJ42" s="1">
        <f>VLOOKUP(A42,'SegEnds_NonXtal_Prot#'!A:AL,34,FALSE)-VLOOKUP(A42,'SegEnds_NonXtal_Prot#'!A:AL,31,FALSE)</f>
        <v>35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Xtal</v>
      </c>
    </row>
    <row r="43" spans="1:38" x14ac:dyDescent="0.2">
      <c r="A43" s="1" t="s">
        <v>286</v>
      </c>
      <c r="B43" s="1" t="str">
        <f>VLOOKUP(A43,Xtal_Templ!A:B,2,FALSE)</f>
        <v>lpar1_human</v>
      </c>
      <c r="C43" s="5">
        <f>VLOOKUP($B43&amp;"__wt",'SegEnds_Xtal_BW#'!$A:$Z,3,FALSE)</f>
        <v>30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63</v>
      </c>
      <c r="I43" s="1">
        <f>VLOOKUP($B43&amp;"__wt",'SegEnds_Xtal_BW#'!$A:$Z,9,FALSE)</f>
        <v>47</v>
      </c>
      <c r="J43" s="1">
        <f>VLOOKUP($B43&amp;"__wt",'SegEnds_Xtal_BW#'!$A:$Z,10,FALSE)</f>
        <v>53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08">
        <v>56</v>
      </c>
      <c r="O43" s="87">
        <f>VLOOKUP($B43&amp;"__wt",'SegEnds_Xtal_BW#'!$A:$Z,15,FALSE)</f>
        <v>38</v>
      </c>
      <c r="P43" s="1">
        <f>VLOOKUP($B43&amp;"__wt",'SegEnds_Xtal_BW#'!$A:$Z,16,FALSE)</f>
        <v>63</v>
      </c>
      <c r="Q43" s="1" t="str">
        <f>VLOOKUP($B43&amp;"__wt",'SegEnds_Xtal_BW#'!$A:$Z,17,FALSE)</f>
        <v>-</v>
      </c>
      <c r="R43" s="1" t="str">
        <f>VLOOKUP($B43&amp;"__wt",'SegEnds_Xtal_BW#'!$A:$Z,18,FALSE)</f>
        <v>-</v>
      </c>
      <c r="S43" s="1">
        <f>VLOOKUP($B43&amp;"__wt",'SegEnds_Xtal_BW#'!$A:$Z,19,FALSE)</f>
        <v>36</v>
      </c>
      <c r="T43" s="1">
        <f t="array" ref="T43">INDEX(ICL3_classA!$G$2:$G$39,MATCH(MIN(ABS(AI43-ICL3_classA!$F$2:$F$39)),ABS(AI43-ICL3_classA!$F$2:$F$39),0))</f>
        <v>73</v>
      </c>
      <c r="U43" s="1">
        <f t="array" ref="U43">INDEX(ICL3_classA!$H$2:$H$39,MATCH(MIN(ABS(AI43-ICL3_classA!$F$2:$F$39)),ABS(AI43-ICL3_classA!$F$2:$F$39),0))</f>
        <v>22</v>
      </c>
      <c r="V43" s="1">
        <v>61</v>
      </c>
      <c r="W43" s="1">
        <v>30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18</v>
      </c>
      <c r="AE43" s="1">
        <f>VLOOKUP(A43,'SegEnds_NonXtal_Prot#'!A:AL,16,FALSE)-VLOOKUP(A43,'SegEnds_NonXtal_Prot#'!A:AL,10,FALSE)</f>
        <v>51</v>
      </c>
      <c r="AF43" s="1">
        <f>VLOOKUP(A43,'SegEnds_NonXtal_Prot#'!A:AL,22,FALSE)-VLOOKUP(A43,'SegEnds_NonXtal_Prot#'!A:AL,19,FALSE)</f>
        <v>19</v>
      </c>
      <c r="AG43" s="1" t="e">
        <f>VLOOKUP(A43,'SegEnds_NonXtal_Prot#'!A:AL,28,FALSE)-VLOOKUP(A43,'SegEnds_NonXtal_Prot#'!A:AL,25,FALSE)</f>
        <v>#VALUE!</v>
      </c>
      <c r="AH43" s="1">
        <f>VLOOKUP(A43,'SegEnds_NonXtal_Prot#'!A:AL,28,FALSE)-VLOOKUP(A43,'SegEnds_NonXtal_Prot#'!A:AL,22,FALSE)</f>
        <v>45</v>
      </c>
      <c r="AI43" s="1">
        <f>VLOOKUP(A43,'SegEnds_NonXtal_Prot#'!A:AL,31,FALSE)-VLOOKUP(A43,'SegEnds_NonXtal_Prot#'!A:AL,28,FALSE)</f>
        <v>56</v>
      </c>
      <c r="AJ43" s="1">
        <f>VLOOKUP(A43,'SegEnds_NonXtal_Prot#'!A:AL,34,FALSE)-VLOOKUP(A43,'SegEnds_NonXtal_Prot#'!A:AL,31,FALSE)</f>
        <v>36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287</v>
      </c>
      <c r="B44" s="1" t="str">
        <f>VLOOKUP(A44,Xtal_Templ!A:B,2,FALSE)</f>
        <v>lpar1_human</v>
      </c>
      <c r="C44" s="5">
        <f>VLOOKUP($B44&amp;"__wt",'SegEnds_Xtal_BW#'!$A:$Z,3,FALSE)</f>
        <v>30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63</v>
      </c>
      <c r="I44" s="1">
        <f>VLOOKUP($B44&amp;"__wt",'SegEnds_Xtal_BW#'!$A:$Z,9,FALSE)</f>
        <v>47</v>
      </c>
      <c r="J44" s="1">
        <f>VLOOKUP($B44&amp;"__wt",'SegEnds_Xtal_BW#'!$A:$Z,10,FALSE)</f>
        <v>53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08">
        <v>56</v>
      </c>
      <c r="O44" s="87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INDEX(ICL3_classA!$G$2:$G$39,MATCH(MIN(ABS(AI44-ICL3_classA!$F$2:$F$39)),ABS(AI44-ICL3_classA!$F$2:$F$39),0))</f>
        <v>73</v>
      </c>
      <c r="U44" s="1">
        <f t="array" ref="U44">INDEX(ICL3_classA!$H$2:$H$39,MATCH(MIN(ABS(AI44-ICL3_classA!$F$2:$F$39)),ABS(AI44-ICL3_classA!$F$2:$F$39),0))</f>
        <v>22</v>
      </c>
      <c r="V44" s="1">
        <v>61</v>
      </c>
      <c r="W44" s="1">
        <v>30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18</v>
      </c>
      <c r="AE44" s="1">
        <f>VLOOKUP(A44,'SegEnds_NonXtal_Prot#'!A:AL,16,FALSE)-VLOOKUP(A44,'SegEnds_NonXtal_Prot#'!A:AL,10,FALSE)</f>
        <v>51</v>
      </c>
      <c r="AF44" s="1">
        <f>VLOOKUP(A44,'SegEnds_NonXtal_Prot#'!A:AL,22,FALSE)-VLOOKUP(A44,'SegEnds_NonXtal_Prot#'!A:AL,19,FALSE)</f>
        <v>19</v>
      </c>
      <c r="AG44" s="1" t="e">
        <f>VLOOKUP(A44,'SegEnds_NonXtal_Prot#'!A:AL,28,FALSE)-VLOOKUP(A44,'SegEnds_NonXtal_Prot#'!A:AL,25,FALSE)</f>
        <v>#VALUE!</v>
      </c>
      <c r="AH44" s="1">
        <f>VLOOKUP(A44,'SegEnds_NonXtal_Prot#'!A:AL,28,FALSE)-VLOOKUP(A44,'SegEnds_NonXtal_Prot#'!A:AL,22,FALSE)</f>
        <v>45</v>
      </c>
      <c r="AI44" s="1">
        <f>VLOOKUP(A44,'SegEnds_NonXtal_Prot#'!A:AL,31,FALSE)-VLOOKUP(A44,'SegEnds_NonXtal_Prot#'!A:AL,28,FALSE)</f>
        <v>56</v>
      </c>
      <c r="AJ44" s="1">
        <f>VLOOKUP(A44,'SegEnds_NonXtal_Prot#'!A:AL,34,FALSE)-VLOOKUP(A44,'SegEnds_NonXtal_Prot#'!A:AL,31,FALSE)</f>
        <v>36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4" t="s">
        <v>104</v>
      </c>
      <c r="B45" s="4" t="str">
        <f>VLOOKUP(A45,Xtal_Templ!A:B,2,FALSE)</f>
        <v>s1pr1_human</v>
      </c>
      <c r="C45" s="5">
        <f>VLOOKUP($B45&amp;"__wt",'SegEnds_Xtal_BW#'!$A:$Z,3,FALSE)</f>
        <v>29</v>
      </c>
      <c r="D45" s="4">
        <f>VLOOKUP($B45&amp;"__wt",'SegEnds_Xtal_BW#'!$A:$Z,4,FALSE)</f>
        <v>60</v>
      </c>
      <c r="E45" s="4">
        <f>VLOOKUP($B45&amp;"__wt",'SegEnds_Xtal_BW#'!$A:$Z,5,FALSE)</f>
        <v>48</v>
      </c>
      <c r="F45" s="4">
        <f>VLOOKUP($B45&amp;"__wt",'SegEnds_Xtal_BW#'!$A:$Z,6,FALSE)</f>
        <v>51</v>
      </c>
      <c r="G45" s="4">
        <v>37</v>
      </c>
      <c r="H45" s="11">
        <v>63</v>
      </c>
      <c r="I45" s="4">
        <f>VLOOKUP($B45&amp;"__wt",'SegEnds_Xtal_BW#'!$A:$Z,9,FALSE)</f>
        <v>47</v>
      </c>
      <c r="J45" s="4">
        <f>VLOOKUP($B45&amp;"__wt",'SegEnds_Xtal_BW#'!$A:$Z,10,FALSE)</f>
        <v>53</v>
      </c>
      <c r="K45" s="11">
        <f>VLOOKUP($B45&amp;"__wt",'SegEnds_Xtal_BW#'!$A:$Z,11,FALSE)</f>
        <v>21</v>
      </c>
      <c r="L45" s="4">
        <f>VLOOKUP($B45&amp;"__wt",'SegEnds_Xtal_BW#'!$A:$Z,12,FALSE)</f>
        <v>56</v>
      </c>
      <c r="M45" s="4">
        <f>VLOOKUP($B45&amp;"__wt",'SegEnds_Xtal_BW#'!$A:$Z,13,FALSE)</f>
        <v>50</v>
      </c>
      <c r="N45" s="108">
        <f>VLOOKUP($B45&amp;"__wt",'SegEnds_Xtal_BW#'!$A:$Z,14,FALSE)</f>
        <v>56</v>
      </c>
      <c r="O45" s="87">
        <f>VLOOKUP($B45&amp;"__wt",'SegEnds_Xtal_BW#'!$A:$Z,15,FALSE)</f>
        <v>38</v>
      </c>
      <c r="P45" s="4">
        <f>VLOOKUP($B45&amp;"__wt",'SegEnds_Xtal_BW#'!$A:$Z,16,FALSE)</f>
        <v>63</v>
      </c>
      <c r="Q45" s="4" t="str">
        <f>VLOOKUP($B45&amp;"__wt",'SegEnds_Xtal_BW#'!$A:$Z,17,FALSE)</f>
        <v>-</v>
      </c>
      <c r="R45" s="4" t="str">
        <f>VLOOKUP($B45&amp;"__wt",'SegEnds_Xtal_BW#'!$A:$Z,18,FALSE)</f>
        <v>-</v>
      </c>
      <c r="S45" s="4">
        <f>VLOOKUP($B45&amp;"__wt",'SegEnds_Xtal_BW#'!$A:$Z,19,FALSE)</f>
        <v>36</v>
      </c>
      <c r="T45" s="4">
        <f t="array" ref="T45">INDEX(ICL3_classA!$G$2:$G$39,MATCH(MIN(ABS(AI45-ICL3_classA!$F$2:$F$39)),ABS(AI45-ICL3_classA!$F$2:$F$39),0))</f>
        <v>73</v>
      </c>
      <c r="U45" s="4">
        <f t="array" ref="U45">INDEX(ICL3_classA!$H$2:$H$39,MATCH(MIN(ABS(AI45-ICL3_classA!$F$2:$F$39)),ABS(AI45-ICL3_classA!$F$2:$F$39),0))</f>
        <v>24</v>
      </c>
      <c r="V45" s="4">
        <v>61</v>
      </c>
      <c r="W45" s="4">
        <v>30</v>
      </c>
      <c r="X45" s="1">
        <f>VLOOKUP($B45&amp;"__wt",'SegEnds_Xtal_BW#'!$A:$Z,24,FALSE)</f>
        <v>56</v>
      </c>
      <c r="Y45" s="4">
        <f>VLOOKUP($B45&amp;"__wt",'SegEnds_Xtal_BW#'!$A:$Z,25,FALSE)</f>
        <v>47</v>
      </c>
      <c r="Z45" s="4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4">
        <f>VLOOKUP(A45,'SegEnds_NonXtal_Prot#'!A:AL,10,FALSE)-VLOOKUP(A45,'SegEnds_NonXtal_Prot#'!A:AL,7,FALSE)</f>
        <v>15</v>
      </c>
      <c r="AD45" s="4">
        <f>VLOOKUP(A45,'SegEnds_NonXtal_Prot#'!A:AL,13,FALSE)-VLOOKUP(A45,'SegEnds_NonXtal_Prot#'!A:AL,10,FALSE)</f>
        <v>18</v>
      </c>
      <c r="AE45" s="4">
        <f>VLOOKUP(A45,'SegEnds_NonXtal_Prot#'!A:AL,16,FALSE)-VLOOKUP(A45,'SegEnds_NonXtal_Prot#'!A:AL,10,FALSE)</f>
        <v>51</v>
      </c>
      <c r="AF45" s="1">
        <f>VLOOKUP(A45,'SegEnds_NonXtal_Prot#'!A:AL,22,FALSE)-VLOOKUP(A45,'SegEnds_NonXtal_Prot#'!A:AL,19,FALSE)</f>
        <v>19</v>
      </c>
      <c r="AG45" s="4" t="e">
        <f>VLOOKUP(A45,'SegEnds_NonXtal_Prot#'!A:AL,28,FALSE)-VLOOKUP(A45,'SegEnds_NonXtal_Prot#'!A:AL,25,FALSE)</f>
        <v>#VALUE!</v>
      </c>
      <c r="AH45" s="1">
        <f>VLOOKUP(A45,'SegEnds_NonXtal_Prot#'!A:AL,28,FALSE)-VLOOKUP(A45,'SegEnds_NonXtal_Prot#'!A:AL,22,FALSE)</f>
        <v>45</v>
      </c>
      <c r="AI45" s="4">
        <f>VLOOKUP(A45,'SegEnds_NonXtal_Prot#'!A:AL,31,FALSE)-VLOOKUP(A45,'SegEnds_NonXtal_Prot#'!A:AL,28,FALSE)</f>
        <v>58</v>
      </c>
      <c r="AJ45" s="4">
        <f>VLOOKUP(A45,'SegEnds_NonXtal_Prot#'!A:AL,34,FALSE)-VLOOKUP(A45,'SegEnds_NonXtal_Prot#'!A:AL,31,FALSE)</f>
        <v>37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377</v>
      </c>
      <c r="B46" s="1" t="str">
        <f>VLOOKUP(A46,Xtal_Templ!A:B,2,FALSE)</f>
        <v>s1pr1_human</v>
      </c>
      <c r="C46" s="5">
        <f>VLOOKUP($B46&amp;"__wt",'SegEnds_Xtal_BW#'!$A:$Z,3,FALSE)</f>
        <v>29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63</v>
      </c>
      <c r="I46" s="1">
        <f>VLOOKUP($B46&amp;"__wt",'SegEnds_Xtal_BW#'!$A:$Z,9,FALSE)</f>
        <v>47</v>
      </c>
      <c r="J46" s="1">
        <f>VLOOKUP($B46&amp;"__wt",'SegEnds_Xtal_BW#'!$A:$Z,10,FALSE)</f>
        <v>53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08">
        <v>56</v>
      </c>
      <c r="O46" s="87">
        <f>VLOOKUP($B46&amp;"__wt",'SegEnds_Xtal_BW#'!$A:$Z,15,FALSE)</f>
        <v>38</v>
      </c>
      <c r="P46" s="1">
        <f>VLOOKUP($B46&amp;"__wt",'SegEnds_Xtal_BW#'!$A:$Z,16,FALSE)</f>
        <v>63</v>
      </c>
      <c r="Q46" s="1" t="str">
        <f>VLOOKUP($B46&amp;"__wt",'SegEnds_Xtal_BW#'!$A:$Z,17,FALSE)</f>
        <v>-</v>
      </c>
      <c r="R46" s="1" t="str">
        <f>VLOOKUP($B46&amp;"__wt",'SegEnds_Xtal_BW#'!$A:$Z,18,FALSE)</f>
        <v>-</v>
      </c>
      <c r="S46" s="1">
        <f>VLOOKUP($B46&amp;"__wt",'SegEnds_Xtal_BW#'!$A:$Z,19,FALSE)</f>
        <v>36</v>
      </c>
      <c r="T46" s="1">
        <f t="array" ref="T46">INDEX(ICL3_classA!$G$2:$G$39,MATCH(MIN(ABS(AI46-ICL3_classA!$F$2:$F$39)),ABS(AI46-ICL3_classA!$F$2:$F$39),0))</f>
        <v>67</v>
      </c>
      <c r="U46" s="1">
        <f t="array" ref="U46">INDEX(ICL3_classA!$H$2:$H$39,MATCH(MIN(ABS(AI46-ICL3_classA!$F$2:$F$39)),ABS(AI46-ICL3_classA!$F$2:$F$39),0))</f>
        <v>26</v>
      </c>
      <c r="V46" s="1">
        <v>61</v>
      </c>
      <c r="W46" s="1">
        <v>30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18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19</v>
      </c>
      <c r="AG46" s="1" t="e">
        <f>VLOOKUP(A46,'SegEnds_NonXtal_Prot#'!A:AL,28,FALSE)-VLOOKUP(A46,'SegEnds_NonXtal_Prot#'!A:AL,25,FALSE)</f>
        <v>#VALUE!</v>
      </c>
      <c r="AH46" s="1">
        <f>VLOOKUP(A46,'SegEnds_NonXtal_Prot#'!A:AL,28,FALSE)-VLOOKUP(A46,'SegEnds_NonXtal_Prot#'!A:AL,22,FALSE)</f>
        <v>45</v>
      </c>
      <c r="AI46" s="1">
        <f>VLOOKUP(A46,'SegEnds_NonXtal_Prot#'!A:AL,31,FALSE)-VLOOKUP(A46,'SegEnds_NonXtal_Prot#'!A:AL,28,FALSE)</f>
        <v>47</v>
      </c>
      <c r="AJ46" s="1">
        <f>VLOOKUP(A46,'SegEnds_NonXtal_Prot#'!A:AL,34,FALSE)-VLOOKUP(A46,'SegEnds_NonXtal_Prot#'!A:AL,31,FALSE)</f>
        <v>37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378</v>
      </c>
      <c r="B47" s="1" t="str">
        <f>VLOOKUP(A47,Xtal_Templ!A:B,2,FALSE)</f>
        <v>s1pr1_human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08">
        <v>56</v>
      </c>
      <c r="O47" s="87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INDEX(ICL3_classA!$G$2:$G$39,MATCH(MIN(ABS(AI47-ICL3_classA!$F$2:$F$39)),ABS(AI47-ICL3_classA!$F$2:$F$39),0))</f>
        <v>68</v>
      </c>
      <c r="U47" s="1">
        <f t="array" ref="U47">INDEX(ICL3_classA!$H$2:$H$39,MATCH(MIN(ABS(AI47-ICL3_classA!$F$2:$F$39)),ABS(AI47-ICL3_classA!$F$2:$F$39),0))</f>
        <v>23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18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19</v>
      </c>
      <c r="AG47" s="1" t="e">
        <f>VLOOKUP(A47,'SegEnds_NonXtal_Prot#'!A:AL,28,FALSE)-VLOOKUP(A47,'SegEnds_NonXtal_Prot#'!A:AL,25,FALSE)</f>
        <v>#VALUE!</v>
      </c>
      <c r="AH47" s="1">
        <f>VLOOKUP(A47,'SegEnds_NonXtal_Prot#'!A:AL,28,FALSE)-VLOOKUP(A47,'SegEnds_NonXtal_Prot#'!A:AL,22,FALSE)</f>
        <v>45</v>
      </c>
      <c r="AI47" s="1">
        <f>VLOOKUP(A47,'SegEnds_NonXtal_Prot#'!A:AL,31,FALSE)-VLOOKUP(A47,'SegEnds_NonXtal_Prot#'!A:AL,28,FALSE)</f>
        <v>51</v>
      </c>
      <c r="AJ47" s="1">
        <f>VLOOKUP(A47,'SegEnds_NonXtal_Prot#'!A:AL,34,FALSE)-VLOOKUP(A47,'SegEnds_NonXtal_Prot#'!A:AL,31,FALSE)</f>
        <v>37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1" t="s">
        <v>379</v>
      </c>
      <c r="B48" s="1" t="str">
        <f>VLOOKUP(A48,Xtal_Templ!A:B,2,FALSE)</f>
        <v>s1pr1_human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63</v>
      </c>
      <c r="I48" s="1">
        <f>VLOOKUP($B48&amp;"__wt",'SegEnds_Xtal_BW#'!$A:$Z,9,FALSE)</f>
        <v>47</v>
      </c>
      <c r="J48" s="1">
        <f>VLOOKUP($B48&amp;"__wt",'SegEnds_Xtal_BW#'!$A:$Z,10,FALSE)</f>
        <v>53</v>
      </c>
      <c r="K48" s="12">
        <v>21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63</v>
      </c>
      <c r="Q48" s="1" t="str">
        <f>VLOOKUP($B48&amp;"__wt",'SegEnds_Xtal_BW#'!$A:$Z,17,FALSE)</f>
        <v>-</v>
      </c>
      <c r="R48" s="1" t="str">
        <f>VLOOKUP($B48&amp;"__wt",'SegEnds_Xtal_BW#'!$A:$Z,18,FALSE)</f>
        <v>-</v>
      </c>
      <c r="S48" s="1">
        <f>VLOOKUP($B48&amp;"__wt",'SegEnds_Xtal_BW#'!$A:$Z,19,FALSE)</f>
        <v>36</v>
      </c>
      <c r="T48" s="1">
        <f t="array" ref="T48">INDEX(ICL3_classA!$G$2:$G$39,MATCH(MIN(ABS(AI48-ICL3_classA!$F$2:$F$39)),ABS(AI48-ICL3_classA!$F$2:$F$39),0))</f>
        <v>68</v>
      </c>
      <c r="U48" s="1">
        <f t="array" ref="U48">INDEX(ICL3_classA!$H$2:$H$39,MATCH(MIN(ABS(AI48-ICL3_classA!$F$2:$F$39)),ABS(AI48-ICL3_classA!$F$2:$F$39),0))</f>
        <v>23</v>
      </c>
      <c r="V48" s="1">
        <v>61</v>
      </c>
      <c r="W48" s="131">
        <f>VLOOKUP($B48&amp;"__wt",'SegEnds_Xtal_BW#'!$A:$Z,23,FALSE)</f>
        <v>30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51</v>
      </c>
      <c r="AF48" s="1">
        <f>VLOOKUP(A48,'SegEnds_NonXtal_Prot#'!A:AL,22,FALSE)-VLOOKUP(A48,'SegEnds_NonXtal_Prot#'!A:AL,19,FALSE)</f>
        <v>20</v>
      </c>
      <c r="AG48" s="1" t="e">
        <f>VLOOKUP(A48,'SegEnds_NonXtal_Prot#'!A:AL,28,FALSE)-VLOOKUP(A48,'SegEnds_NonXtal_Prot#'!A:AL,25,FALSE)</f>
        <v>#VALUE!</v>
      </c>
      <c r="AH48" s="1">
        <f>VLOOKUP(A48,'SegEnds_NonXtal_Prot#'!A:AL,28,FALSE)-VLOOKUP(A48,'SegEnds_NonXtal_Prot#'!A:AL,22,FALSE)</f>
        <v>45</v>
      </c>
      <c r="AI48" s="1">
        <f>VLOOKUP(A48,'SegEnds_NonXtal_Prot#'!A:AL,31,FALSE)-VLOOKUP(A48,'SegEnds_NonXtal_Prot#'!A:AL,28,FALSE)</f>
        <v>51</v>
      </c>
      <c r="AJ48" s="1">
        <f>VLOOKUP(A48,'SegEnds_NonXtal_Prot#'!A:AL,34,FALSE)-VLOOKUP(A48,'SegEnds_NonXtal_Prot#'!A:AL,31,FALSE)</f>
        <v>38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380</v>
      </c>
      <c r="B49" s="1" t="str">
        <f>VLOOKUP(A49,Xtal_Templ!A:B,2,FALSE)</f>
        <v>s1pr1_human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63</v>
      </c>
      <c r="I49" s="1">
        <f>VLOOKUP($B49&amp;"__wt",'SegEnds_Xtal_BW#'!$A:$Z,9,FALSE)</f>
        <v>47</v>
      </c>
      <c r="J49" s="1">
        <f>VLOOKUP($B49&amp;"__wt",'SegEnds_Xtal_BW#'!$A:$Z,10,FALSE)</f>
        <v>53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08">
        <v>56</v>
      </c>
      <c r="O49" s="87">
        <f>VLOOKUP($B49&amp;"__wt",'SegEnds_Xtal_BW#'!$A:$Z,15,FALSE)</f>
        <v>38</v>
      </c>
      <c r="P49" s="1">
        <f>VLOOKUP($B49&amp;"__wt",'SegEnds_Xtal_BW#'!$A:$Z,16,FALSE)</f>
        <v>63</v>
      </c>
      <c r="Q49" s="1" t="str">
        <f>VLOOKUP($B49&amp;"__wt",'SegEnds_Xtal_BW#'!$A:$Z,17,FALSE)</f>
        <v>-</v>
      </c>
      <c r="R49" s="1" t="str">
        <f>VLOOKUP($B49&amp;"__wt",'SegEnds_Xtal_BW#'!$A:$Z,18,FALSE)</f>
        <v>-</v>
      </c>
      <c r="S49" s="1">
        <f>VLOOKUP($B49&amp;"__wt",'SegEnds_Xtal_BW#'!$A:$Z,19,FALSE)</f>
        <v>36</v>
      </c>
      <c r="T49" s="1">
        <f t="array" ref="T49">INDEX(ICL3_classA!$G$2:$G$39,MATCH(MIN(ABS(AI49-ICL3_classA!$F$2:$F$39)),ABS(AI49-ICL3_classA!$F$2:$F$39),0))</f>
        <v>74</v>
      </c>
      <c r="U49" s="1">
        <f t="array" ref="U49">INDEX(ICL3_classA!$H$2:$H$39,MATCH(MIN(ABS(AI49-ICL3_classA!$F$2:$F$39)),ABS(AI49-ICL3_classA!$F$2:$F$39),0))</f>
        <v>21</v>
      </c>
      <c r="V49" s="1">
        <v>61</v>
      </c>
      <c r="W49" s="1">
        <v>30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18</v>
      </c>
      <c r="AE49" s="1">
        <f>VLOOKUP(A49,'SegEnds_NonXtal_Prot#'!A:AL,16,FALSE)-VLOOKUP(A49,'SegEnds_NonXtal_Prot#'!A:AL,10,FALSE)</f>
        <v>51</v>
      </c>
      <c r="AF49" s="1">
        <f>VLOOKUP(A49,'SegEnds_NonXtal_Prot#'!A:AL,22,FALSE)-VLOOKUP(A49,'SegEnds_NonXtal_Prot#'!A:AL,19,FALSE)</f>
        <v>19</v>
      </c>
      <c r="AG49" s="1" t="e">
        <f>VLOOKUP(A49,'SegEnds_NonXtal_Prot#'!A:AL,28,FALSE)-VLOOKUP(A49,'SegEnds_NonXtal_Prot#'!A:AL,25,FALSE)</f>
        <v>#VALUE!</v>
      </c>
      <c r="AH49" s="1">
        <f>VLOOKUP(A49,'SegEnds_NonXtal_Prot#'!A:AL,28,FALSE)-VLOOKUP(A49,'SegEnds_NonXtal_Prot#'!A:AL,22,FALSE)</f>
        <v>45</v>
      </c>
      <c r="AI49" s="1">
        <f>VLOOKUP(A49,'SegEnds_NonXtal_Prot#'!A:AL,31,FALSE)-VLOOKUP(A49,'SegEnds_NonXtal_Prot#'!A:AL,28,FALSE)</f>
        <v>62</v>
      </c>
      <c r="AJ49" s="1">
        <f>VLOOKUP(A49,'SegEnds_NonXtal_Prot#'!A:AL,34,FALSE)-VLOOKUP(A49,'SegEnds_NonXtal_Prot#'!A:AL,31,FALSE)</f>
        <v>37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128</v>
      </c>
      <c r="B50" s="1" t="str">
        <f>VLOOKUP(A50,Xtal_Templ!A:B,2,FALSE)</f>
        <v>5ht1b_human</v>
      </c>
      <c r="C50" s="5">
        <f>VLOOKUP($B50&amp;"__wt",'SegEnds_Xtal_BW#'!$A:$Z,3,FALSE)</f>
        <v>28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68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7"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INDEX(ICL3_classA!$G$2:$G$39,MATCH(MIN(ABS(AI50-ICL3_classA!$F$2:$F$39)),ABS(AI50-ICL3_classA!$F$2:$F$39),0))</f>
        <v>76</v>
      </c>
      <c r="U50" s="1">
        <f t="array" ref="U50">INDEX(ICL3_classA!$H$2:$H$39,MATCH(MIN(ABS(AI50-ICL3_classA!$F$2:$F$39)),ABS(AI50-ICL3_classA!$F$2:$F$39),0))</f>
        <v>24</v>
      </c>
      <c r="V50" s="1">
        <v>60</v>
      </c>
      <c r="W50" s="1">
        <v>31</v>
      </c>
      <c r="X50" s="124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58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20</v>
      </c>
      <c r="AE50" s="1">
        <f>VLOOKUP(A50,'SegEnds_NonXtal_Prot#'!A:AL,16,FALSE)-VLOOKUP(A50,'SegEnds_NonXtal_Prot#'!A:AL,10,FALSE)</f>
        <v>52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20</v>
      </c>
      <c r="AH50" s="1">
        <f>VLOOKUP(A50,'SegEnds_NonXtal_Prot#'!A:AL,28,FALSE)-VLOOKUP(A50,'SegEnds_NonXtal_Prot#'!A:AL,22,FALSE)</f>
        <v>46</v>
      </c>
      <c r="AI50" s="1">
        <f>VLOOKUP(A50,'SegEnds_NonXtal_Prot#'!A:AL,31,FALSE)-VLOOKUP(A50,'SegEnds_NonXtal_Prot#'!A:AL,28,FALSE)</f>
        <v>153</v>
      </c>
      <c r="AJ50" s="1">
        <f>VLOOKUP(A50,'SegEnds_NonXtal_Prot#'!A:AL,34,FALSE)-VLOOKUP(A50,'SegEnds_NonXtal_Prot#'!A:AL,31,FALSE)</f>
        <v>37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34</v>
      </c>
      <c r="B51" s="1" t="str">
        <f>VLOOKUP(A51,Xtal_Templ!A:B,2,FALSE)</f>
        <v>5ht1b_human</v>
      </c>
      <c r="C51" s="5">
        <f>VLOOKUP($B51&amp;"__wt",'SegEnds_Xtal_BW#'!$A:$Z,3,FALSE)</f>
        <v>28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68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INDEX(ICL3_classA!$G$2:$G$39,MATCH(MIN(ABS(AI51-ICL3_classA!$F$2:$F$39)),ABS(AI51-ICL3_classA!$F$2:$F$39),0))</f>
        <v>74</v>
      </c>
      <c r="U51" s="1">
        <f t="array" ref="U51">INDEX(ICL3_classA!$H$2:$H$39,MATCH(MIN(ABS(AI51-ICL3_classA!$F$2:$F$39)),ABS(AI51-ICL3_classA!$F$2:$F$39),0))</f>
        <v>24</v>
      </c>
      <c r="V51" s="1">
        <v>60</v>
      </c>
      <c r="W51" s="1">
        <v>31</v>
      </c>
      <c r="X51" s="124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20</v>
      </c>
      <c r="AE51" s="1">
        <f>VLOOKUP(A51,'SegEnds_NonXtal_Prot#'!A:AL,16,FALSE)-VLOOKUP(A51,'SegEnds_NonXtal_Prot#'!A:AL,10,FALSE)</f>
        <v>52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21</v>
      </c>
      <c r="AH51" s="1">
        <f>VLOOKUP(A51,'SegEnds_NonXtal_Prot#'!A:AL,28,FALSE)-VLOOKUP(A51,'SegEnds_NonXtal_Prot#'!A:AL,22,FALSE)</f>
        <v>46</v>
      </c>
      <c r="AI51" s="1">
        <f>VLOOKUP(A51,'SegEnds_NonXtal_Prot#'!A:AL,31,FALSE)-VLOOKUP(A51,'SegEnds_NonXtal_Prot#'!A:AL,28,FALSE)</f>
        <v>109</v>
      </c>
      <c r="AJ51" s="1">
        <f>VLOOKUP(A51,'SegEnds_NonXtal_Prot#'!A:AL,34,FALSE)-VLOOKUP(A51,'SegEnds_NonXtal_Prot#'!A:AL,31,FALSE)</f>
        <v>37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Xtal</v>
      </c>
    </row>
    <row r="52" spans="1:38" x14ac:dyDescent="0.2">
      <c r="A52" s="1" t="s">
        <v>129</v>
      </c>
      <c r="B52" s="1" t="str">
        <f>VLOOKUP(A52,Xtal_Templ!A:B,2,FALSE)</f>
        <v>5ht1b_human</v>
      </c>
      <c r="C52" s="5">
        <f>VLOOKUP($B52&amp;"__wt",'SegEnds_Xtal_BW#'!$A:$Z,3,FALSE)</f>
        <v>28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68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INDEX(ICL3_classA!$G$2:$G$39,MATCH(MIN(ABS(AI52-ICL3_classA!$F$2:$F$39)),ABS(AI52-ICL3_classA!$F$2:$F$39),0))</f>
        <v>74</v>
      </c>
      <c r="U52" s="1">
        <f t="array" ref="U52">INDEX(ICL3_classA!$H$2:$H$39,MATCH(MIN(ABS(AI52-ICL3_classA!$F$2:$F$39)),ABS(AI52-ICL3_classA!$F$2:$F$39),0))</f>
        <v>24</v>
      </c>
      <c r="V52" s="1">
        <v>60</v>
      </c>
      <c r="W52" s="1">
        <v>31</v>
      </c>
      <c r="X52" s="124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20</v>
      </c>
      <c r="AE52" s="1">
        <f>VLOOKUP(A52,'SegEnds_NonXtal_Prot#'!A:AL,16,FALSE)-VLOOKUP(A52,'SegEnds_NonXtal_Prot#'!A:AL,10,FALSE)</f>
        <v>52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21</v>
      </c>
      <c r="AH52" s="1">
        <f>VLOOKUP(A52,'SegEnds_NonXtal_Prot#'!A:AL,28,FALSE)-VLOOKUP(A52,'SegEnds_NonXtal_Prot#'!A:AL,22,FALSE)</f>
        <v>46</v>
      </c>
      <c r="AI52" s="1">
        <f>VLOOKUP(A52,'SegEnds_NonXtal_Prot#'!A:AL,31,FALSE)-VLOOKUP(A52,'SegEnds_NonXtal_Prot#'!A:AL,28,FALSE)</f>
        <v>107</v>
      </c>
      <c r="AJ52" s="1">
        <f>VLOOKUP(A52,'SegEnds_NonXtal_Prot#'!A:AL,34,FALSE)-VLOOKUP(A52,'SegEnds_NonXtal_Prot#'!A:AL,31,FALSE)</f>
        <v>37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132</v>
      </c>
      <c r="B53" s="1" t="str">
        <f>VLOOKUP(A53,Xtal_Templ!A:B,2,FALSE)</f>
        <v>5ht2a_human</v>
      </c>
      <c r="C53" s="5">
        <f>VLOOKUP($B53&amp;"__wt",'SegEnds_Xtal_BW#'!$A:$Z,3,FALSE)</f>
        <v>27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68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67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INDEX(ICL3_classA!$G$2:$G$39,MATCH(MIN(ABS(AI53-ICL3_classA!$F$2:$F$39)),ABS(AI53-ICL3_classA!$F$2:$F$39),0))</f>
        <v>76</v>
      </c>
      <c r="U53" s="1">
        <f t="array" ref="U53">INDEX(ICL3_classA!$H$2:$H$39,MATCH(MIN(ABS(AI53-ICL3_classA!$F$2:$F$39)),ABS(AI53-ICL3_classA!$F$2:$F$39),0))</f>
        <v>24</v>
      </c>
      <c r="V53" s="1">
        <v>61</v>
      </c>
      <c r="W53" s="131">
        <v>27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60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21</v>
      </c>
      <c r="AE53" s="1">
        <f>VLOOKUP(A53,'SegEnds_NonXtal_Prot#'!A:AL,16,FALSE)-VLOOKUP(A53,'SegEnds_NonXtal_Prot#'!A:AL,10,FALSE)</f>
        <v>53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19</v>
      </c>
      <c r="AH53" s="1">
        <f>VLOOKUP(A53,'SegEnds_NonXtal_Prot#'!A:AL,28,FALSE)-VLOOKUP(A53,'SegEnds_NonXtal_Prot#'!A:AL,22,FALSE)</f>
        <v>46</v>
      </c>
      <c r="AI53" s="1">
        <f>VLOOKUP(A53,'SegEnds_NonXtal_Prot#'!A:AL,31,FALSE)-VLOOKUP(A53,'SegEnds_NonXtal_Prot#'!A:AL,28,FALSE)</f>
        <v>92</v>
      </c>
      <c r="AJ53" s="1">
        <f>VLOOKUP(A53,'SegEnds_NonXtal_Prot#'!A:AL,34,FALSE)-VLOOKUP(A53,'SegEnds_NonXtal_Prot#'!A:AL,31,FALSE)</f>
        <v>39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Xtal</v>
      </c>
    </row>
    <row r="54" spans="1:38" x14ac:dyDescent="0.2">
      <c r="A54" s="1" t="s">
        <v>135</v>
      </c>
      <c r="B54" s="1" t="str">
        <f>VLOOKUP(A54,Xtal_Templ!A:B,2,FALSE)</f>
        <v>5ht1b_human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7">
        <f>VLOOKUP($B54&amp;"__wt",'SegEnds_Xtal_BW#'!$A:$Z,15,FALSE)</f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35</v>
      </c>
      <c r="T54" s="1">
        <f t="array" ref="T54">INDEX(ICL3_classA!$G$2:$G$39,MATCH(MIN(ABS(AI54-ICL3_classA!$F$2:$F$39)),ABS(AI54-ICL3_classA!$F$2:$F$39),0))</f>
        <v>76</v>
      </c>
      <c r="U54" s="1">
        <f t="array" ref="U54">INDEX(ICL3_classA!$H$2:$H$39,MATCH(MIN(ABS(AI54-ICL3_classA!$F$2:$F$39)),ABS(AI54-ICL3_classA!$F$2:$F$39),0))</f>
        <v>24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21</v>
      </c>
      <c r="AE54" s="1">
        <f>VLOOKUP(A54,'SegEnds_NonXtal_Prot#'!A:AL,16,FALSE)-VLOOKUP(A54,'SegEnds_NonXtal_Prot#'!A:AL,10,FALSE)</f>
        <v>53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20</v>
      </c>
      <c r="AH54" s="1">
        <f>VLOOKUP(A54,'SegEnds_NonXtal_Prot#'!A:AL,28,FALSE)-VLOOKUP(A54,'SegEnds_NonXtal_Prot#'!A:AL,22,FALSE)</f>
        <v>46</v>
      </c>
      <c r="AI54" s="1">
        <f>VLOOKUP(A54,'SegEnds_NonXtal_Prot#'!A:AL,31,FALSE)-VLOOKUP(A54,'SegEnds_NonXtal_Prot#'!A:AL,28,FALSE)</f>
        <v>88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157</v>
      </c>
      <c r="B55" s="1" t="str">
        <f>VLOOKUP(A55,Xtal_Templ!A:B,2,FALSE)</f>
        <v>drd2_human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68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v>38</v>
      </c>
      <c r="P55" s="1">
        <f>VLOOKUP($B55&amp;"__wt",'SegEnds_Xtal_BW#'!$A:$Z,16,FALSE)</f>
        <v>62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INDEX(ICL3_classA!$G$2:$G$39,MATCH(MIN(ABS(AI55-ICL3_classA!$F$2:$F$39)),ABS(AI55-ICL3_classA!$F$2:$F$39),0))</f>
        <v>75</v>
      </c>
      <c r="U55" s="1">
        <f t="array" ref="U55">INDEX(ICL3_classA!$H$2:$H$39,MATCH(MIN(ABS(AI55-ICL3_classA!$F$2:$F$39)),ABS(AI55-ICL3_classA!$F$2:$F$39),0))</f>
        <v>24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20</v>
      </c>
      <c r="AH55" s="1">
        <f>VLOOKUP(A55,'SegEnds_NonXtal_Prot#'!A:AL,28,FALSE)-VLOOKUP(A55,'SegEnds_NonXtal_Prot#'!A:AL,22,FALSE)</f>
        <v>46</v>
      </c>
      <c r="AI55" s="1">
        <f>VLOOKUP(A55,'SegEnds_NonXtal_Prot#'!A:AL,31,FALSE)-VLOOKUP(A55,'SegEnds_NonXtal_Prot#'!A:AL,28,FALSE)</f>
        <v>175</v>
      </c>
      <c r="AJ55" s="1">
        <f>VLOOKUP(A55,'SegEnds_NonXtal_Prot#'!A:AL,34,FALSE)-VLOOKUP(A55,'SegEnds_NonXtal_Prot#'!A:AL,31,FALSE)</f>
        <v>37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213</v>
      </c>
      <c r="B56" s="1" t="str">
        <f>VLOOKUP(A56,Xtal_Templ!A:B,2,FALSE)</f>
        <v>5ht2a_human</v>
      </c>
      <c r="C56" s="5">
        <f>VLOOKUP($B56&amp;"__wt",'SegEnds_Xtal_BW#'!$A:$Z,3,FALSE)</f>
        <v>27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08">
        <v>66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67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INDEX(ICL3_classA!$G$2:$G$39,MATCH(MIN(ABS(AI56-ICL3_classA!$F$2:$F$39)),ABS(AI56-ICL3_classA!$F$2:$F$39),0))</f>
        <v>74</v>
      </c>
      <c r="U56" s="1">
        <f t="array" ref="U56">INDEX(ICL3_classA!$H$2:$H$39,MATCH(MIN(ABS(AI56-ICL3_classA!$F$2:$F$39)),ABS(AI56-ICL3_classA!$F$2:$F$39),0))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60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29</v>
      </c>
      <c r="AC56" s="1" t="e">
        <f>VLOOKUP(A56,'SegEnds_NonXtal_Prot#'!A:AL,10,FALSE)-VLOOKUP(A56,'SegEnds_NonXtal_Prot#'!A:AL,7,FALSE)</f>
        <v>#VALUE!</v>
      </c>
      <c r="AD56" s="1" t="e">
        <f>VLOOKUP(A56,'SegEnds_NonXtal_Prot#'!A:AL,13,FALSE)-VLOOKUP(A56,'SegEnds_NonXtal_Prot#'!A:AL,10,FALSE)</f>
        <v>#VALUE!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21</v>
      </c>
      <c r="AH56" s="1">
        <f>VLOOKUP(A56,'SegEnds_NonXtal_Prot#'!A:AL,28,FALSE)-VLOOKUP(A56,'SegEnds_NonXtal_Prot#'!A:AL,22,FALSE)</f>
        <v>46</v>
      </c>
      <c r="AI56" s="1">
        <f>VLOOKUP(A56,'SegEnds_NonXtal_Prot#'!A:AL,31,FALSE)-VLOOKUP(A56,'SegEnds_NonXtal_Prot#'!A:AL,28,FALSE)</f>
        <v>64</v>
      </c>
      <c r="AJ56" s="1">
        <f>VLOOKUP(A56,'SegEnds_NonXtal_Prot#'!A:AL,34,FALSE)-VLOOKUP(A56,'SegEnds_NonXtal_Prot#'!A:AL,31,FALSE)</f>
        <v>36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281</v>
      </c>
      <c r="B57" s="1" t="str">
        <f>VLOOKUP(A57,Xtal_Templ!A:B,2,FALSE)</f>
        <v>acm3_rat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66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58</v>
      </c>
      <c r="O57" s="87">
        <v>38</v>
      </c>
      <c r="P57" s="1"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INDEX(ICL3_classA!$G$2:$G$39,MATCH(MIN(ABS(AI57-ICL3_classA!$F$2:$F$39)),ABS(AI57-ICL3_classA!$F$2:$F$39),0))</f>
        <v>76</v>
      </c>
      <c r="U57" s="1">
        <f t="array" ref="U57">INDEX(ICL3_classA!$H$2:$H$39,MATCH(MIN(ABS(AI57-ICL3_classA!$F$2:$F$39)),ABS(AI57-ICL3_classA!$F$2:$F$39),0))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60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19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21</v>
      </c>
      <c r="AG57" s="1">
        <f>VLOOKUP(A57,'SegEnds_NonXtal_Prot#'!A:AL,28,FALSE)-VLOOKUP(A57,'SegEnds_NonXtal_Prot#'!A:AL,25,FALSE)</f>
        <v>22</v>
      </c>
      <c r="AH57" s="1">
        <f>VLOOKUP(A57,'SegEnds_NonXtal_Prot#'!A:AL,28,FALSE)-VLOOKUP(A57,'SegEnds_NonXtal_Prot#'!A:AL,22,FALSE)</f>
        <v>46</v>
      </c>
      <c r="AI57" s="1">
        <f>VLOOKUP(A57,'SegEnds_NonXtal_Prot#'!A:AL,31,FALSE)-VLOOKUP(A57,'SegEnds_NonXtal_Prot#'!A:AL,28,FALSE)</f>
        <v>132</v>
      </c>
      <c r="AJ57" s="1">
        <f>VLOOKUP(A57,'SegEnds_NonXtal_Prot#'!A:AL,34,FALSE)-VLOOKUP(A57,'SegEnds_NonXtal_Prot#'!A:AL,31,FALSE)</f>
        <v>37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130</v>
      </c>
      <c r="B58" s="1" t="str">
        <f>VLOOKUP(A58,Xtal_Templ!A:B,2,FALSE)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35</v>
      </c>
      <c r="T58" s="1">
        <f t="array" ref="T58">INDEX(ICL3_classA!$G$2:$G$39,MATCH(MIN(ABS(AI58-ICL3_classA!$F$2:$F$39)),ABS(AI58-ICL3_classA!$F$2:$F$39),0))</f>
        <v>76</v>
      </c>
      <c r="U58" s="1">
        <f t="array" ref="U58">INDEX(ICL3_classA!$H$2:$H$39,MATCH(MIN(ABS(AI58-ICL3_classA!$F$2:$F$39)),ABS(AI58-ICL3_classA!$F$2:$F$39),0))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21</v>
      </c>
      <c r="AH58" s="1">
        <f>VLOOKUP(A58,'SegEnds_NonXtal_Prot#'!A:AL,28,FALSE)-VLOOKUP(A58,'SegEnds_NonXtal_Prot#'!A:AL,22,FALSE)</f>
        <v>47</v>
      </c>
      <c r="AI58" s="1">
        <f>VLOOKUP(A58,'SegEnds_NonXtal_Prot#'!A:AL,31,FALSE)-VLOOKUP(A58,'SegEnds_NonXtal_Prot#'!A:AL,28,FALSE)</f>
        <v>112</v>
      </c>
      <c r="AJ58" s="1">
        <f>VLOOKUP(A58,'SegEnds_NonXtal_Prot#'!A:AL,34,FALSE)-VLOOKUP(A58,'SegEnds_NonXtal_Prot#'!A:AL,31,FALSE)</f>
        <v>35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133</v>
      </c>
      <c r="B59" s="1" t="str">
        <f>VLOOKUP(A59,Xtal_Templ!A:B,2,FALSE)</f>
        <v>5ht2c_human</v>
      </c>
      <c r="C59" s="5">
        <f>VLOOKUP($B59&amp;"__wt",'SegEnds_Xtal_BW#'!$A:$Z,3,FALSE)</f>
        <v>33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68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67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35</v>
      </c>
      <c r="T59" s="1">
        <f t="array" ref="T59">INDEX(ICL3_classA!$G$2:$G$39,MATCH(MIN(ABS(AI59-ICL3_classA!$F$2:$F$39)),ABS(AI59-ICL3_classA!$F$2:$F$39),0))</f>
        <v>74</v>
      </c>
      <c r="U59" s="1">
        <f t="array" ref="U59">INDEX(ICL3_classA!$H$2:$H$39,MATCH(MIN(ABS(AI59-ICL3_classA!$F$2:$F$39)),ABS(AI59-ICL3_classA!$F$2:$F$39),0))</f>
        <v>24</v>
      </c>
      <c r="V59" s="1">
        <v>61</v>
      </c>
      <c r="W59" s="131">
        <v>27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60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21</v>
      </c>
      <c r="AE59" s="1">
        <f>VLOOKUP(A59,'SegEnds_NonXtal_Prot#'!A:AL,16,FALSE)-VLOOKUP(A59,'SegEnds_NonXtal_Prot#'!A:AL,10,FALSE)</f>
        <v>53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19</v>
      </c>
      <c r="AH59" s="1">
        <f>VLOOKUP(A59,'SegEnds_NonXtal_Prot#'!A:AL,28,FALSE)-VLOOKUP(A59,'SegEnds_NonXtal_Prot#'!A:AL,22,FALSE)</f>
        <v>47</v>
      </c>
      <c r="AI59" s="1">
        <f>VLOOKUP(A59,'SegEnds_NonXtal_Prot#'!A:AL,31,FALSE)-VLOOKUP(A59,'SegEnds_NonXtal_Prot#'!A:AL,28,FALSE)</f>
        <v>100</v>
      </c>
      <c r="AJ59" s="1">
        <f>VLOOKUP(A59,'SegEnds_NonXtal_Prot#'!A:AL,34,FALSE)-VLOOKUP(A59,'SegEnds_NonXtal_Prot#'!A:AL,31,FALSE)</f>
        <v>39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Xtal</v>
      </c>
    </row>
    <row r="60" spans="1:38" x14ac:dyDescent="0.2">
      <c r="A60" s="1" t="s">
        <v>156</v>
      </c>
      <c r="B60" s="1" t="str">
        <f>VLOOKUP(A60,Xtal_Templ!A:B,2,FALSE)</f>
        <v>drd2_human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62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INDEX(ICL3_classA!$G$2:$G$39,MATCH(MIN(ABS(AI60-ICL3_classA!$F$2:$F$39)),ABS(AI60-ICL3_classA!$F$2:$F$39),0))</f>
        <v>75</v>
      </c>
      <c r="U60" s="1">
        <f t="array" ref="U60">INDEX(ICL3_classA!$H$2:$H$39,MATCH(MIN(ABS(AI60-ICL3_classA!$F$2:$F$39)),ABS(AI60-ICL3_classA!$F$2:$F$39),0))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20</v>
      </c>
      <c r="AH60" s="1">
        <f>VLOOKUP(A60,'SegEnds_NonXtal_Prot#'!A:AL,28,FALSE)-VLOOKUP(A60,'SegEnds_NonXtal_Prot#'!A:AL,22,FALSE)</f>
        <v>47</v>
      </c>
      <c r="AI60" s="1">
        <f>VLOOKUP(A60,'SegEnds_NonXtal_Prot#'!A:AL,31,FALSE)-VLOOKUP(A60,'SegEnds_NonXtal_Prot#'!A:AL,28,FALSE)</f>
        <v>199</v>
      </c>
      <c r="AJ60" s="1">
        <f>VLOOKUP(A60,'SegEnds_NonXtal_Prot#'!A:AL,34,FALSE)-VLOOKUP(A60,'SegEnds_NonXtal_Prot#'!A:AL,31,FALSE)</f>
        <v>37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2" t="s">
        <v>189</v>
      </c>
      <c r="B61" s="12" t="str">
        <f>VLOOKUP(A61,Xtal_Templ!A:B,2,FALSE)</f>
        <v>ccr9_human</v>
      </c>
      <c r="C61" s="13">
        <f>VLOOKUP($B61&amp;"__wt",'SegEnds_Xtal_BW#'!$A:$Z,3,FALSE)</f>
        <v>27</v>
      </c>
      <c r="D61" s="12">
        <f>VLOOKUP($B61&amp;"__wt",'SegEnds_Xtal_BW#'!$A:$Z,4,FALSE)</f>
        <v>60</v>
      </c>
      <c r="E61" s="12">
        <f>VLOOKUP($B61&amp;"__wt",'SegEnds_Xtal_BW#'!$A:$Z,5,FALSE)</f>
        <v>48</v>
      </c>
      <c r="F61" s="12">
        <f>VLOOKUP($B61&amp;"__wt",'SegEnds_Xtal_BW#'!$A:$Z,6,FALSE)</f>
        <v>51</v>
      </c>
      <c r="G61" s="12">
        <v>37</v>
      </c>
      <c r="H61" s="12">
        <v>66</v>
      </c>
      <c r="I61" s="12">
        <f>VLOOKUP($B61&amp;"__wt",'SegEnds_Xtal_BW#'!$A:$Z,9,FALSE)</f>
        <v>49</v>
      </c>
      <c r="J61" s="12">
        <f>VLOOKUP($B61&amp;"__wt",'SegEnds_Xtal_BW#'!$A:$Z,10,FALSE)</f>
        <v>52</v>
      </c>
      <c r="K61" s="12">
        <v>24</v>
      </c>
      <c r="L61" s="12">
        <f>VLOOKUP($B61&amp;"__wt",'SegEnds_Xtal_BW#'!$A:$Z,12,FALSE)</f>
        <v>56</v>
      </c>
      <c r="M61" s="12">
        <f>VLOOKUP($B61&amp;"__wt",'SegEnds_Xtal_BW#'!$A:$Z,13,FALSE)</f>
        <v>50</v>
      </c>
      <c r="N61" s="12">
        <v>58</v>
      </c>
      <c r="O61" s="87">
        <v>38</v>
      </c>
      <c r="P61" s="12">
        <f>VLOOKUP($B61&amp;"__wt",'SegEnds_Xtal_BW#'!$A:$Z,16,FALSE)</f>
        <v>64</v>
      </c>
      <c r="Q61" s="12">
        <f>VLOOKUP($B61&amp;"__wt",'SegEnds_Xtal_BW#'!$A:$Z,17,FALSE)</f>
        <v>50</v>
      </c>
      <c r="R61" s="12">
        <f>VLOOKUP($B61&amp;"__wt",'SegEnds_Xtal_BW#'!$A:$Z,18,FALSE)</f>
        <v>52</v>
      </c>
      <c r="S61" s="12">
        <f>VLOOKUP($B61&amp;"__wt",'SegEnds_Xtal_BW#'!$A:$Z,19,FALSE)</f>
        <v>33</v>
      </c>
      <c r="T61" s="12">
        <f t="array" ref="T61">INDEX(ICL3_classA!$G$2:$G$39,MATCH(MIN(ABS(AI61-ICL3_classA!$F$2:$F$39)),ABS(AI61-ICL3_classA!$F$2:$F$39),0))</f>
        <v>68</v>
      </c>
      <c r="U61" s="12">
        <f t="array" ref="U61">INDEX(ICL3_classA!$H$2:$H$39,MATCH(MIN(ABS(AI61-ICL3_classA!$F$2:$F$39)),ABS(AI61-ICL3_classA!$F$2:$F$39),0))</f>
        <v>30</v>
      </c>
      <c r="V61" s="12">
        <v>61</v>
      </c>
      <c r="W61" s="131">
        <f>VLOOKUP($B61&amp;"__wt",'SegEnds_Xtal_BW#'!$A:$Z,23,FALSE)</f>
        <v>24</v>
      </c>
      <c r="X61" s="12">
        <f>VLOOKUP($B61&amp;"__wt",'SegEnds_Xtal_BW#'!$A:$Z,24,FALSE)</f>
        <v>56</v>
      </c>
      <c r="Y61" s="12">
        <f>VLOOKUP($B61&amp;"__wt",'SegEnds_Xtal_BW#'!$A:$Z,25,FALSE)</f>
        <v>47</v>
      </c>
      <c r="Z61" s="12">
        <f>VLOOKUP($B61&amp;"__wt",'SegEnds_Xtal_BW#'!$A:$Z,26,FALSE)</f>
        <v>67</v>
      </c>
      <c r="AA61" s="36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2">
        <f>VLOOKUP(A61,'SegEnds_NonXtal_Prot#'!A:AL,10,FALSE)-VLOOKUP(A61,'SegEnds_NonXtal_Prot#'!A:AL,7,FALSE)</f>
        <v>15</v>
      </c>
      <c r="AD61" s="12">
        <f>VLOOKUP(A61,'SegEnds_NonXtal_Prot#'!A:AL,13,FALSE)-VLOOKUP(A61,'SegEnds_NonXtal_Prot#'!A:AL,10,FALSE)</f>
        <v>18</v>
      </c>
      <c r="AE61" s="12">
        <f>VLOOKUP(A61,'SegEnds_NonXtal_Prot#'!A:AL,16,FALSE)-VLOOKUP(A61,'SegEnds_NonXtal_Prot#'!A:AL,10,FALSE)</f>
        <v>50</v>
      </c>
      <c r="AF61" s="1">
        <f>VLOOKUP(A61,'SegEnds_NonXtal_Prot#'!A:AL,22,FALSE)-VLOOKUP(A61,'SegEnds_NonXtal_Prot#'!A:AL,19,FALSE)</f>
        <v>22</v>
      </c>
      <c r="AG61" s="12">
        <f>VLOOKUP(A61,'SegEnds_NonXtal_Prot#'!A:AL,28,FALSE)-VLOOKUP(A61,'SegEnds_NonXtal_Prot#'!A:AL,25,FALSE)</f>
        <v>23</v>
      </c>
      <c r="AH61" s="1">
        <f>VLOOKUP(A61,'SegEnds_NonXtal_Prot#'!A:AL,28,FALSE)-VLOOKUP(A61,'SegEnds_NonXtal_Prot#'!A:AL,22,FALSE)</f>
        <v>47</v>
      </c>
      <c r="AI61" s="12">
        <f>VLOOKUP(A61,'SegEnds_NonXtal_Prot#'!A:AL,31,FALSE)-VLOOKUP(A61,'SegEnds_NonXtal_Prot#'!A:AL,28,FALSE)</f>
        <v>43</v>
      </c>
      <c r="AJ61" s="12">
        <f>VLOOKUP(A61,'SegEnds_NonXtal_Prot#'!A:AL,34,FALSE)-VLOOKUP(A61,'SegEnds_NonXtal_Prot#'!A:AL,31,FALSE)</f>
        <v>39</v>
      </c>
      <c r="AK61" s="1">
        <f>VLOOKUP(A61,'SegEnds_NonXtal_Prot#'!A:AL,37,FALSE)-VLOOKUP(A61,'SegEnds_NonXtal_Prot#'!A:AL,34,FALSE)</f>
        <v>10</v>
      </c>
      <c r="AL61" s="12" t="str">
        <f>IF(ISERROR(MATCH(A61,'SegEnds_Xtal_Prot#'!B:B, 0)), "NoXtal", "Xtal")</f>
        <v>NoXtal</v>
      </c>
    </row>
    <row r="62" spans="1:38" x14ac:dyDescent="0.2">
      <c r="A62" s="1" t="s">
        <v>204</v>
      </c>
      <c r="B62" s="1" t="str">
        <f>VLOOKUP(A62,Xtal_Templ!A:B,2,FALSE)</f>
        <v>aa2ar_human</v>
      </c>
      <c r="C62" s="5">
        <f>VLOOKUP($B62&amp;"__wt",'SegEnds_Xtal_BW#'!$A:$Z,3,FALSE)</f>
        <v>27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f>VLOOKUP($B62&amp;"__wt",'SegEnds_Xtal_BW#'!$A:$Z,15,FALSE)</f>
        <v>38</v>
      </c>
      <c r="P62" s="1">
        <f>VLOOKUP($B62&amp;"__wt",'SegEnds_Xtal_BW#'!$A:$Z,16,FALSE)</f>
        <v>63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34</v>
      </c>
      <c r="T62" s="1">
        <f t="array" ref="T62">INDEX(ICL3_classA!$G$2:$G$39,MATCH(MIN(ABS(AI62-ICL3_classA!$F$2:$F$39)),ABS(AI62-ICL3_classA!$F$2:$F$39),0))</f>
        <v>67</v>
      </c>
      <c r="U62" s="1">
        <f t="array" ref="U62">INDEX(ICL3_classA!$H$2:$H$39,MATCH(MIN(ABS(AI62-ICL3_classA!$F$2:$F$39)),ABS(AI62-ICL3_classA!$F$2:$F$39),0))</f>
        <v>26</v>
      </c>
      <c r="V62" s="1">
        <v>61</v>
      </c>
      <c r="W62" s="1">
        <v>31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14</v>
      </c>
      <c r="AD62" s="1">
        <f>VLOOKUP(A62,'SegEnds_NonXtal_Prot#'!A:AL,13,FALSE)-VLOOKUP(A62,'SegEnds_NonXtal_Prot#'!A:AL,10,FALSE)</f>
        <v>28</v>
      </c>
      <c r="AE62" s="1">
        <f>VLOOKUP(A62,'SegEnds_NonXtal_Prot#'!A:AL,16,FALSE)-VLOOKUP(A62,'SegEnds_NonXtal_Prot#'!A:AL,10,FALSE)</f>
        <v>59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24</v>
      </c>
      <c r="AH62" s="1">
        <f>VLOOKUP(A62,'SegEnds_NonXtal_Prot#'!A:AL,28,FALSE)-VLOOKUP(A62,'SegEnds_NonXtal_Prot#'!A:AL,22,FALSE)</f>
        <v>47</v>
      </c>
      <c r="AI62" s="1">
        <f>VLOOKUP(A62,'SegEnds_NonXtal_Prot#'!A:AL,31,FALSE)-VLOOKUP(A62,'SegEnds_NonXtal_Prot#'!A:AL,28,FALSE)</f>
        <v>46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219</v>
      </c>
      <c r="B63" s="1" t="str">
        <f>VLOOKUP(A63,Xtal_Templ!A:B,2,FALSE)</f>
        <v>fpr2_human</v>
      </c>
      <c r="C63" s="5">
        <f>VLOOKUP($B63&amp;"__wt",'SegEnds_Xtal_BW#'!$A:$Z,3,FALSE)</f>
        <v>25</v>
      </c>
      <c r="D63" s="1">
        <f>VLOOKUP($B63&amp;"__wt",'SegEnds_Xtal_BW#'!$A:$Z,4,FALSE)</f>
        <v>61</v>
      </c>
      <c r="E63" s="1" t="str">
        <f>VLOOKUP($B63&amp;"__wt",'SegEnds_Xtal_BW#'!$A:$Z,5,FALSE)</f>
        <v>-</v>
      </c>
      <c r="F63" s="1" t="str">
        <f>VLOOKUP($B63&amp;"__wt",'SegEnds_Xtal_BW#'!$A:$Z,6,FALSE)</f>
        <v>-</v>
      </c>
      <c r="G63" s="1">
        <v>37</v>
      </c>
      <c r="H63" s="12">
        <v>63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24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56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23</v>
      </c>
      <c r="T63" s="1">
        <f t="array" ref="T63">INDEX(ICL3_classA!$G$2:$G$39,MATCH(MIN(ABS(AI63-ICL3_classA!$F$2:$F$39)),ABS(AI63-ICL3_classA!$F$2:$F$39),0))</f>
        <v>68</v>
      </c>
      <c r="U63" s="1">
        <f t="array" ref="U63">INDEX(ICL3_classA!$H$2:$H$39,MATCH(MIN(ABS(AI63-ICL3_classA!$F$2:$F$39)),ABS(AI63-ICL3_classA!$F$2:$F$39),0))</f>
        <v>24</v>
      </c>
      <c r="V63" s="1">
        <v>64</v>
      </c>
      <c r="W63" s="1">
        <v>24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58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33</v>
      </c>
      <c r="AC63" s="1" t="e">
        <f>VLOOKUP(A63,'SegEnds_NonXtal_Prot#'!A:AL,10,FALSE)-VLOOKUP(A63,'SegEnds_NonXtal_Prot#'!A:AL,7,FALSE)</f>
        <v>#VALUE!</v>
      </c>
      <c r="AD63" s="1">
        <f>VLOOKUP(A63,'SegEnds_NonXtal_Prot#'!A:AL,13,FALSE)-VLOOKUP(A63,'SegEnds_NonXtal_Prot#'!A:AL,10,FALSE)</f>
        <v>17</v>
      </c>
      <c r="AE63" s="1">
        <f>VLOOKUP(A63,'SegEnds_NonXtal_Prot#'!A:AL,16,FALSE)-VLOOKUP(A63,'SegEnds_NonXtal_Prot#'!A:AL,10,FALSE)</f>
        <v>49</v>
      </c>
      <c r="AF63" s="1" t="e">
        <f>VLOOKUP(A63,'SegEnds_NonXtal_Prot#'!A:AL,22,FALSE)-VLOOKUP(A63,'SegEnds_NonXtal_Prot#'!A:AL,19,FALSE)</f>
        <v>#VALUE!</v>
      </c>
      <c r="AG63" s="1" t="e">
        <f>VLOOKUP(A63,'SegEnds_NonXtal_Prot#'!A:AL,28,FALSE)-VLOOKUP(A63,'SegEnds_NonXtal_Prot#'!A:AL,25,FALSE)</f>
        <v>#VALUE!</v>
      </c>
      <c r="AH63" s="1">
        <f>VLOOKUP(A63,'SegEnds_NonXtal_Prot#'!A:AL,28,FALSE)-VLOOKUP(A63,'SegEnds_NonXtal_Prot#'!A:AL,22,FALSE)</f>
        <v>47</v>
      </c>
      <c r="AI63" s="1">
        <f>VLOOKUP(A63,'SegEnds_NonXtal_Prot#'!A:AL,31,FALSE)-VLOOKUP(A63,'SegEnds_NonXtal_Prot#'!A:AL,28,FALSE)</f>
        <v>49</v>
      </c>
      <c r="AJ63" s="1">
        <f>VLOOKUP(A63,'SegEnds_NonXtal_Prot#'!A:AL,34,FALSE)-VLOOKUP(A63,'SegEnds_NonXtal_Prot#'!A:AL,31,FALSE)</f>
        <v>45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4" t="s">
        <v>242</v>
      </c>
      <c r="B64" s="4" t="str">
        <f>VLOOKUP(A64,Xtal_Templ!A:B,2,FALSE)</f>
        <v>ox2r_human</v>
      </c>
      <c r="C64" s="5">
        <f>VLOOKUP($B64&amp;"__wt",'SegEnds_Xtal_BW#'!$A:$Z,3,FALSE)</f>
        <v>31</v>
      </c>
      <c r="D64" s="4">
        <f>VLOOKUP($B64&amp;"__wt",'SegEnds_Xtal_BW#'!$A:$Z,4,FALSE)</f>
        <v>60</v>
      </c>
      <c r="E64" s="4">
        <f>VLOOKUP($B64&amp;"__wt",'SegEnds_Xtal_BW#'!$A:$Z,5,FALSE)</f>
        <v>48</v>
      </c>
      <c r="F64" s="4">
        <f>VLOOKUP($B64&amp;"__wt",'SegEnds_Xtal_BW#'!$A:$Z,6,FALSE)</f>
        <v>51</v>
      </c>
      <c r="G64" s="4">
        <v>37</v>
      </c>
      <c r="H64" s="12">
        <f>VLOOKUP($B64&amp;"__wt",'SegEnds_Xtal_BW#'!$A:$Z,8,FALSE)</f>
        <v>68</v>
      </c>
      <c r="I64" s="4">
        <f>VLOOKUP($B64&amp;"__wt",'SegEnds_Xtal_BW#'!$A:$Z,9,FALSE)</f>
        <v>49</v>
      </c>
      <c r="J64" s="4">
        <f>VLOOKUP($B64&amp;"__wt",'SegEnds_Xtal_BW#'!$A:$Z,10,FALSE)</f>
        <v>52</v>
      </c>
      <c r="K64" s="11">
        <v>18</v>
      </c>
      <c r="L64" s="4">
        <f>VLOOKUP($B64&amp;"__wt",'SegEnds_Xtal_BW#'!$A:$Z,12,FALSE)</f>
        <v>56</v>
      </c>
      <c r="M64" s="4">
        <f>VLOOKUP($B64&amp;"__wt",'SegEnds_Xtal_BW#'!$A:$Z,13,FALSE)</f>
        <v>50</v>
      </c>
      <c r="N64" s="11">
        <v>53</v>
      </c>
      <c r="O64" s="87">
        <f>VLOOKUP($B64&amp;"__wt",'SegEnds_Xtal_BW#'!$A:$Z,15,FALSE)</f>
        <v>38</v>
      </c>
      <c r="P64" s="4">
        <f>VLOOKUP($B64&amp;"__wt",'SegEnds_Xtal_BW#'!$A:$Z,16,FALSE)</f>
        <v>64</v>
      </c>
      <c r="Q64" s="4">
        <f>VLOOKUP($B64&amp;"__wt",'SegEnds_Xtal_BW#'!$A:$Z,17,FALSE)</f>
        <v>50</v>
      </c>
      <c r="R64" s="4">
        <f>VLOOKUP($B64&amp;"__wt",'SegEnds_Xtal_BW#'!$A:$Z,18,FALSE)</f>
        <v>52</v>
      </c>
      <c r="S64" s="4">
        <f>VLOOKUP($B64&amp;"__wt",'SegEnds_Xtal_BW#'!$A:$Z,19,FALSE)</f>
        <v>33</v>
      </c>
      <c r="T64" s="4">
        <f t="array" ref="T64">INDEX(ICL3_classA!$G$2:$G$39,MATCH(MIN(ABS(AI64-ICL3_classA!$F$2:$F$39)),ABS(AI64-ICL3_classA!$F$2:$F$39),0))</f>
        <v>73</v>
      </c>
      <c r="U64" s="4">
        <f t="array" ref="U64">INDEX(ICL3_classA!$H$2:$H$39,MATCH(MIN(ABS(AI64-ICL3_classA!$F$2:$F$39)),ABS(AI64-ICL3_classA!$F$2:$F$39),0))</f>
        <v>22</v>
      </c>
      <c r="V64" s="4">
        <v>61</v>
      </c>
      <c r="W64" s="4">
        <v>31</v>
      </c>
      <c r="X64" s="4">
        <f>VLOOKUP($B64&amp;"__wt",'SegEnds_Xtal_BW#'!$A:$Z,24,FALSE)</f>
        <v>56</v>
      </c>
      <c r="Y64" s="4">
        <f>VLOOKUP($B64&amp;"__wt",'SegEnds_Xtal_BW#'!$A:$Z,25,FALSE)</f>
        <v>47</v>
      </c>
      <c r="Z64" s="4">
        <f>VLOOKUP($B64&amp;"__wt",'SegEnds_Xtal_BW#'!$A:$Z,26,FALSE)</f>
        <v>63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4">
        <f>VLOOKUP(A64,'SegEnds_NonXtal_Prot#'!A:AL,10,FALSE)-VLOOKUP(A64,'SegEnds_NonXtal_Prot#'!A:AL,7,FALSE)</f>
        <v>15</v>
      </c>
      <c r="AD64" s="4">
        <f>VLOOKUP(A64,'SegEnds_NonXtal_Prot#'!A:AL,13,FALSE)-VLOOKUP(A64,'SegEnds_NonXtal_Prot#'!A:AL,10,FALSE)</f>
        <v>20</v>
      </c>
      <c r="AE64" s="4">
        <f>VLOOKUP(A64,'SegEnds_NonXtal_Prot#'!A:AL,16,FALSE)-VLOOKUP(A64,'SegEnds_NonXtal_Prot#'!A:AL,10,FALSE)</f>
        <v>52</v>
      </c>
      <c r="AF64" s="1">
        <f>VLOOKUP(A64,'SegEnds_NonXtal_Prot#'!A:AL,22,FALSE)-VLOOKUP(A64,'SegEnds_NonXtal_Prot#'!A:AL,19,FALSE)</f>
        <v>18</v>
      </c>
      <c r="AG64" s="4">
        <f>VLOOKUP(A64,'SegEnds_NonXtal_Prot#'!A:AL,28,FALSE)-VLOOKUP(A64,'SegEnds_NonXtal_Prot#'!A:AL,25,FALSE)</f>
        <v>25</v>
      </c>
      <c r="AH64" s="1">
        <f>VLOOKUP(A64,'SegEnds_NonXtal_Prot#'!A:AL,28,FALSE)-VLOOKUP(A64,'SegEnds_NonXtal_Prot#'!A:AL,22,FALSE)</f>
        <v>47</v>
      </c>
      <c r="AI64" s="4">
        <f>VLOOKUP(A64,'SegEnds_NonXtal_Prot#'!A:AL,31,FALSE)-VLOOKUP(A64,'SegEnds_NonXtal_Prot#'!A:AL,28,FALSE)</f>
        <v>56</v>
      </c>
      <c r="AJ64" s="4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261</v>
      </c>
      <c r="B65" s="1" t="str">
        <f>VLOOKUP(A65,Xtal_Templ!A:B,2,FALSE)</f>
        <v>oprk_human</v>
      </c>
      <c r="C65" s="5">
        <f>VLOOKUP($B65&amp;"__wt",'SegEnds_Xtal_BW#'!$A:$Z,3,FALSE)</f>
        <v>30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24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30</v>
      </c>
      <c r="T65" s="1">
        <f t="array" ref="T65">INDEX(ICL3_classA!$G$2:$G$39,MATCH(MIN(ABS(AI65-ICL3_classA!$F$2:$F$39)),ABS(AI65-ICL3_classA!$F$2:$F$39),0))</f>
        <v>68</v>
      </c>
      <c r="U65" s="1">
        <f t="array" ref="U65">INDEX(ICL3_classA!$H$2:$H$39,MATCH(MIN(ABS(AI65-ICL3_classA!$F$2:$F$39)),ABS(AI65-ICL3_classA!$F$2:$F$39),0))</f>
        <v>24</v>
      </c>
      <c r="V65" s="1">
        <v>64</v>
      </c>
      <c r="W65" s="1">
        <v>24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32</v>
      </c>
      <c r="AC65" s="1" t="e">
        <f>VLOOKUP(A65,'SegEnds_NonXtal_Prot#'!A:AL,10,FALSE)-VLOOKUP(A65,'SegEnds_NonXtal_Prot#'!A:AL,7,FALSE)</f>
        <v>#VALUE!</v>
      </c>
      <c r="AD65" s="1" t="e">
        <f>VLOOKUP(A65,'SegEnds_NonXtal_Prot#'!A:AL,13,FALSE)-VLOOKUP(A65,'SegEnds_NonXtal_Prot#'!A:AL,10,FALSE)</f>
        <v>#VALUE!</v>
      </c>
      <c r="AE65" s="1">
        <f>VLOOKUP(A65,'SegEnds_NonXtal_Prot#'!A:AL,16,FALSE)-VLOOKUP(A65,'SegEnds_NonXtal_Prot#'!A:AL,10,FALSE)</f>
        <v>49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25</v>
      </c>
      <c r="AH65" s="1">
        <f>VLOOKUP(A65,'SegEnds_NonXtal_Prot#'!A:AL,28,FALSE)-VLOOKUP(A65,'SegEnds_NonXtal_Prot#'!A:AL,22,FALSE)</f>
        <v>47</v>
      </c>
      <c r="AI65" s="1">
        <f>VLOOKUP(A65,'SegEnds_NonXtal_Prot#'!A:AL,31,FALSE)-VLOOKUP(A65,'SegEnds_NonXtal_Prot#'!A:AL,28,FALSE)</f>
        <v>48</v>
      </c>
      <c r="AJ65" s="1">
        <f>VLOOKUP(A65,'SegEnds_NonXtal_Prot#'!A:AL,34,FALSE)-VLOOKUP(A65,'SegEnds_NonXtal_Prot#'!A:AL,31,FALSE)</f>
        <v>44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264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7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15">
        <v>35</v>
      </c>
      <c r="T66" s="1">
        <f t="array" ref="T66">INDEX(ICL3_classA!$G$2:$G$39,MATCH(MIN(ABS(AI66-ICL3_classA!$F$2:$F$39)),ABS(AI66-ICL3_classA!$F$2:$F$39),0))</f>
        <v>76</v>
      </c>
      <c r="U66" s="1">
        <f t="array" ref="U66">INDEX(ICL3_classA!$H$2:$H$39,MATCH(MIN(ABS(AI66-ICL3_classA!$F$2:$F$39)),ABS(AI66-ICL3_classA!$F$2:$F$39),0))</f>
        <v>24</v>
      </c>
      <c r="V66" s="1">
        <v>58</v>
      </c>
      <c r="W66" s="1">
        <v>35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26</v>
      </c>
      <c r="AC66" s="1" t="e">
        <f>VLOOKUP(A66,'SegEnds_NonXtal_Prot#'!A:AL,10,FALSE)-VLOOKUP(A66,'SegEnds_NonXtal_Prot#'!A:AL,7,FALSE)</f>
        <v>#VALUE!</v>
      </c>
      <c r="AD66" s="1" t="e">
        <f>VLOOKUP(A66,'SegEnds_NonXtal_Prot#'!A:AL,13,FALSE)-VLOOKUP(A66,'SegEnds_NonXtal_Prot#'!A:AL,10,FALSE)</f>
        <v>#VALUE!</v>
      </c>
      <c r="AE66" s="1">
        <f>VLOOKUP(A66,'SegEnds_NonXtal_Prot#'!A:AL,16,FALSE)-VLOOKUP(A66,'SegEnds_NonXtal_Prot#'!A:AL,10,FALSE)</f>
        <v>55</v>
      </c>
      <c r="AF66" s="1" t="e">
        <f>VLOOKUP(A66,'SegEnds_NonXtal_Prot#'!A:AL,22,FALSE)-VLOOKUP(A66,'SegEnds_NonXtal_Prot#'!A:AL,19,FALSE)</f>
        <v>#VALUE!</v>
      </c>
      <c r="AG66" s="1">
        <f>VLOOKUP(A66,'SegEnds_NonXtal_Prot#'!A:AL,28,FALSE)-VLOOKUP(A66,'SegEnds_NonXtal_Prot#'!A:AL,25,FALSE)</f>
        <v>22</v>
      </c>
      <c r="AH66" s="1">
        <f>VLOOKUP(A66,'SegEnds_NonXtal_Prot#'!A:AL,28,FALSE)-VLOOKUP(A66,'SegEnds_NonXtal_Prot#'!A:AL,22,FALSE)</f>
        <v>47</v>
      </c>
      <c r="AI66" s="1">
        <f>VLOOKUP(A66,'SegEnds_NonXtal_Prot#'!A:AL,31,FALSE)-VLOOKUP(A66,'SegEnds_NonXtal_Prot#'!A:AL,28,FALSE)</f>
        <v>72</v>
      </c>
      <c r="AJ66" s="1">
        <f>VLOOKUP(A66,'SegEnds_NonXtal_Prot#'!A:AL,34,FALSE)-VLOOKUP(A66,'SegEnds_NonXtal_Prot#'!A:AL,31,FALSE)</f>
        <v>31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283</v>
      </c>
      <c r="B67" s="1" t="str">
        <f>VLOOKUP(A67,Xtal_Templ!A:B,2,FALSE)</f>
        <v>agtr1_human</v>
      </c>
      <c r="C67" s="5">
        <f>VLOOKUP($B67&amp;"__wt",'SegEnds_Xtal_BW#'!$A:$Z,3,FALSE)</f>
        <v>28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34</v>
      </c>
      <c r="T67" s="1">
        <f t="array" ref="T67">INDEX(ICL3_classA!$G$2:$G$39,MATCH(MIN(ABS(AI67-ICL3_classA!$F$2:$F$39)),ABS(AI67-ICL3_classA!$F$2:$F$39),0))</f>
        <v>67</v>
      </c>
      <c r="U67" s="1">
        <f t="array" ref="U67">INDEX(ICL3_classA!$H$2:$H$39,MATCH(MIN(ABS(AI67-ICL3_classA!$F$2:$F$39)),ABS(AI67-ICL3_classA!$F$2:$F$39),0))</f>
        <v>28</v>
      </c>
      <c r="V67" s="1"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61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 t="e">
        <f>VLOOKUP(A67,'SegEnds_NonXtal_Prot#'!A:AL,10,FALSE)-VLOOKUP(A67,'SegEnds_NonXtal_Prot#'!A:AL,7,FALSE)</f>
        <v>#VALUE!</v>
      </c>
      <c r="AD67" s="1" t="e">
        <f>VLOOKUP(A67,'SegEnds_NonXtal_Prot#'!A:AL,13,FALSE)-VLOOKUP(A67,'SegEnds_NonXtal_Prot#'!A:AL,10,FALSE)</f>
        <v>#VALUE!</v>
      </c>
      <c r="AE67" s="1">
        <f>VLOOKUP(A67,'SegEnds_NonXtal_Prot#'!A:AL,16,FALSE)-VLOOKUP(A67,'SegEnds_NonXtal_Prot#'!A:AL,10,FALSE)</f>
        <v>59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24</v>
      </c>
      <c r="AH67" s="1">
        <f>VLOOKUP(A67,'SegEnds_NonXtal_Prot#'!A:AL,28,FALSE)-VLOOKUP(A67,'SegEnds_NonXtal_Prot#'!A:AL,22,FALSE)</f>
        <v>47</v>
      </c>
      <c r="AI67" s="1">
        <f>VLOOKUP(A67,'SegEnds_NonXtal_Prot#'!A:AL,31,FALSE)-VLOOKUP(A67,'SegEnds_NonXtal_Prot#'!A:AL,28,FALSE)</f>
        <v>45</v>
      </c>
      <c r="AJ67" s="1">
        <f>VLOOKUP(A67,'SegEnds_NonXtal_Prot#'!A:AL,34,FALSE)-VLOOKUP(A67,'SegEnds_NonXtal_Prot#'!A:AL,31,FALSE)</f>
        <v>36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284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INDEX(ICL3_classA!$G$2:$G$39,MATCH(MIN(ABS(AI68-ICL3_classA!$F$2:$F$39)),ABS(AI68-ICL3_classA!$F$2:$F$39),0))</f>
        <v>67</v>
      </c>
      <c r="U68" s="1">
        <f t="array" ref="U68">INDEX(ICL3_classA!$H$2:$H$39,MATCH(MIN(ABS(AI68-ICL3_classA!$F$2:$F$39)),ABS(AI68-ICL3_classA!$F$2:$F$39),0))</f>
        <v>28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 t="e">
        <f>VLOOKUP(A68,'SegEnds_NonXtal_Prot#'!A:AL,10,FALSE)-VLOOKUP(A68,'SegEnds_NonXtal_Prot#'!A:AL,7,FALSE)</f>
        <v>#VALUE!</v>
      </c>
      <c r="AD68" s="1" t="e">
        <f>VLOOKUP(A68,'SegEnds_NonXtal_Prot#'!A:AL,13,FALSE)-VLOOKUP(A68,'SegEnds_NonXtal_Prot#'!A:AL,10,FALSE)</f>
        <v>#VALUE!</v>
      </c>
      <c r="AE68" s="1">
        <f>VLOOKUP(A68,'SegEnds_NonXtal_Prot#'!A:AL,16,FALSE)-VLOOKUP(A68,'SegEnds_NonXtal_Prot#'!A:AL,10,FALSE)</f>
        <v>59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24</v>
      </c>
      <c r="AH68" s="1">
        <f>VLOOKUP(A68,'SegEnds_NonXtal_Prot#'!A:AL,28,FALSE)-VLOOKUP(A68,'SegEnds_NonXtal_Prot#'!A:AL,22,FALSE)</f>
        <v>47</v>
      </c>
      <c r="AI68" s="1">
        <f>VLOOKUP(A68,'SegEnds_NonXtal_Prot#'!A:AL,31,FALSE)-VLOOKUP(A68,'SegEnds_NonXtal_Prot#'!A:AL,28,FALSE)</f>
        <v>45</v>
      </c>
      <c r="AJ68" s="1">
        <f>VLOOKUP(A68,'SegEnds_NonXtal_Prot#'!A:AL,34,FALSE)-VLOOKUP(A68,'SegEnds_NonXtal_Prot#'!A:AL,31,FALSE)</f>
        <v>36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291</v>
      </c>
      <c r="B69" s="1" t="str">
        <f>VLOOKUP(A69,Xtal_Templ!A:B,2,FALSE)</f>
        <v>hrh1_human</v>
      </c>
      <c r="C69" s="5">
        <f>VLOOKUP($B69&amp;"__wt",'SegEnds_Xtal_BW#'!$A:$Z,3,FALSE)</f>
        <v>34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f>VLOOKUP($B69&amp;"__wt",'SegEnds_Xtal_BW#'!$A:$Z,15,FALSE)</f>
        <v>38</v>
      </c>
      <c r="P69" s="1">
        <f>VLOOKUP($B69&amp;"__wt",'SegEnds_Xtal_BW#'!$A:$Z,16,FALSE)</f>
        <v>62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35</v>
      </c>
      <c r="T69" s="1">
        <f t="array" ref="T69">INDEX(ICL3_classA!$G$2:$G$39,MATCH(MIN(ABS(AI69-ICL3_classA!$F$2:$F$39)),ABS(AI69-ICL3_classA!$F$2:$F$39),0))</f>
        <v>67</v>
      </c>
      <c r="U69" s="1">
        <f t="array" ref="U69">INDEX(ICL3_classA!$H$2:$H$39,MATCH(MIN(ABS(AI69-ICL3_classA!$F$2:$F$39)),ABS(AI69-ICL3_classA!$F$2:$F$39),0))</f>
        <v>26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14</v>
      </c>
      <c r="AD69" s="1">
        <f>VLOOKUP(A69,'SegEnds_NonXtal_Prot#'!A:AL,13,FALSE)-VLOOKUP(A69,'SegEnds_NonXtal_Prot#'!A:AL,10,FALSE)</f>
        <v>28</v>
      </c>
      <c r="AE69" s="1">
        <f>VLOOKUP(A69,'SegEnds_NonXtal_Prot#'!A:AL,16,FALSE)-VLOOKUP(A69,'SegEnds_NonXtal_Prot#'!A:AL,10,FALSE)</f>
        <v>59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24</v>
      </c>
      <c r="AH69" s="1">
        <f>VLOOKUP(A69,'SegEnds_NonXtal_Prot#'!A:AL,28,FALSE)-VLOOKUP(A69,'SegEnds_NonXtal_Prot#'!A:AL,22,FALSE)</f>
        <v>47</v>
      </c>
      <c r="AI69" s="1">
        <f>VLOOKUP(A69,'SegEnds_NonXtal_Prot#'!A:AL,31,FALSE)-VLOOKUP(A69,'SegEnds_NonXtal_Prot#'!A:AL,28,FALSE)</f>
        <v>46</v>
      </c>
      <c r="AJ69" s="1">
        <f>VLOOKUP(A69,'SegEnds_NonXtal_Prot#'!A:AL,34,FALSE)-VLOOKUP(A69,'SegEnds_NonXtal_Prot#'!A:AL,31,FALSE)</f>
        <v>36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293</v>
      </c>
      <c r="B70" s="1" t="str">
        <f>VLOOKUP(A70,Xtal_Templ!A:B,2,FALSE)</f>
        <v>pd2r2_human</v>
      </c>
      <c r="C70" s="5">
        <f>VLOOKUP($B70&amp;"__wt",'SegEnds_Xtal_BW#'!$A:$Z,3,FALSE)</f>
        <v>32</v>
      </c>
      <c r="D70" s="1">
        <f>VLOOKUP($B70&amp;"__wt",'SegEnds_Xtal_BW#'!$A:$Z,4,FALSE)</f>
        <v>60</v>
      </c>
      <c r="E70" s="1" t="str">
        <f>VLOOKUP($B70&amp;"__wt",'SegEnds_Xtal_BW#'!$A:$Z,5,FALSE)</f>
        <v>-</v>
      </c>
      <c r="F70" s="1" t="str">
        <f>VLOOKUP($B70&amp;"__wt",'SegEnds_Xtal_BW#'!$A:$Z,6,FALSE)</f>
        <v>-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7"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INDEX(ICL3_classA!$G$2:$G$39,MATCH(MIN(ABS(AI70-ICL3_classA!$F$2:$F$39)),ABS(AI70-ICL3_classA!$F$2:$F$39),0))</f>
        <v>67</v>
      </c>
      <c r="U70" s="1">
        <f t="array" ref="U70">INDEX(ICL3_classA!$H$2:$H$39,MATCH(MIN(ABS(AI70-ICL3_classA!$F$2:$F$39)),ABS(AI70-ICL3_classA!$F$2:$F$39),0))</f>
        <v>26</v>
      </c>
      <c r="V70" s="1">
        <v>64</v>
      </c>
      <c r="W70" s="1">
        <v>24</v>
      </c>
      <c r="X70" s="108">
        <v>56</v>
      </c>
      <c r="Y70" s="1">
        <f>VLOOKUP($B70&amp;"__wt",'SegEnds_Xtal_BW#'!$A:$Z,25,FALSE)</f>
        <v>47</v>
      </c>
      <c r="Z70" s="1">
        <f>VLOOKUP($B70&amp;"__wt",'SegEnds_Xtal_BW#'!$A:$Z,26,FALSE)</f>
        <v>64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30</v>
      </c>
      <c r="AC70" s="1">
        <f>VLOOKUP(A70,'SegEnds_NonXtal_Prot#'!A:AL,10,FALSE)-VLOOKUP(A70,'SegEnds_NonXtal_Prot#'!A:AL,7,FALSE)</f>
        <v>17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22</v>
      </c>
      <c r="AH70" s="1">
        <f>VLOOKUP(A70,'SegEnds_NonXtal_Prot#'!A:AL,28,FALSE)-VLOOKUP(A70,'SegEnds_NonXtal_Prot#'!A:AL,22,FALSE)</f>
        <v>47</v>
      </c>
      <c r="AI70" s="1">
        <f>VLOOKUP(A70,'SegEnds_NonXtal_Prot#'!A:AL,31,FALSE)-VLOOKUP(A70,'SegEnds_NonXtal_Prot#'!A:AL,28,FALSE)</f>
        <v>46</v>
      </c>
      <c r="AJ70" s="1">
        <f>VLOOKUP(A70,'SegEnds_NonXtal_Prot#'!A:AL,34,FALSE)-VLOOKUP(A70,'SegEnds_NonXtal_Prot#'!A:AL,31,FALSE)</f>
        <v>46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311</v>
      </c>
      <c r="B71" s="1" t="str">
        <f>VLOOKUP(A71,Xtal_Templ!A:B,2,FALSE)</f>
        <v>mtr1a_human</v>
      </c>
      <c r="C71" s="5">
        <f>VLOOKUP($B71&amp;"__wt",'SegEnds_Xtal_BW#'!$A:$Z,3,FALSE)</f>
        <v>28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68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35</v>
      </c>
      <c r="T71" s="1">
        <f t="array" ref="T71">INDEX(ICL3_classA!$G$2:$G$39,MATCH(MIN(ABS(AI71-ICL3_classA!$F$2:$F$39)),ABS(AI71-ICL3_classA!$F$2:$F$39),0))</f>
        <v>72</v>
      </c>
      <c r="U71" s="1">
        <f t="array" ref="U71">INDEX(ICL3_classA!$H$2:$H$39,MATCH(MIN(ABS(AI71-ICL3_classA!$F$2:$F$39)),ABS(AI71-ICL3_classA!$F$2:$F$39),0))</f>
        <v>24</v>
      </c>
      <c r="V71" s="1">
        <v>61</v>
      </c>
      <c r="W71" s="131">
        <f>VLOOKUP($B71&amp;"__wt",'SegEnds_Xtal_BW#'!$A:$Z,23,FALSE)</f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63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20</v>
      </c>
      <c r="AE71" s="1">
        <f>VLOOKUP(A71,'SegEnds_NonXtal_Prot#'!A:AL,16,FALSE)-VLOOKUP(A71,'SegEnds_NonXtal_Prot#'!A:AL,10,FALSE)</f>
        <v>52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22</v>
      </c>
      <c r="AH71" s="1">
        <f>VLOOKUP(A71,'SegEnds_NonXtal_Prot#'!A:AL,28,FALSE)-VLOOKUP(A71,'SegEnds_NonXtal_Prot#'!A:AL,22,FALSE)</f>
        <v>47</v>
      </c>
      <c r="AI71" s="1">
        <f>VLOOKUP(A71,'SegEnds_NonXtal_Prot#'!A:AL,31,FALSE)-VLOOKUP(A71,'SegEnds_NonXtal_Prot#'!A:AL,28,FALSE)</f>
        <v>54</v>
      </c>
      <c r="AJ71" s="1">
        <f>VLOOKUP(A71,'SegEnds_NonXtal_Prot#'!A:AL,34,FALSE)-VLOOKUP(A71,'SegEnds_NonXtal_Prot#'!A:AL,31,FALSE)</f>
        <v>39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Xtal</v>
      </c>
    </row>
    <row r="72" spans="1:38" x14ac:dyDescent="0.2">
      <c r="A72" s="1" t="s">
        <v>312</v>
      </c>
      <c r="B72" s="1" t="str">
        <f>VLOOKUP(A72,Xtal_Templ!A:B,2,FALSE)</f>
        <v>mtr1b_human</v>
      </c>
      <c r="C72" s="5">
        <f>VLOOKUP($B72&amp;"__wt",'SegEnds_Xtal_BW#'!$A:$Z,3,FALSE)</f>
        <v>30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68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INDEX(ICL3_classA!$G$2:$G$39,MATCH(MIN(ABS(AI72-ICL3_classA!$F$2:$F$39)),ABS(AI72-ICL3_classA!$F$2:$F$39),0))</f>
        <v>72</v>
      </c>
      <c r="U72" s="1">
        <f t="array" ref="U72">INDEX(ICL3_classA!$H$2:$H$39,MATCH(MIN(ABS(AI72-ICL3_classA!$F$2:$F$39)),ABS(AI72-ICL3_classA!$F$2:$F$39),0))</f>
        <v>24</v>
      </c>
      <c r="V72" s="1">
        <v>61</v>
      </c>
      <c r="W72" s="131">
        <f>VLOOKUP($B72&amp;"__wt",'SegEnds_Xtal_BW#'!$A:$Z,23,FALSE)</f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63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52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22</v>
      </c>
      <c r="AH72" s="1">
        <f>VLOOKUP(A72,'SegEnds_NonXtal_Prot#'!A:AL,28,FALSE)-VLOOKUP(A72,'SegEnds_NonXtal_Prot#'!A:AL,22,FALSE)</f>
        <v>47</v>
      </c>
      <c r="AI72" s="1">
        <f>VLOOKUP(A72,'SegEnds_NonXtal_Prot#'!A:AL,31,FALSE)-VLOOKUP(A72,'SegEnds_NonXtal_Prot#'!A:AL,28,FALSE)</f>
        <v>54</v>
      </c>
      <c r="AJ72" s="1">
        <f>VLOOKUP(A72,'SegEnds_NonXtal_Prot#'!A:AL,34,FALSE)-VLOOKUP(A72,'SegEnds_NonXtal_Prot#'!A:AL,31,FALSE)</f>
        <v>39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Xtal</v>
      </c>
    </row>
    <row r="73" spans="1:38" x14ac:dyDescent="0.2">
      <c r="A73" s="1" t="s">
        <v>313</v>
      </c>
      <c r="B73" s="1" t="str">
        <f>VLOOKUP(A73,Xtal_Templ!A:B,2,FALSE)</f>
        <v>mtr1a_human</v>
      </c>
      <c r="C73" s="5">
        <f>VLOOKUP($B73&amp;"__wt",'SegEnds_Xtal_BW#'!$A:$Z,3,FALSE)</f>
        <v>28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68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v>35</v>
      </c>
      <c r="T73" s="1">
        <f t="array" ref="T73">INDEX(ICL3_classA!$G$2:$G$39,MATCH(MIN(ABS(AI73-ICL3_classA!$F$2:$F$39)),ABS(AI73-ICL3_classA!$F$2:$F$39),0))</f>
        <v>72</v>
      </c>
      <c r="U73" s="1">
        <f t="array" ref="U73">INDEX(ICL3_classA!$H$2:$H$39,MATCH(MIN(ABS(AI73-ICL3_classA!$F$2:$F$39)),ABS(AI73-ICL3_classA!$F$2:$F$39),0))</f>
        <v>23</v>
      </c>
      <c r="V73" s="1">
        <v>61</v>
      </c>
      <c r="W73" s="131">
        <f>VLOOKUP($B73&amp;"__wt",'SegEnds_Xtal_BW#'!$A:$Z,23,FALSE)</f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63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20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22</v>
      </c>
      <c r="AH73" s="1">
        <f>VLOOKUP(A73,'SegEnds_NonXtal_Prot#'!A:AL,28,FALSE)-VLOOKUP(A73,'SegEnds_NonXtal_Prot#'!A:AL,22,FALSE)</f>
        <v>47</v>
      </c>
      <c r="AI73" s="1">
        <f>VLOOKUP(A73,'SegEnds_NonXtal_Prot#'!A:AL,31,FALSE)-VLOOKUP(A73,'SegEnds_NonXtal_Prot#'!A:AL,28,FALSE)</f>
        <v>52</v>
      </c>
      <c r="AJ73" s="1">
        <f>VLOOKUP(A73,'SegEnds_NonXtal_Prot#'!A:AL,34,FALSE)-VLOOKUP(A73,'SegEnds_NonXtal_Prot#'!A:AL,31,FALSE)</f>
        <v>39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342</v>
      </c>
      <c r="B74" s="1" t="str">
        <f>VLOOKUP(A74,Xtal_Templ!A:B,2,FALSE)</f>
        <v>pd2r2_human</v>
      </c>
      <c r="C74" s="5">
        <f>VLOOKUP($B74&amp;"__wt",'SegEnds_Xtal_BW#'!$A:$Z,3,FALSE)</f>
        <v>32</v>
      </c>
      <c r="D74" s="1">
        <f>VLOOKUP($B74&amp;"__wt",'SegEnds_Xtal_BW#'!$A:$Z,4,FALSE)</f>
        <v>60</v>
      </c>
      <c r="E74" s="1" t="str">
        <f>VLOOKUP($B74&amp;"__wt",'SegEnds_Xtal_BW#'!$A:$Z,5,FALSE)</f>
        <v>-</v>
      </c>
      <c r="F74" s="1" t="str">
        <f>VLOOKUP($B74&amp;"__wt",'SegEnds_Xtal_BW#'!$A:$Z,6,FALSE)</f>
        <v>-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26</v>
      </c>
      <c r="T74" s="1">
        <f t="array" ref="T74">INDEX(ICL3_classA!$G$2:$G$39,MATCH(MIN(ABS(AI74-ICL3_classA!$F$2:$F$39)),ABS(AI74-ICL3_classA!$F$2:$F$39),0))</f>
        <v>67</v>
      </c>
      <c r="U74" s="1">
        <f t="array" ref="U74">INDEX(ICL3_classA!$H$2:$H$39,MATCH(MIN(ABS(AI74-ICL3_classA!$F$2:$F$39)),ABS(AI74-ICL3_classA!$F$2:$F$39),0))</f>
        <v>26</v>
      </c>
      <c r="V74" s="1">
        <v>61</v>
      </c>
      <c r="W74" s="1">
        <v>28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64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20</v>
      </c>
      <c r="AE74" s="1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27</v>
      </c>
      <c r="AH74" s="1">
        <f>VLOOKUP(A74,'SegEnds_NonXtal_Prot#'!A:AL,28,FALSE)-VLOOKUP(A74,'SegEnds_NonXtal_Prot#'!A:AL,22,FALSE)</f>
        <v>47</v>
      </c>
      <c r="AI74" s="1">
        <f>VLOOKUP(A74,'SegEnds_NonXtal_Prot#'!A:AL,31,FALSE)-VLOOKUP(A74,'SegEnds_NonXtal_Prot#'!A:AL,28,FALSE)</f>
        <v>46</v>
      </c>
      <c r="AJ74" s="1">
        <f>VLOOKUP(A74,'SegEnds_NonXtal_Prot#'!A:AL,34,FALSE)-VLOOKUP(A74,'SegEnds_NonXtal_Prot#'!A:AL,31,FALSE)</f>
        <v>42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395</v>
      </c>
      <c r="B75" s="1" t="str">
        <f>VLOOKUP(A75,Xtal_Templ!A:B,2,FALSE)</f>
        <v>aa2ar_human</v>
      </c>
      <c r="C75" s="5">
        <f>VLOOKUP($B75&amp;"__wt",'SegEnds_Xtal_BW#'!$A:$Z,3,FALSE)</f>
        <v>27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38</v>
      </c>
      <c r="P75" s="1">
        <f>VLOOKUP($B75&amp;"__wt",'SegEnds_Xtal_BW#'!$A:$Z,16,FALSE)</f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34</v>
      </c>
      <c r="T75" s="1">
        <f t="array" ref="T75">INDEX(ICL3_classA!$G$2:$G$39,MATCH(MIN(ABS(AI75-ICL3_classA!$F$2:$F$39)),ABS(AI75-ICL3_classA!$F$2:$F$39),0))</f>
        <v>67</v>
      </c>
      <c r="U75" s="1">
        <f t="array" ref="U75">INDEX(ICL3_classA!$H$2:$H$39,MATCH(MIN(ABS(AI75-ICL3_classA!$F$2:$F$39)),ABS(AI75-ICL3_classA!$F$2:$F$39),0))</f>
        <v>26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14</v>
      </c>
      <c r="AD75" s="1">
        <f>VLOOKUP(A75,'SegEnds_NonXtal_Prot#'!A:AL,13,FALSE)-VLOOKUP(A75,'SegEnds_NonXtal_Prot#'!A:AL,10,FALSE)</f>
        <v>28</v>
      </c>
      <c r="AE75" s="1">
        <f>VLOOKUP(A75,'SegEnds_NonXtal_Prot#'!A:AL,16,FALSE)-VLOOKUP(A75,'SegEnds_NonXtal_Prot#'!A:AL,10,FALSE)</f>
        <v>59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24</v>
      </c>
      <c r="AH75" s="1">
        <f>VLOOKUP(A75,'SegEnds_NonXtal_Prot#'!A:AL,28,FALSE)-VLOOKUP(A75,'SegEnds_NonXtal_Prot#'!A:AL,22,FALSE)</f>
        <v>47</v>
      </c>
      <c r="AI75" s="1">
        <f>VLOOKUP(A75,'SegEnds_NonXtal_Prot#'!A:AL,31,FALSE)-VLOOKUP(A75,'SegEnds_NonXtal_Prot#'!A:AL,28,FALSE)</f>
        <v>46</v>
      </c>
      <c r="AJ75" s="1">
        <f>VLOOKUP(A75,'SegEnds_NonXtal_Prot#'!A:AL,34,FALSE)-VLOOKUP(A75,'SegEnds_NonXtal_Prot#'!A:AL,31,FALSE)</f>
        <v>36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212</v>
      </c>
      <c r="B76" s="1" t="str">
        <f>VLOOKUP(A76,Xtal_Templ!A:B,2,FALSE)</f>
        <v>ccr5_human</v>
      </c>
      <c r="C76" s="5">
        <f>VLOOKUP($B76&amp;"__wt",'SegEnds_Xtal_BW#'!$A:$Z,3,FALSE)</f>
        <v>24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66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7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INDEX(ICL3_classA!$G$2:$G$39,MATCH(MIN(ABS(AI76-ICL3_classA!$F$2:$F$39)),ABS(AI76-ICL3_classA!$F$2:$F$39),0))</f>
        <v>75</v>
      </c>
      <c r="U76" s="1">
        <f t="array" ref="U76">INDEX(ICL3_classA!$H$2:$H$39,MATCH(MIN(ABS(AI76-ICL3_classA!$F$2:$F$39)),ABS(AI76-ICL3_classA!$F$2:$F$39),0))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22</v>
      </c>
      <c r="AH76" s="1">
        <f>VLOOKUP(A76,'SegEnds_NonXtal_Prot#'!A:AL,28,FALSE)-VLOOKUP(A76,'SegEnds_NonXtal_Prot#'!A:AL,22,FALSE)</f>
        <v>48</v>
      </c>
      <c r="AI76" s="1">
        <f>VLOOKUP(A76,'SegEnds_NonXtal_Prot#'!A:AL,31,FALSE)-VLOOKUP(A76,'SegEnds_NonXtal_Prot#'!A:AL,28,FALSE)</f>
        <v>210</v>
      </c>
      <c r="AJ76" s="1">
        <f>VLOOKUP(A76,'SegEnds_NonXtal_Prot#'!A:AL,34,FALSE)-VLOOKUP(A76,'SegEnds_NonXtal_Prot#'!A:AL,31,FALSE)</f>
        <v>37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224</v>
      </c>
      <c r="B77" s="1" t="str">
        <f>VLOOKUP(A77,Xtal_Templ!A:B,2,FALSE)</f>
        <v>fpr2_human</v>
      </c>
      <c r="C77" s="5">
        <f>VLOOKUP($B77&amp;"__wt",'SegEnds_Xtal_BW#'!$A:$Z,3,FALSE)</f>
        <v>25</v>
      </c>
      <c r="D77" s="1">
        <f>VLOOKUP($B77&amp;"__wt",'SegEnds_Xtal_BW#'!$A:$Z,4,FALSE)</f>
        <v>61</v>
      </c>
      <c r="E77" s="1" t="str">
        <f>VLOOKUP($B77&amp;"__wt",'SegEnds_Xtal_BW#'!$A:$Z,5,FALSE)</f>
        <v>-</v>
      </c>
      <c r="F77" s="1" t="str">
        <f>VLOOKUP($B77&amp;"__wt",'SegEnds_Xtal_BW#'!$A:$Z,6,FALSE)</f>
        <v>-</v>
      </c>
      <c r="G77" s="1">
        <v>37</v>
      </c>
      <c r="H77" s="12"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v>35</v>
      </c>
      <c r="T77" s="1">
        <f t="array" ref="T77">INDEX(ICL3_classA!$G$2:$G$39,MATCH(MIN(ABS(AI77-ICL3_classA!$F$2:$F$39)),ABS(AI77-ICL3_classA!$F$2:$F$39),0))</f>
        <v>68</v>
      </c>
      <c r="U77" s="1">
        <f t="array" ref="U77">INDEX(ICL3_classA!$H$2:$H$39,MATCH(MIN(ABS(AI77-ICL3_classA!$F$2:$F$39)),ABS(AI77-ICL3_classA!$F$2:$F$39),0))</f>
        <v>24</v>
      </c>
      <c r="V77" s="1">
        <v>61</v>
      </c>
      <c r="W77" s="1">
        <v>28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58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30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22</v>
      </c>
      <c r="AH77" s="1">
        <f>VLOOKUP(A77,'SegEnds_NonXtal_Prot#'!A:AL,28,FALSE)-VLOOKUP(A77,'SegEnds_NonXtal_Prot#'!A:AL,22,FALSE)</f>
        <v>48</v>
      </c>
      <c r="AI77" s="1">
        <f>VLOOKUP(A77,'SegEnds_NonXtal_Prot#'!A:AL,31,FALSE)-VLOOKUP(A77,'SegEnds_NonXtal_Prot#'!A:AL,28,FALSE)</f>
        <v>48</v>
      </c>
      <c r="AJ77" s="1">
        <f>VLOOKUP(A77,'SegEnds_NonXtal_Prot#'!A:AL,34,FALSE)-VLOOKUP(A77,'SegEnds_NonXtal_Prot#'!A:AL,31,FALSE)</f>
        <v>40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227</v>
      </c>
      <c r="B78" s="1" t="str">
        <f>VLOOKUP(A78,Xtal_Templ!A:B,2,FALSE)</f>
        <v>5ht1b_human</v>
      </c>
      <c r="C78" s="5">
        <f>VLOOKUP($B78&amp;"__wt",'SegEnds_Xtal_BW#'!$A:$Z,3,FALSE)</f>
        <v>28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68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f>VLOOKUP($B78&amp;"__wt",'SegEnds_Xtal_BW#'!$A:$Z,14,FALSE)</f>
        <v>57</v>
      </c>
      <c r="O78" s="87">
        <v>38</v>
      </c>
      <c r="P78" s="1">
        <v>63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INDEX(ICL3_classA!$G$2:$G$39,MATCH(MIN(ABS(AI78-ICL3_classA!$F$2:$F$39)),ABS(AI78-ICL3_classA!$F$2:$F$39),0))</f>
        <v>76</v>
      </c>
      <c r="U78" s="1">
        <f t="array" ref="U78">INDEX(ICL3_classA!$H$2:$H$39,MATCH(MIN(ABS(AI78-ICL3_classA!$F$2:$F$39)),ABS(AI78-ICL3_classA!$F$2:$F$39),0))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20</v>
      </c>
      <c r="AE78" s="1">
        <f>VLOOKUP(A78,'SegEnds_NonXtal_Prot#'!A:AL,16,FALSE)-VLOOKUP(A78,'SegEnds_NonXtal_Prot#'!A:AL,10,FALSE)</f>
        <v>52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22</v>
      </c>
      <c r="AH78" s="1">
        <f>VLOOKUP(A78,'SegEnds_NonXtal_Prot#'!A:AL,28,FALSE)-VLOOKUP(A78,'SegEnds_NonXtal_Prot#'!A:AL,22,FALSE)</f>
        <v>48</v>
      </c>
      <c r="AI78" s="1">
        <f>VLOOKUP(A78,'SegEnds_NonXtal_Prot#'!A:AL,31,FALSE)-VLOOKUP(A78,'SegEnds_NonXtal_Prot#'!A:AL,28,FALSE)</f>
        <v>85</v>
      </c>
      <c r="AJ78" s="1">
        <f>VLOOKUP(A78,'SegEnds_NonXtal_Prot#'!A:AL,34,FALSE)-VLOOKUP(A78,'SegEnds_NonXtal_Prot#'!A:AL,31,FALSE)</f>
        <v>36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240</v>
      </c>
      <c r="B79" s="1" t="str">
        <f>VLOOKUP(A79,Xtal_Templ!A:B,2,FALSE)</f>
        <v>cltr2_human</v>
      </c>
      <c r="C79" s="5">
        <f>VLOOKUP($B79&amp;"__wt",'SegEnds_Xtal_BW#'!$A:$Z,3,FALSE)</f>
        <v>25</v>
      </c>
      <c r="D79" s="1">
        <f>VLOOKUP($B79&amp;"__wt",'SegEnds_Xtal_BW#'!$A:$Z,4,FALSE)</f>
        <v>60</v>
      </c>
      <c r="E79" s="1" t="str">
        <f>VLOOKUP($B79&amp;"__wt",'SegEnds_Xtal_BW#'!$A:$Z,5,FALSE)</f>
        <v>-</v>
      </c>
      <c r="F79" s="1" t="str">
        <f>VLOOKUP($B79&amp;"__wt",'SegEnds_Xtal_BW#'!$A:$Z,6,FALSE)</f>
        <v>-</v>
      </c>
      <c r="G79" s="1">
        <v>37</v>
      </c>
      <c r="H79" s="12">
        <f>VLOOKUP($B79&amp;"__wt",'SegEnds_Xtal_BW#'!$A:$Z,8,FALSE)</f>
        <v>67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63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08">
        <v>31</v>
      </c>
      <c r="T79" s="1">
        <f t="array" ref="T79">INDEX(ICL3_classA!$G$2:$G$39,MATCH(MIN(ABS(AI79-ICL3_classA!$F$2:$F$39)),ABS(AI79-ICL3_classA!$F$2:$F$39),0))</f>
        <v>67</v>
      </c>
      <c r="U79" s="1">
        <f t="array" ref="U79">INDEX(ICL3_classA!$H$2:$H$39,MATCH(MIN(ABS(AI79-ICL3_classA!$F$2:$F$39)),ABS(AI79-ICL3_classA!$F$2:$F$39),0))</f>
        <v>26</v>
      </c>
      <c r="V79" s="1">
        <v>64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 t="e">
        <f>VLOOKUP(A79,'SegEnds_NonXtal_Prot#'!A:AL,10,FALSE)-VLOOKUP(A79,'SegEnds_NonXtal_Prot#'!A:AL,7,FALSE)</f>
        <v>#VALUE!</v>
      </c>
      <c r="AD79" s="1">
        <f>VLOOKUP(A79,'SegEnds_NonXtal_Prot#'!A:AL,13,FALSE)-VLOOKUP(A79,'SegEnds_NonXtal_Prot#'!A:AL,10,FALSE)</f>
        <v>20</v>
      </c>
      <c r="AE79" s="1">
        <f>VLOOKUP(A79,'SegEnds_NonXtal_Prot#'!A:AL,16,FALSE)-VLOOKUP(A79,'SegEnds_NonXtal_Prot#'!A:AL,10,FALSE)</f>
        <v>52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23</v>
      </c>
      <c r="AH79" s="1">
        <f>VLOOKUP(A79,'SegEnds_NonXtal_Prot#'!A:AL,28,FALSE)-VLOOKUP(A79,'SegEnds_NonXtal_Prot#'!A:AL,22,FALSE)</f>
        <v>48</v>
      </c>
      <c r="AI79" s="1">
        <f>VLOOKUP(A79,'SegEnds_NonXtal_Prot#'!A:AL,31,FALSE)-VLOOKUP(A79,'SegEnds_NonXtal_Prot#'!A:AL,28,FALSE)</f>
        <v>46</v>
      </c>
      <c r="AJ79" s="1">
        <f>VLOOKUP(A79,'SegEnds_NonXtal_Prot#'!A:AL,34,FALSE)-VLOOKUP(A79,'SegEnds_NonXtal_Prot#'!A:AL,31,FALSE)</f>
        <v>44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244</v>
      </c>
      <c r="B80" s="1" t="str">
        <f>VLOOKUP(A80,Xtal_Templ!A:B,2,FALSE)</f>
        <v>gpr52_human</v>
      </c>
      <c r="C80" s="5">
        <f>VLOOKUP($B80&amp;"__wt",'SegEnds_Xtal_BW#'!$A:$Z,3,FALSE)</f>
        <v>32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52</v>
      </c>
      <c r="G80" s="1">
        <v>37</v>
      </c>
      <c r="H80" s="108">
        <v>66</v>
      </c>
      <c r="I80" s="1" t="str">
        <f>VLOOKUP($B80&amp;"__wt",'SegEnds_Xtal_BW#'!$A:$Z,9,FALSE)</f>
        <v>-</v>
      </c>
      <c r="J80" s="1" t="str">
        <f>VLOOKUP($B80&amp;"__wt",'SegEnds_Xtal_BW#'!$A:$Z,10,FALSE)</f>
        <v>-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62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INDEX(ICL3_classA!$G$2:$G$39,MATCH(MIN(ABS(AI80-ICL3_classA!$F$2:$F$39)),ABS(AI80-ICL3_classA!$F$2:$F$39),0))</f>
        <v>74</v>
      </c>
      <c r="U80" s="1">
        <f t="array" ref="U80">INDEX(ICL3_classA!$H$2:$H$39,MATCH(MIN(ABS(AI80-ICL3_classA!$F$2:$F$39)),ABS(AI80-ICL3_classA!$F$2:$F$39),0))</f>
        <v>21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67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29</v>
      </c>
      <c r="AC80" s="1">
        <f>VLOOKUP(A80,'SegEnds_NonXtal_Prot#'!A:AL,10,FALSE)-VLOOKUP(A80,'SegEnds_NonXtal_Prot#'!A:AL,7,FALSE)</f>
        <v>16</v>
      </c>
      <c r="AD80" s="1" t="e">
        <f>VLOOKUP(A80,'SegEnds_NonXtal_Prot#'!A:AL,13,FALSE)-VLOOKUP(A80,'SegEnds_NonXtal_Prot#'!A:AL,10,FALSE)</f>
        <v>#VALUE!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21</v>
      </c>
      <c r="AH80" s="1">
        <f>VLOOKUP(A80,'SegEnds_NonXtal_Prot#'!A:AL,28,FALSE)-VLOOKUP(A80,'SegEnds_NonXtal_Prot#'!A:AL,22,FALSE)</f>
        <v>48</v>
      </c>
      <c r="AI80" s="1">
        <f>VLOOKUP(A80,'SegEnds_NonXtal_Prot#'!A:AL,31,FALSE)-VLOOKUP(A80,'SegEnds_NonXtal_Prot#'!A:AL,28,FALSE)</f>
        <v>65</v>
      </c>
      <c r="AJ80" s="1">
        <f>VLOOKUP(A80,'SegEnds_NonXtal_Prot#'!A:AL,34,FALSE)-VLOOKUP(A80,'SegEnds_NonXtal_Prot#'!A:AL,31,FALSE)</f>
        <v>34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260</v>
      </c>
      <c r="B81" s="1" t="str">
        <f>VLOOKUP(A81,Xtal_Templ!A:B,2,FALSE)</f>
        <v>gpr52_human</v>
      </c>
      <c r="C81" s="5">
        <f>VLOOKUP($B81&amp;"__wt",'SegEnds_Xtal_BW#'!$A:$Z,3,FALSE)</f>
        <v>32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52</v>
      </c>
      <c r="G81" s="1">
        <v>37</v>
      </c>
      <c r="H81" s="108">
        <v>67</v>
      </c>
      <c r="I81" s="1" t="str">
        <f>VLOOKUP($B81&amp;"__wt",'SegEnds_Xtal_BW#'!$A:$Z,9,FALSE)</f>
        <v>-</v>
      </c>
      <c r="J81" s="1" t="str">
        <f>VLOOKUP($B81&amp;"__wt",'SegEnds_Xtal_BW#'!$A:$Z,10,FALSE)</f>
        <v>-</v>
      </c>
      <c r="K81" s="108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62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08">
        <v>36</v>
      </c>
      <c r="T81" s="1">
        <f t="array" ref="T81">INDEX(ICL3_classA!$G$2:$G$39,MATCH(MIN(ABS(AI81-ICL3_classA!$F$2:$F$39)),ABS(AI81-ICL3_classA!$F$2:$F$39),0))</f>
        <v>74</v>
      </c>
      <c r="U81" s="1">
        <f t="array" ref="U81">INDEX(ICL3_classA!$H$2:$H$39,MATCH(MIN(ABS(AI81-ICL3_classA!$F$2:$F$39)),ABS(AI81-ICL3_classA!$F$2:$F$39),0))</f>
        <v>21</v>
      </c>
      <c r="V81" s="1">
        <v>61</v>
      </c>
      <c r="W81" s="108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67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29</v>
      </c>
      <c r="AC81" s="1">
        <f>VLOOKUP(A81,'SegEnds_NonXtal_Prot#'!A:AL,10,FALSE)-VLOOKUP(A81,'SegEnds_NonXtal_Prot#'!A:AL,7,FALSE)</f>
        <v>16</v>
      </c>
      <c r="AD81" s="1" t="e">
        <f>VLOOKUP(A81,'SegEnds_NonXtal_Prot#'!A:AL,13,FALSE)-VLOOKUP(A81,'SegEnds_NonXtal_Prot#'!A:AL,10,FALSE)</f>
        <v>#VALUE!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21</v>
      </c>
      <c r="AH81" s="1">
        <f>VLOOKUP(A81,'SegEnds_NonXtal_Prot#'!A:AL,28,FALSE)-VLOOKUP(A81,'SegEnds_NonXtal_Prot#'!A:AL,22,FALSE)</f>
        <v>48</v>
      </c>
      <c r="AI81" s="1">
        <f>VLOOKUP(A81,'SegEnds_NonXtal_Prot#'!A:AL,31,FALSE)-VLOOKUP(A81,'SegEnds_NonXtal_Prot#'!A:AL,28,FALSE)</f>
        <v>66</v>
      </c>
      <c r="AJ81" s="1">
        <f>VLOOKUP(A81,'SegEnds_NonXtal_Prot#'!A:AL,34,FALSE)-VLOOKUP(A81,'SegEnds_NonXtal_Prot#'!A:AL,31,FALSE)</f>
        <v>34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Xtal</v>
      </c>
    </row>
    <row r="82" spans="1:38" x14ac:dyDescent="0.2">
      <c r="A82" s="1" t="s">
        <v>275</v>
      </c>
      <c r="B82" s="1" t="str">
        <f>VLOOKUP(A82,Xtal_Templ!A:B,2,FALSE)</f>
        <v>p2ry1_human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 t="str">
        <f>VLOOKUP($B82&amp;"__wt",'SegEnds_Xtal_BW#'!$A:$Z,5,FALSE)</f>
        <v>-</v>
      </c>
      <c r="F82" s="1" t="str">
        <f>VLOOKUP($B82&amp;"__wt",'SegEnds_Xtal_BW#'!$A:$Z,6,FALSE)</f>
        <v>-</v>
      </c>
      <c r="G82" s="1">
        <v>37</v>
      </c>
      <c r="H82" s="12">
        <f>VLOOKUP($B82&amp;"__wt",'SegEnds_Xtal_BW#'!$A:$Z,8,FALSE)</f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32</v>
      </c>
      <c r="T82" s="1">
        <f t="array" ref="T82">INDEX(ICL3_classA!$G$2:$G$39,MATCH(MIN(ABS(AI82-ICL3_classA!$F$2:$F$39)),ABS(AI82-ICL3_classA!$F$2:$F$39),0))</f>
        <v>67</v>
      </c>
      <c r="U82" s="1">
        <f t="array" ref="U82">INDEX(ICL3_classA!$H$2:$H$39,MATCH(MIN(ABS(AI82-ICL3_classA!$F$2:$F$39)),ABS(AI82-ICL3_classA!$F$2:$F$39),0))</f>
        <v>26</v>
      </c>
      <c r="V82" s="1">
        <v>61</v>
      </c>
      <c r="W82" s="1">
        <v>28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 t="e">
        <f>VLOOKUP(A82,'SegEnds_NonXtal_Prot#'!A:AL,10,FALSE)-VLOOKUP(A82,'SegEnds_NonXtal_Prot#'!A:AL,7,FALSE)</f>
        <v>#VALUE!</v>
      </c>
      <c r="AD82" s="1">
        <f>VLOOKUP(A82,'SegEnds_NonXtal_Prot#'!A:AL,13,FALSE)-VLOOKUP(A82,'SegEnds_NonXtal_Prot#'!A:AL,10,FALSE)</f>
        <v>20</v>
      </c>
      <c r="AE82" s="1">
        <f>VLOOKUP(A82,'SegEnds_NonXtal_Prot#'!A:AL,16,FALSE)-VLOOKUP(A82,'SegEnds_NonXtal_Prot#'!A:AL,10,FALSE)</f>
        <v>52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23</v>
      </c>
      <c r="AH82" s="1">
        <f>VLOOKUP(A82,'SegEnds_NonXtal_Prot#'!A:AL,28,FALSE)-VLOOKUP(A82,'SegEnds_NonXtal_Prot#'!A:AL,22,FALSE)</f>
        <v>48</v>
      </c>
      <c r="AI82" s="1">
        <f>VLOOKUP(A82,'SegEnds_NonXtal_Prot#'!A:AL,31,FALSE)-VLOOKUP(A82,'SegEnds_NonXtal_Prot#'!A:AL,28,FALSE)</f>
        <v>47</v>
      </c>
      <c r="AJ82" s="1">
        <f>VLOOKUP(A82,'SegEnds_NonXtal_Prot#'!A:AL,34,FALSE)-VLOOKUP(A82,'SegEnds_NonXtal_Prot#'!A:AL,31,FALSE)</f>
        <v>40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276</v>
      </c>
      <c r="B83" s="1" t="str">
        <f>VLOOKUP(A83,Xtal_Templ!A:B,2,FALSE)</f>
        <v>p2ry1_human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 t="str">
        <f>VLOOKUP($B83&amp;"__wt",'SegEnds_Xtal_BW#'!$A:$Z,5,FALSE)</f>
        <v>-</v>
      </c>
      <c r="F83" s="1" t="str">
        <f>VLOOKUP($B83&amp;"__wt",'SegEnds_Xtal_BW#'!$A:$Z,6,FALSE)</f>
        <v>-</v>
      </c>
      <c r="G83" s="1">
        <v>37</v>
      </c>
      <c r="H83" s="12">
        <f>VLOOKUP($B83&amp;"__wt",'SegEnds_Xtal_BW#'!$A:$Z,8,FALSE)</f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32</v>
      </c>
      <c r="T83" s="1">
        <f t="array" ref="T83">INDEX(ICL3_classA!$G$2:$G$39,MATCH(MIN(ABS(AI83-ICL3_classA!$F$2:$F$39)),ABS(AI83-ICL3_classA!$F$2:$F$39),0))</f>
        <v>67</v>
      </c>
      <c r="U83" s="1">
        <f t="array" ref="U83">INDEX(ICL3_classA!$H$2:$H$39,MATCH(MIN(ABS(AI83-ICL3_classA!$F$2:$F$39)),ABS(AI83-ICL3_classA!$F$2:$F$39),0))</f>
        <v>26</v>
      </c>
      <c r="V83" s="1">
        <v>64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>
        <f>VLOOKUP(A83,'SegEnds_NonXtal_Prot#'!A:AL,13,FALSE)-VLOOKUP(A83,'SegEnds_NonXtal_Prot#'!A:AL,10,FALSE)</f>
        <v>20</v>
      </c>
      <c r="AE83" s="1">
        <f>VLOOKUP(A83,'SegEnds_NonXtal_Prot#'!A:AL,16,FALSE)-VLOOKUP(A83,'SegEnds_NonXtal_Prot#'!A:AL,10,FALSE)</f>
        <v>52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23</v>
      </c>
      <c r="AH83" s="1">
        <f>VLOOKUP(A83,'SegEnds_NonXtal_Prot#'!A:AL,28,FALSE)-VLOOKUP(A83,'SegEnds_NonXtal_Prot#'!A:AL,22,FALSE)</f>
        <v>48</v>
      </c>
      <c r="AI83" s="1">
        <f>VLOOKUP(A83,'SegEnds_NonXtal_Prot#'!A:AL,31,FALSE)-VLOOKUP(A83,'SegEnds_NonXtal_Prot#'!A:AL,28,FALSE)</f>
        <v>46</v>
      </c>
      <c r="AJ83" s="1">
        <f>VLOOKUP(A83,'SegEnds_NonXtal_Prot#'!A:AL,34,FALSE)-VLOOKUP(A83,'SegEnds_NonXtal_Prot#'!A:AL,31,FALSE)</f>
        <v>45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277</v>
      </c>
      <c r="B84" s="1" t="str">
        <f>VLOOKUP(A84,Xtal_Templ!A:B,2,FALSE)</f>
        <v>p2ry1_human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 t="str">
        <f>VLOOKUP($B84&amp;"__wt",'SegEnds_Xtal_BW#'!$A:$Z,5,FALSE)</f>
        <v>-</v>
      </c>
      <c r="F84" s="1" t="str">
        <f>VLOOKUP($B84&amp;"__wt",'SegEnds_Xtal_BW#'!$A:$Z,6,FALSE)</f>
        <v>-</v>
      </c>
      <c r="G84" s="1">
        <v>37</v>
      </c>
      <c r="H84" s="12">
        <f>VLOOKUP($B84&amp;"__wt",'SegEnds_Xtal_BW#'!$A:$Z,8,FALSE)</f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32</v>
      </c>
      <c r="T84" s="1">
        <f t="array" ref="T84">INDEX(ICL3_classA!$G$2:$G$39,MATCH(MIN(ABS(AI84-ICL3_classA!$F$2:$F$39)),ABS(AI84-ICL3_classA!$F$2:$F$39),0))</f>
        <v>67</v>
      </c>
      <c r="U84" s="1">
        <f t="array" ref="U84">INDEX(ICL3_classA!$H$2:$H$39,MATCH(MIN(ABS(AI84-ICL3_classA!$F$2:$F$39)),ABS(AI84-ICL3_classA!$F$2:$F$39),0))</f>
        <v>26</v>
      </c>
      <c r="V84" s="1">
        <v>64</v>
      </c>
      <c r="W84" s="1">
        <v>24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 t="e">
        <f>VLOOKUP(A84,'SegEnds_NonXtal_Prot#'!A:AL,10,FALSE)-VLOOKUP(A84,'SegEnds_NonXtal_Prot#'!A:AL,7,FALSE)</f>
        <v>#VALUE!</v>
      </c>
      <c r="AD84" s="1">
        <f>VLOOKUP(A84,'SegEnds_NonXtal_Prot#'!A:AL,13,FALSE)-VLOOKUP(A84,'SegEnds_NonXtal_Prot#'!A:AL,10,FALSE)</f>
        <v>20</v>
      </c>
      <c r="AE84" s="1">
        <f>VLOOKUP(A84,'SegEnds_NonXtal_Prot#'!A:AL,16,FALSE)-VLOOKUP(A84,'SegEnds_NonXtal_Prot#'!A:AL,10,FALSE)</f>
        <v>52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23</v>
      </c>
      <c r="AH84" s="1">
        <f>VLOOKUP(A84,'SegEnds_NonXtal_Prot#'!A:AL,28,FALSE)-VLOOKUP(A84,'SegEnds_NonXtal_Prot#'!A:AL,22,FALSE)</f>
        <v>48</v>
      </c>
      <c r="AI84" s="1">
        <f>VLOOKUP(A84,'SegEnds_NonXtal_Prot#'!A:AL,31,FALSE)-VLOOKUP(A84,'SegEnds_NonXtal_Prot#'!A:AL,28,FALSE)</f>
        <v>46</v>
      </c>
      <c r="AJ84" s="1">
        <f>VLOOKUP(A84,'SegEnds_NonXtal_Prot#'!A:AL,34,FALSE)-VLOOKUP(A84,'SegEnds_NonXtal_Prot#'!A:AL,31,FALSE)</f>
        <v>45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362</v>
      </c>
      <c r="B85" s="1" t="str">
        <f>VLOOKUP(A85,Xtal_Templ!A:B,2,FALSE)</f>
        <v>pe2r4_human</v>
      </c>
      <c r="C85" s="5">
        <f>VLOOKUP($B85&amp;"__wt",'SegEnds_Xtal_BW#'!$A:$Z,3,FALSE)</f>
        <v>33</v>
      </c>
      <c r="D85" s="1">
        <f>VLOOKUP($B85&amp;"__wt",'SegEnds_Xtal_BW#'!$A:$Z,4,FALSE)</f>
        <v>58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67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63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v>35</v>
      </c>
      <c r="T85" s="1">
        <f t="array" ref="T85">INDEX(ICL3_classA!$G$2:$G$39,MATCH(MIN(ABS(AI85-ICL3_classA!$F$2:$F$39)),ABS(AI85-ICL3_classA!$F$2:$F$39),0))</f>
        <v>76</v>
      </c>
      <c r="U85" s="1">
        <f t="array" ref="U85">INDEX(ICL3_classA!$H$2:$H$39,MATCH(MIN(ABS(AI85-ICL3_classA!$F$2:$F$39)),ABS(AI85-ICL3_classA!$F$2:$F$39),0))</f>
        <v>24</v>
      </c>
      <c r="V85" s="1">
        <v>61</v>
      </c>
      <c r="W85" s="1">
        <v>33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60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39</v>
      </c>
      <c r="AC85" s="1">
        <f>VLOOKUP(A85,'SegEnds_NonXtal_Prot#'!A:AL,10,FALSE)-VLOOKUP(A85,'SegEnds_NonXtal_Prot#'!A:AL,7,FALSE)</f>
        <v>20</v>
      </c>
      <c r="AD85" s="1" t="e">
        <f>VLOOKUP(A85,'SegEnds_NonXtal_Prot#'!A:AL,13,FALSE)-VLOOKUP(A85,'SegEnds_NonXtal_Prot#'!A:AL,10,FALSE)</f>
        <v>#VALUE!</v>
      </c>
      <c r="AE85" s="1">
        <f>VLOOKUP(A85,'SegEnds_NonXtal_Prot#'!A:AL,16,FALSE)-VLOOKUP(A85,'SegEnds_NonXtal_Prot#'!A:AL,10,FALSE)</f>
        <v>56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22</v>
      </c>
      <c r="AH85" s="1">
        <f>VLOOKUP(A85,'SegEnds_NonXtal_Prot#'!A:AL,28,FALSE)-VLOOKUP(A85,'SegEnds_NonXtal_Prot#'!A:AL,22,FALSE)</f>
        <v>48</v>
      </c>
      <c r="AI85" s="1">
        <f>VLOOKUP(A85,'SegEnds_NonXtal_Prot#'!A:AL,31,FALSE)-VLOOKUP(A85,'SegEnds_NonXtal_Prot#'!A:AL,28,FALSE)</f>
        <v>70</v>
      </c>
      <c r="AJ85" s="1">
        <f>VLOOKUP(A85,'SegEnds_NonXtal_Prot#'!A:AL,34,FALSE)-VLOOKUP(A85,'SegEnds_NonXtal_Prot#'!A:AL,31,FALSE)</f>
        <v>33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1507</v>
      </c>
      <c r="B86" s="1" t="str">
        <f>VLOOKUP(A86,Xtal_Templ!A:B,2,FALSE)</f>
        <v>q80km9_hcmv</v>
      </c>
      <c r="C86" s="5">
        <f>VLOOKUP($B86&amp;"__wt",'SegEnds_Xtal_BW#'!$A:$Z,3,FALSE)</f>
        <v>24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v>66</v>
      </c>
      <c r="I86" s="1" t="str">
        <f>VLOOKUP($B86&amp;"__wt",'SegEnds_Xtal_BW#'!$A:$Z,9,FALSE)</f>
        <v>-</v>
      </c>
      <c r="J86" s="1" t="str">
        <f>VLOOKUP($B86&amp;"__wt",'SegEnds_Xtal_BW#'!$A:$Z,10,FALSE)</f>
        <v>-</v>
      </c>
      <c r="K86" s="108">
        <v>21</v>
      </c>
      <c r="L86" s="1">
        <f>VLOOKUP($B86&amp;"__wt",'SegEnds_Xtal_BW#'!$A:$Z,12,FALSE)</f>
        <v>55</v>
      </c>
      <c r="M86" s="1" t="str">
        <f>VLOOKUP($B86&amp;"__wt",'SegEnds_Xtal_BW#'!$A:$Z,13,FALSE)</f>
        <v>-</v>
      </c>
      <c r="N86" s="12" t="str">
        <f>VLOOKUP($B86&amp;"__wt",'SegEnds_Xtal_BW#'!$A:$Z,14,FALSE)</f>
        <v>-</v>
      </c>
      <c r="O86" s="87">
        <f>VLOOKUP($B86&amp;"__wt",'SegEnds_Xtal_BW#'!$A:$Z,15,FALSE)</f>
        <v>38</v>
      </c>
      <c r="P86" s="1">
        <f>VLOOKUP($B86&amp;"__wt",'SegEnds_Xtal_BW#'!$A:$Z,16,FALSE)</f>
        <v>62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33</v>
      </c>
      <c r="T86" s="1">
        <f t="array" ref="T86">INDEX(ICL3_classA!$G$2:$G$39,MATCH(MIN(ABS(AI86-ICL3_classA!$F$2:$F$39)),ABS(AI86-ICL3_classA!$F$2:$F$39),0))</f>
        <v>68</v>
      </c>
      <c r="U86" s="1">
        <v>29</v>
      </c>
      <c r="V86" s="1">
        <v>64</v>
      </c>
      <c r="W86" s="1">
        <v>24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62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>
        <f>VLOOKUP(A86,'SegEnds_NonXtal_Prot#'!A:AL,10,FALSE)-VLOOKUP(A86,'SegEnds_NonXtal_Prot#'!A:AL,7,FALSE)</f>
        <v>15</v>
      </c>
      <c r="AD86" s="1" t="e">
        <f>VLOOKUP(A86,'SegEnds_NonXtal_Prot#'!A:AL,13,FALSE)-VLOOKUP(A86,'SegEnds_NonXtal_Prot#'!A:AL,10,FALSE)</f>
        <v>#VALUE!</v>
      </c>
      <c r="AE86" s="1">
        <f>VLOOKUP(A86,'SegEnds_NonXtal_Prot#'!A:AL,16,FALSE)-VLOOKUP(A86,'SegEnds_NonXtal_Prot#'!A:AL,10,FALSE)</f>
        <v>50</v>
      </c>
      <c r="AF86" s="1" t="e">
        <f>VLOOKUP(A86,'SegEnds_NonXtal_Prot#'!A:AL,22,FALSE)-VLOOKUP(A86,'SegEnds_NonXtal_Prot#'!A:AL,19,FALSE)</f>
        <v>#VALUE!</v>
      </c>
      <c r="AG86" s="1">
        <f>VLOOKUP(A86,'SegEnds_NonXtal_Prot#'!A:AL,28,FALSE)-VLOOKUP(A86,'SegEnds_NonXtal_Prot#'!A:AL,25,FALSE)</f>
        <v>27</v>
      </c>
      <c r="AH86" s="1">
        <f>VLOOKUP(A86,'SegEnds_NonXtal_Prot#'!A:AL,28,FALSE)-VLOOKUP(A86,'SegEnds_NonXtal_Prot#'!A:AL,22,FALSE)</f>
        <v>48</v>
      </c>
      <c r="AI86" s="1">
        <f>VLOOKUP(A86,'SegEnds_NonXtal_Prot#'!A:AL,31,FALSE)-VLOOKUP(A86,'SegEnds_NonXtal_Prot#'!A:AL,28,FALSE)</f>
        <v>43</v>
      </c>
      <c r="AJ86" s="1">
        <f>VLOOKUP(A86,'SegEnds_NonXtal_Prot#'!A:AL,34,FALSE)-VLOOKUP(A86,'SegEnds_NonXtal_Prot#'!A:AL,31,FALSE)</f>
        <v>45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Xtal</v>
      </c>
    </row>
    <row r="87" spans="1:38" x14ac:dyDescent="0.2">
      <c r="A87" s="1" t="s">
        <v>923</v>
      </c>
      <c r="B87" s="1" t="str">
        <f>VLOOKUP(A87,Xtal_Templ!A:B,2,FALSE)</f>
        <v>us28_hcmva</v>
      </c>
      <c r="C87" s="5">
        <f>VLOOKUP($B87&amp;"__wt",'SegEnds_Xtal_BW#'!$A:$Z,3,FALSE)</f>
        <v>24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66</v>
      </c>
      <c r="I87" s="1" t="str">
        <f>VLOOKUP($B87&amp;"__wt",'SegEnds_Xtal_BW#'!$A:$Z,9,FALSE)</f>
        <v>-</v>
      </c>
      <c r="J87" s="1" t="str">
        <f>VLOOKUP($B87&amp;"__wt",'SegEnds_Xtal_BW#'!$A:$Z,10,FALSE)</f>
        <v>-</v>
      </c>
      <c r="K87" s="108">
        <v>21</v>
      </c>
      <c r="L87" s="1">
        <f>VLOOKUP($B87&amp;"__wt",'SegEnds_Xtal_BW#'!$A:$Z,12,FALSE)</f>
        <v>55</v>
      </c>
      <c r="M87" s="1" t="str">
        <f>VLOOKUP($B87&amp;"__wt",'SegEnds_Xtal_BW#'!$A:$Z,13,FALSE)</f>
        <v>-</v>
      </c>
      <c r="N87" s="12" t="str">
        <f>VLOOKUP($B87&amp;"__wt",'SegEnds_Xtal_BW#'!$A:$Z,14,FALSE)</f>
        <v>-</v>
      </c>
      <c r="O87" s="87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33</v>
      </c>
      <c r="T87" s="1">
        <f t="array" ref="T87">INDEX(ICL3_classA!$G$2:$G$39,MATCH(MIN(ABS(AI87-ICL3_classA!$F$2:$F$39)),ABS(AI87-ICL3_classA!$F$2:$F$39),0))</f>
        <v>68</v>
      </c>
      <c r="U87" s="1">
        <v>29</v>
      </c>
      <c r="V87" s="1">
        <v>64</v>
      </c>
      <c r="W87" s="1">
        <v>24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62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50</v>
      </c>
      <c r="AF87" s="1" t="e">
        <f>VLOOKUP(A87,'SegEnds_NonXtal_Prot#'!A:AL,22,FALSE)-VLOOKUP(A87,'SegEnds_NonXtal_Prot#'!A:AL,19,FALSE)</f>
        <v>#VALUE!</v>
      </c>
      <c r="AG87" s="1">
        <f>VLOOKUP(A87,'SegEnds_NonXtal_Prot#'!A:AL,28,FALSE)-VLOOKUP(A87,'SegEnds_NonXtal_Prot#'!A:AL,25,FALSE)</f>
        <v>27</v>
      </c>
      <c r="AH87" s="1">
        <f>VLOOKUP(A87,'SegEnds_NonXtal_Prot#'!A:AL,28,FALSE)-VLOOKUP(A87,'SegEnds_NonXtal_Prot#'!A:AL,22,FALSE)</f>
        <v>48</v>
      </c>
      <c r="AI87" s="1">
        <f>VLOOKUP(A87,'SegEnds_NonXtal_Prot#'!A:AL,31,FALSE)-VLOOKUP(A87,'SegEnds_NonXtal_Prot#'!A:AL,28,FALSE)</f>
        <v>43</v>
      </c>
      <c r="AJ87" s="1">
        <f>VLOOKUP(A87,'SegEnds_NonXtal_Prot#'!A:AL,34,FALSE)-VLOOKUP(A87,'SegEnds_NonXtal_Prot#'!A:AL,31,FALSE)</f>
        <v>45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Xtal</v>
      </c>
    </row>
    <row r="88" spans="1:38" x14ac:dyDescent="0.2">
      <c r="A88" s="1" t="s">
        <v>35</v>
      </c>
      <c r="B88" s="1" t="str">
        <f>VLOOKUP(A88,Xtal_Templ!A:B,2,FALSE)</f>
        <v>5ht2b_human</v>
      </c>
      <c r="C88" s="5">
        <f>VLOOKUP($B88&amp;"__wt",'SegEnds_Xtal_BW#'!$A:$Z,3,FALSE)</f>
        <v>31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57</v>
      </c>
      <c r="O88" s="87">
        <f>VLOOKUP($B88&amp;"__wt",'SegEnds_Xtal_BW#'!$A:$Z,15,FALSE)</f>
        <v>38</v>
      </c>
      <c r="P88" s="1">
        <f>VLOOKUP($B88&amp;"__wt",'SegEnds_Xtal_BW#'!$A:$Z,16,FALSE)</f>
        <v>64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INDEX(ICL3_classA!$G$2:$G$39,MATCH(MIN(ABS(AI88-ICL3_classA!$F$2:$F$39)),ABS(AI88-ICL3_classA!$F$2:$F$39),0))</f>
        <v>76</v>
      </c>
      <c r="U88" s="1">
        <f t="array" ref="U88">INDEX(ICL3_classA!$H$2:$H$39,MATCH(MIN(ABS(AI88-ICL3_classA!$F$2:$F$39)),ABS(AI88-ICL3_classA!$F$2:$F$39),0))</f>
        <v>24</v>
      </c>
      <c r="V88" s="1">
        <v>61</v>
      </c>
      <c r="W88" s="131">
        <v>27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21</v>
      </c>
      <c r="AE88" s="1">
        <f>VLOOKUP(A88,'SegEnds_NonXtal_Prot#'!A:AL,16,FALSE)-VLOOKUP(A88,'SegEnds_NonXtal_Prot#'!A:AL,10,FALSE)</f>
        <v>53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22</v>
      </c>
      <c r="AH88" s="1">
        <f>VLOOKUP(A88,'SegEnds_NonXtal_Prot#'!A:AL,28,FALSE)-VLOOKUP(A88,'SegEnds_NonXtal_Prot#'!A:AL,22,FALSE)</f>
        <v>49</v>
      </c>
      <c r="AI88" s="1">
        <f>VLOOKUP(A88,'SegEnds_NonXtal_Prot#'!A:AL,31,FALSE)-VLOOKUP(A88,'SegEnds_NonXtal_Prot#'!A:AL,28,FALSE)</f>
        <v>110</v>
      </c>
      <c r="AJ88" s="1">
        <f>VLOOKUP(A88,'SegEnds_NonXtal_Prot#'!A:AL,34,FALSE)-VLOOKUP(A88,'SegEnds_NonXtal_Prot#'!A:AL,31,FALSE)</f>
        <v>38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Xtal</v>
      </c>
    </row>
    <row r="89" spans="1:38" x14ac:dyDescent="0.2">
      <c r="A89" s="1" t="s">
        <v>136</v>
      </c>
      <c r="B89" s="1" t="str">
        <f>VLOOKUP(A89,Xtal_Templ!A:B,2,FALSE)</f>
        <v>5ht2c_human</v>
      </c>
      <c r="C89" s="5">
        <f>VLOOKUP($B89&amp;"__wt",'SegEnds_Xtal_BW#'!$A:$Z,3,FALSE)</f>
        <v>33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v>38</v>
      </c>
      <c r="P89" s="1">
        <f>VLOOKUP($B89&amp;"__wt",'SegEnds_Xtal_BW#'!$A:$Z,16,FALSE)</f>
        <v>67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INDEX(ICL3_classA!$G$2:$G$39,MATCH(MIN(ABS(AI89-ICL3_classA!$F$2:$F$39)),ABS(AI89-ICL3_classA!$F$2:$F$39),0))</f>
        <v>76</v>
      </c>
      <c r="U89" s="1">
        <f t="array" ref="U89">INDEX(ICL3_classA!$H$2:$H$39,MATCH(MIN(ABS(AI89-ICL3_classA!$F$2:$F$39)),ABS(AI89-ICL3_classA!$F$2:$F$39),0))</f>
        <v>24</v>
      </c>
      <c r="V89" s="1">
        <v>61</v>
      </c>
      <c r="W89" s="1">
        <v>32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60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20</v>
      </c>
      <c r="AH89" s="1">
        <f>VLOOKUP(A89,'SegEnds_NonXtal_Prot#'!A:AL,28,FALSE)-VLOOKUP(A89,'SegEnds_NonXtal_Prot#'!A:AL,22,FALSE)</f>
        <v>49</v>
      </c>
      <c r="AI89" s="1">
        <f>VLOOKUP(A89,'SegEnds_NonXtal_Prot#'!A:AL,31,FALSE)-VLOOKUP(A89,'SegEnds_NonXtal_Prot#'!A:AL,28,FALSE)</f>
        <v>83</v>
      </c>
      <c r="AJ89" s="1">
        <f>VLOOKUP(A89,'SegEnds_NonXtal_Prot#'!A:AL,34,FALSE)-VLOOKUP(A89,'SegEnds_NonXtal_Prot#'!A:AL,31,FALSE)</f>
        <v>34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170</v>
      </c>
      <c r="B90" s="1" t="str">
        <f>VLOOKUP(A90,Xtal_Templ!A:B,2,FALSE)</f>
        <v>ccr2_human</v>
      </c>
      <c r="C90" s="5">
        <f>VLOOKUP($B90&amp;"__wt",'SegEnds_Xtal_BW#'!$A:$Z,3,FALSE)</f>
        <v>27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24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f>VLOOKUP($B90&amp;"__wt",'SegEnds_Xtal_BW#'!$A:$Z,14,FALSE)</f>
        <v>57</v>
      </c>
      <c r="O90" s="87">
        <f>VLOOKUP($B90&amp;"__wt",'SegEnds_Xtal_BW#'!$A:$Z,15,FALSE)</f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31</v>
      </c>
      <c r="T90" s="1">
        <f t="array" ref="T90">INDEX(ICL3_classA!$G$2:$G$39,MATCH(MIN(ABS(AI90-ICL3_classA!$F$2:$F$39)),ABS(AI90-ICL3_classA!$F$2:$F$39),0))</f>
        <v>68</v>
      </c>
      <c r="U90" s="1">
        <f t="array" ref="U90">INDEX(ICL3_classA!$H$2:$H$39,MATCH(MIN(ABS(AI90-ICL3_classA!$F$2:$F$39)),ABS(AI90-ICL3_classA!$F$2:$F$39),0))</f>
        <v>28</v>
      </c>
      <c r="V90" s="1">
        <v>65</v>
      </c>
      <c r="W90" s="1">
        <v>24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18</v>
      </c>
      <c r="AE90" s="1">
        <f>VLOOKUP(A90,'SegEnds_NonXtal_Prot#'!A:AL,16,FALSE)-VLOOKUP(A90,'SegEnds_NonXtal_Prot#'!A:AL,10,FALSE)</f>
        <v>50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24</v>
      </c>
      <c r="AH90" s="1">
        <f>VLOOKUP(A90,'SegEnds_NonXtal_Prot#'!A:AL,28,FALSE)-VLOOKUP(A90,'SegEnds_NonXtal_Prot#'!A:AL,22,FALSE)</f>
        <v>49</v>
      </c>
      <c r="AI90" s="1">
        <f>VLOOKUP(A90,'SegEnds_NonXtal_Prot#'!A:AL,31,FALSE)-VLOOKUP(A90,'SegEnds_NonXtal_Prot#'!A:AL,28,FALSE)</f>
        <v>44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Xtal</v>
      </c>
    </row>
    <row r="91" spans="1:38" x14ac:dyDescent="0.2">
      <c r="A91" s="1" t="s">
        <v>184</v>
      </c>
      <c r="B91" s="1" t="str">
        <f>VLOOKUP(A91,Xtal_Templ!A:B,2,FALSE)</f>
        <v>ccr2_human</v>
      </c>
      <c r="C91" s="5">
        <f>VLOOKUP($B91&amp;"__wt",'SegEnds_Xtal_BW#'!$A:$Z,3,FALSE)</f>
        <v>27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24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31</v>
      </c>
      <c r="T91" s="1">
        <f t="array" ref="T91">INDEX(ICL3_classA!$G$2:$G$39,MATCH(MIN(ABS(AI91-ICL3_classA!$F$2:$F$39)),ABS(AI91-ICL3_classA!$F$2:$F$39),0))</f>
        <v>68</v>
      </c>
      <c r="U91" s="1">
        <f t="array" ref="U91">INDEX(ICL3_classA!$H$2:$H$39,MATCH(MIN(ABS(AI91-ICL3_classA!$F$2:$F$39)),ABS(AI91-ICL3_classA!$F$2:$F$39),0))</f>
        <v>30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 t="e">
        <f>VLOOKUP(A91,'SegEnds_NonXtal_Prot#'!A:AL,13,FALSE)-VLOOKUP(A91,'SegEnds_NonXtal_Prot#'!A:AL,10,FALSE)</f>
        <v>#VALUE!</v>
      </c>
      <c r="AE91" s="1">
        <f>VLOOKUP(A91,'SegEnds_NonXtal_Prot#'!A:AL,16,FALSE)-VLOOKUP(A91,'SegEnds_NonXtal_Prot#'!A:AL,10,FALSE)</f>
        <v>50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49</v>
      </c>
      <c r="AI91" s="1">
        <f>VLOOKUP(A91,'SegEnds_NonXtal_Prot#'!A:AL,31,FALSE)-VLOOKUP(A91,'SegEnds_NonXtal_Prot#'!A:AL,28,FALSE)</f>
        <v>43</v>
      </c>
      <c r="AJ91" s="1">
        <f>VLOOKUP(A91,'SegEnds_NonXtal_Prot#'!A:AL,34,FALSE)-VLOOKUP(A91,'SegEnds_NonXtal_Prot#'!A:AL,31,FALSE)</f>
        <v>44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206</v>
      </c>
      <c r="B92" s="1" t="str">
        <f>VLOOKUP(A92,Xtal_Templ!A:B,2,FALSE)</f>
        <v>oprk_human</v>
      </c>
      <c r="C92" s="5">
        <f>VLOOKUP($B92&amp;"__wt",'SegEnds_Xtal_BW#'!$A:$Z,3,FALSE)</f>
        <v>30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30</v>
      </c>
      <c r="T92" s="1">
        <f t="array" ref="T92">INDEX(ICL3_classA!$G$2:$G$39,MATCH(MIN(ABS(AI92-ICL3_classA!$F$2:$F$39)),ABS(AI92-ICL3_classA!$F$2:$F$39),0))</f>
        <v>72</v>
      </c>
      <c r="U92" s="1">
        <f t="array" ref="U92">INDEX(ICL3_classA!$H$2:$H$39,MATCH(MIN(ABS(AI92-ICL3_classA!$F$2:$F$39)),ABS(AI92-ICL3_classA!$F$2:$F$39),0))</f>
        <v>23</v>
      </c>
      <c r="V92" s="1">
        <v>61</v>
      </c>
      <c r="W92" s="131">
        <f>VLOOKUP($B92&amp;"__wt",'SegEnds_Xtal_BW#'!$A:$Z,23,FALSE)</f>
        <v>28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24</v>
      </c>
      <c r="AH92" s="1">
        <f>VLOOKUP(A92,'SegEnds_NonXtal_Prot#'!A:AL,28,FALSE)-VLOOKUP(A92,'SegEnds_NonXtal_Prot#'!A:AL,22,FALSE)</f>
        <v>49</v>
      </c>
      <c r="AI92" s="1">
        <f>VLOOKUP(A92,'SegEnds_NonXtal_Prot#'!A:AL,31,FALSE)-VLOOKUP(A92,'SegEnds_NonXtal_Prot#'!A:AL,28,FALSE)</f>
        <v>52</v>
      </c>
      <c r="AJ92" s="1">
        <f>VLOOKUP(A92,'SegEnds_NonXtal_Prot#'!A:AL,34,FALSE)-VLOOKUP(A92,'SegEnds_NonXtal_Prot#'!A:AL,31,FALSE)</f>
        <v>38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207</v>
      </c>
      <c r="B93" s="1" t="str">
        <f>VLOOKUP(A93,Xtal_Templ!A:B,2,FALSE)</f>
        <v>oprk_human</v>
      </c>
      <c r="C93" s="5">
        <f>VLOOKUP($B93&amp;"__wt",'SegEnds_Xtal_BW#'!$A:$Z,3,FALSE)</f>
        <v>30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30</v>
      </c>
      <c r="T93" s="1">
        <f t="array" ref="T93">INDEX(ICL3_classA!$G$2:$G$39,MATCH(MIN(ABS(AI93-ICL3_classA!$F$2:$F$39)),ABS(AI93-ICL3_classA!$F$2:$F$39),0))</f>
        <v>72</v>
      </c>
      <c r="U93" s="1">
        <f t="array" ref="U93">INDEX(ICL3_classA!$H$2:$H$39,MATCH(MIN(ABS(AI93-ICL3_classA!$F$2:$F$39)),ABS(AI93-ICL3_classA!$F$2:$F$39),0))</f>
        <v>24</v>
      </c>
      <c r="V93" s="1">
        <v>61</v>
      </c>
      <c r="W93" s="131">
        <f>VLOOKUP($B93&amp;"__wt",'SegEnds_Xtal_BW#'!$A:$Z,23,FALSE)</f>
        <v>28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33</v>
      </c>
      <c r="AC93" s="1">
        <f>VLOOKUP(A93,'SegEnds_NonXtal_Prot#'!A:AL,10,FALSE)-VLOOKUP(A93,'SegEnds_NonXtal_Prot#'!A:AL,7,FALSE)</f>
        <v>19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24</v>
      </c>
      <c r="AH93" s="1">
        <f>VLOOKUP(A93,'SegEnds_NonXtal_Prot#'!A:AL,28,FALSE)-VLOOKUP(A93,'SegEnds_NonXtal_Prot#'!A:AL,22,FALSE)</f>
        <v>49</v>
      </c>
      <c r="AI93" s="1">
        <f>VLOOKUP(A93,'SegEnds_NonXtal_Prot#'!A:AL,31,FALSE)-VLOOKUP(A93,'SegEnds_NonXtal_Prot#'!A:AL,28,FALSE)</f>
        <v>54</v>
      </c>
      <c r="AJ93" s="1">
        <f>VLOOKUP(A93,'SegEnds_NonXtal_Prot#'!A:AL,34,FALSE)-VLOOKUP(A93,'SegEnds_NonXtal_Prot#'!A:AL,31,FALSE)</f>
        <v>38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225</v>
      </c>
      <c r="B94" s="1" t="str">
        <f>VLOOKUP(A94,Xtal_Templ!A:B,2,FALSE)</f>
        <v>ox2r_human</v>
      </c>
      <c r="C94" s="5">
        <f>VLOOKUP($B94&amp;"__wt",'SegEnds_Xtal_BW#'!$A:$Z,3,FALSE)</f>
        <v>31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68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f>VLOOKUP($B94&amp;"__wt",'SegEnds_Xtal_BW#'!$A:$Z,15,FALSE)</f>
        <v>38</v>
      </c>
      <c r="P94" s="1">
        <v>63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INDEX(ICL3_classA!$G$2:$G$39,MATCH(MIN(ABS(AI94-ICL3_classA!$F$2:$F$39)),ABS(AI94-ICL3_classA!$F$2:$F$39),0))</f>
        <v>76</v>
      </c>
      <c r="U94" s="1">
        <f t="array" ref="U94">INDEX(ICL3_classA!$H$2:$H$39,MATCH(MIN(ABS(AI94-ICL3_classA!$F$2:$F$39)),ABS(AI94-ICL3_classA!$F$2:$F$39),0))</f>
        <v>24</v>
      </c>
      <c r="V94" s="1">
        <v>61</v>
      </c>
      <c r="W94" s="1">
        <v>32</v>
      </c>
      <c r="X94" s="108">
        <v>55</v>
      </c>
      <c r="Y94" s="1">
        <f>VLOOKUP($B94&amp;"__wt",'SegEnds_Xtal_BW#'!$A:$Z,25,FALSE)</f>
        <v>47</v>
      </c>
      <c r="Z94" s="1">
        <f>VLOOKUP($B94&amp;"__wt",'SegEnds_Xtal_BW#'!$A:$Z,26,FALSE)</f>
        <v>63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27</v>
      </c>
      <c r="AC94" s="1">
        <f>VLOOKUP(A94,'SegEnds_NonXtal_Prot#'!A:AL,10,FALSE)-VLOOKUP(A94,'SegEnds_NonXtal_Prot#'!A:AL,7,FALSE)</f>
        <v>14</v>
      </c>
      <c r="AD94" s="1">
        <f>VLOOKUP(A94,'SegEnds_NonXtal_Prot#'!A:AL,13,FALSE)-VLOOKUP(A94,'SegEnds_NonXtal_Prot#'!A:AL,10,FALSE)</f>
        <v>24</v>
      </c>
      <c r="AE94" s="1">
        <f>VLOOKUP(A94,'SegEnds_NonXtal_Prot#'!A:AL,16,FALSE)-VLOOKUP(A94,'SegEnds_NonXtal_Prot#'!A:AL,10,FALSE)</f>
        <v>56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23</v>
      </c>
      <c r="AH94" s="1">
        <f>VLOOKUP(A94,'SegEnds_NonXtal_Prot#'!A:AL,28,FALSE)-VLOOKUP(A94,'SegEnds_NonXtal_Prot#'!A:AL,22,FALSE)</f>
        <v>49</v>
      </c>
      <c r="AI94" s="1">
        <f>VLOOKUP(A94,'SegEnds_NonXtal_Prot#'!A:AL,31,FALSE)-VLOOKUP(A94,'SegEnds_NonXtal_Prot#'!A:AL,28,FALSE)</f>
        <v>76</v>
      </c>
      <c r="AJ94" s="1">
        <f>VLOOKUP(A94,'SegEnds_NonXtal_Prot#'!A:AL,34,FALSE)-VLOOKUP(A94,'SegEnds_NonXtal_Prot#'!A:AL,31,FALSE)</f>
        <v>34</v>
      </c>
      <c r="AK94" s="1">
        <f>VLOOKUP(A94,'SegEnds_NonXtal_Prot#'!A:AL,37,FALSE)-VLOOKUP(A94,'SegEnds_NonXtal_Prot#'!A:AL,34,FALSE)</f>
        <v>9</v>
      </c>
      <c r="AL94" s="1" t="str">
        <f>IF(ISERROR(MATCH(A94,'SegEnds_Xtal_Prot#'!B:B, 0)), "NoXtal", "Xtal")</f>
        <v>NoXtal</v>
      </c>
    </row>
    <row r="95" spans="1:38" x14ac:dyDescent="0.2">
      <c r="A95" s="1" t="s">
        <v>226</v>
      </c>
      <c r="B95" s="1" t="str">
        <f>VLOOKUP(A95,Xtal_Templ!A:B,2,FALSE)</f>
        <v>p2y12_human</v>
      </c>
      <c r="C95" s="5">
        <f>VLOOKUP($B95&amp;"__wt",'SegEnds_Xtal_BW#'!$A:$Z,3,FALSE)</f>
        <v>28</v>
      </c>
      <c r="D95" s="1">
        <f>VLOOKUP($B95&amp;"__wt",'SegEnds_Xtal_BW#'!$A:$Z,4,FALSE)</f>
        <v>60</v>
      </c>
      <c r="E95" s="1" t="str">
        <f>VLOOKUP($B95&amp;"__wt",'SegEnds_Xtal_BW#'!$A:$Z,5,FALSE)</f>
        <v>-</v>
      </c>
      <c r="F95" s="1" t="str">
        <f>VLOOKUP($B95&amp;"__wt",'SegEnds_Xtal_BW#'!$A:$Z,6,FALSE)</f>
        <v>-</v>
      </c>
      <c r="G95" s="1">
        <v>37</v>
      </c>
      <c r="H95" s="12">
        <f>VLOOKUP($B95&amp;"__wt",'SegEnds_Xtal_BW#'!$A:$Z,8,FALSE)</f>
        <v>66</v>
      </c>
      <c r="I95" s="1" t="str">
        <f>VLOOKUP($B95&amp;"__wt",'SegEnds_Xtal_BW#'!$A:$Z,9,FALSE)</f>
        <v>-</v>
      </c>
      <c r="J95" s="1" t="str">
        <f>VLOOKUP($B95&amp;"__wt",'SegEnds_Xtal_BW#'!$A:$Z,10,FALSE)</f>
        <v>-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f>VLOOKUP($B95&amp;"__wt",'SegEnds_Xtal_BW#'!$A:$Z,15,FALSE)</f>
        <v>38</v>
      </c>
      <c r="P95" s="1">
        <v>63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35</v>
      </c>
      <c r="T95" s="1">
        <f t="array" ref="T95">INDEX(ICL3_classA!$G$2:$G$39,MATCH(MIN(ABS(AI95-ICL3_classA!$F$2:$F$39)),ABS(AI95-ICL3_classA!$F$2:$F$39),0))</f>
        <v>73</v>
      </c>
      <c r="U95" s="1">
        <f t="array" ref="U95">INDEX(ICL3_classA!$H$2:$H$39,MATCH(MIN(ABS(AI95-ICL3_classA!$F$2:$F$39)),ABS(AI95-ICL3_classA!$F$2:$F$39),0))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57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27</v>
      </c>
      <c r="AC95" s="1" t="e">
        <f>VLOOKUP(A95,'SegEnds_NonXtal_Prot#'!A:AL,10,FALSE)-VLOOKUP(A95,'SegEnds_NonXtal_Prot#'!A:AL,7,FALSE)</f>
        <v>#VALUE!</v>
      </c>
      <c r="AD95" s="1" t="e">
        <f>VLOOKUP(A95,'SegEnds_NonXtal_Prot#'!A:AL,13,FALSE)-VLOOKUP(A95,'SegEnds_NonXtal_Prot#'!A:AL,10,FALSE)</f>
        <v>#VALUE!</v>
      </c>
      <c r="AE95" s="1">
        <f>VLOOKUP(A95,'SegEnds_NonXtal_Prot#'!A:AL,16,FALSE)-VLOOKUP(A95,'SegEnds_NonXtal_Prot#'!A:AL,10,FALSE)</f>
        <v>54</v>
      </c>
      <c r="AF95" s="1" t="e">
        <f>VLOOKUP(A95,'SegEnds_NonXtal_Prot#'!A:AL,22,FALSE)-VLOOKUP(A95,'SegEnds_NonXtal_Prot#'!A:AL,19,FALSE)</f>
        <v>#VALUE!</v>
      </c>
      <c r="AG95" s="1">
        <f>VLOOKUP(A95,'SegEnds_NonXtal_Prot#'!A:AL,28,FALSE)-VLOOKUP(A95,'SegEnds_NonXtal_Prot#'!A:AL,25,FALSE)</f>
        <v>22</v>
      </c>
      <c r="AH95" s="1">
        <f>VLOOKUP(A95,'SegEnds_NonXtal_Prot#'!A:AL,28,FALSE)-VLOOKUP(A95,'SegEnds_NonXtal_Prot#'!A:AL,22,FALSE)</f>
        <v>49</v>
      </c>
      <c r="AI95" s="1">
        <f>VLOOKUP(A95,'SegEnds_NonXtal_Prot#'!A:AL,31,FALSE)-VLOOKUP(A95,'SegEnds_NonXtal_Prot#'!A:AL,28,FALSE)</f>
        <v>58</v>
      </c>
      <c r="AJ95" s="1">
        <f>VLOOKUP(A95,'SegEnds_NonXtal_Prot#'!A:AL,34,FALSE)-VLOOKUP(A95,'SegEnds_NonXtal_Prot#'!A:AL,31,FALSE)</f>
        <v>35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228</v>
      </c>
      <c r="B96" s="1" t="str">
        <f>VLOOKUP(A96,Xtal_Templ!A:B,2,FALSE)</f>
        <v>npy1r_human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68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08">
        <v>50</v>
      </c>
      <c r="N96" s="12">
        <v>57</v>
      </c>
      <c r="O96" s="87">
        <f>VLOOKUP($B96&amp;"__wt",'SegEnds_Xtal_BW#'!$A:$Z,15,FALSE)</f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v>35</v>
      </c>
      <c r="T96" s="1">
        <f t="array" ref="T96">INDEX(ICL3_classA!$G$2:$G$39,MATCH(MIN(ABS(AI96-ICL3_classA!$F$2:$F$39)),ABS(AI96-ICL3_classA!$F$2:$F$39),0))</f>
        <v>74</v>
      </c>
      <c r="U96" s="1">
        <f t="array" ref="U96">INDEX(ICL3_classA!$H$2:$H$39,MATCH(MIN(ABS(AI96-ICL3_classA!$F$2:$F$39)),ABS(AI96-ICL3_classA!$F$2:$F$39),0))</f>
        <v>24</v>
      </c>
      <c r="V96" s="1">
        <v>61</v>
      </c>
      <c r="W96" s="1">
        <v>32</v>
      </c>
      <c r="X96" s="108">
        <v>55</v>
      </c>
      <c r="Y96" s="1">
        <f>VLOOKUP($B96&amp;"__wt",'SegEnds_Xtal_BW#'!$A:$Z,25,FALSE)</f>
        <v>47</v>
      </c>
      <c r="Z96" s="1">
        <f>VLOOKUP($B96&amp;"__wt",'SegEnds_Xtal_BW#'!$A:$Z,26,FALSE)</f>
        <v>58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27</v>
      </c>
      <c r="AC96" s="1">
        <f>VLOOKUP(A96,'SegEnds_NonXtal_Prot#'!A:AL,10,FALSE)-VLOOKUP(A96,'SegEnds_NonXtal_Prot#'!A:AL,7,FALSE)</f>
        <v>14</v>
      </c>
      <c r="AD96" s="1">
        <f>VLOOKUP(A96,'SegEnds_NonXtal_Prot#'!A:AL,13,FALSE)-VLOOKUP(A96,'SegEnds_NonXtal_Prot#'!A:AL,10,FALSE)</f>
        <v>25</v>
      </c>
      <c r="AE96" s="1">
        <f>VLOOKUP(A96,'SegEnds_NonXtal_Prot#'!A:AL,16,FALSE)-VLOOKUP(A96,'SegEnds_NonXtal_Prot#'!A:AL,10,FALSE)</f>
        <v>57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23</v>
      </c>
      <c r="AH96" s="1">
        <f>VLOOKUP(A96,'SegEnds_NonXtal_Prot#'!A:AL,28,FALSE)-VLOOKUP(A96,'SegEnds_NonXtal_Prot#'!A:AL,22,FALSE)</f>
        <v>49</v>
      </c>
      <c r="AI96" s="1">
        <f>VLOOKUP(A96,'SegEnds_NonXtal_Prot#'!A:AL,31,FALSE)-VLOOKUP(A96,'SegEnds_NonXtal_Prot#'!A:AL,28,FALSE)</f>
        <v>96</v>
      </c>
      <c r="AJ96" s="1">
        <f>VLOOKUP(A96,'SegEnds_NonXtal_Prot#'!A:AL,34,FALSE)-VLOOKUP(A96,'SegEnds_NonXtal_Prot#'!A:AL,31,FALSE)</f>
        <v>34</v>
      </c>
      <c r="AK96" s="1">
        <f>VLOOKUP(A96,'SegEnds_NonXtal_Prot#'!A:AL,37,FALSE)-VLOOKUP(A96,'SegEnds_NonXtal_Prot#'!A:AL,34,FALSE)</f>
        <v>9</v>
      </c>
      <c r="AL96" s="1" t="str">
        <f>IF(ISERROR(MATCH(A96,'SegEnds_Xtal_Prot#'!B:B, 0)), "NoXtal", "Xtal")</f>
        <v>NoXtal</v>
      </c>
    </row>
    <row r="97" spans="1:38" x14ac:dyDescent="0.2">
      <c r="A97" s="1" t="s">
        <v>239</v>
      </c>
      <c r="B97" s="1" t="str">
        <f>VLOOKUP(A97,Xtal_Templ!A:B,2,FALSE)</f>
        <v>apj_human</v>
      </c>
      <c r="C97" s="5">
        <f>VLOOKUP($B97&amp;"__wt",'SegEnds_Xtal_BW#'!$A:$Z,3,FALSE)</f>
        <v>33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52</v>
      </c>
      <c r="G97" s="1">
        <v>37</v>
      </c>
      <c r="H97" s="12">
        <f>VLOOKUP($B97&amp;"__wt",'SegEnds_Xtal_BW#'!$A:$Z,8,FALSE)</f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7"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30</v>
      </c>
      <c r="T97" s="1">
        <f t="array" ref="T97">INDEX(ICL3_classA!$G$2:$G$39,MATCH(MIN(ABS(AI97-ICL3_classA!$F$2:$F$39)),ABS(AI97-ICL3_classA!$F$2:$F$39),0))</f>
        <v>68</v>
      </c>
      <c r="U97" s="1">
        <f t="array" ref="U97">INDEX(ICL3_classA!$H$2:$H$39,MATCH(MIN(ABS(AI97-ICL3_classA!$F$2:$F$39)),ABS(AI97-ICL3_classA!$F$2:$F$39),0))</f>
        <v>24</v>
      </c>
      <c r="V97" s="1">
        <v>61</v>
      </c>
      <c r="W97" s="1">
        <v>24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61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 t="e">
        <f>VLOOKUP(A97,'SegEnds_NonXtal_Prot#'!A:AL,10,FALSE)-VLOOKUP(A97,'SegEnds_NonXtal_Prot#'!A:AL,7,FALSE)</f>
        <v>#VALUE!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24</v>
      </c>
      <c r="AH97" s="1">
        <f>VLOOKUP(A97,'SegEnds_NonXtal_Prot#'!A:AL,28,FALSE)-VLOOKUP(A97,'SegEnds_NonXtal_Prot#'!A:AL,22,FALSE)</f>
        <v>49</v>
      </c>
      <c r="AI97" s="1">
        <f>VLOOKUP(A97,'SegEnds_NonXtal_Prot#'!A:AL,31,FALSE)-VLOOKUP(A97,'SegEnds_NonXtal_Prot#'!A:AL,28,FALSE)</f>
        <v>49</v>
      </c>
      <c r="AJ97" s="1">
        <f>VLOOKUP(A97,'SegEnds_NonXtal_Prot#'!A:AL,34,FALSE)-VLOOKUP(A97,'SegEnds_NonXtal_Prot#'!A:AL,31,FALSE)</f>
        <v>43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282</v>
      </c>
      <c r="B98" s="1" t="str">
        <f>VLOOKUP(A98,Xtal_Templ!A:B,2,FALSE)</f>
        <v>oprk_human</v>
      </c>
      <c r="C98" s="5">
        <f>VLOOKUP($B98&amp;"__wt",'SegEnds_Xtal_BW#'!$A:$Z,3,FALSE)</f>
        <v>30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30</v>
      </c>
      <c r="T98" s="1">
        <f t="array" ref="T98">INDEX(ICL3_classA!$G$2:$G$39,MATCH(MIN(ABS(AI98-ICL3_classA!$F$2:$F$39)),ABS(AI98-ICL3_classA!$F$2:$F$39),0))</f>
        <v>74</v>
      </c>
      <c r="U98" s="1">
        <f t="array" ref="U98">INDEX(ICL3_classA!$H$2:$H$39,MATCH(MIN(ABS(AI98-ICL3_classA!$F$2:$F$39)),ABS(AI98-ICL3_classA!$F$2:$F$39),0))</f>
        <v>21</v>
      </c>
      <c r="V98" s="1">
        <v>61</v>
      </c>
      <c r="W98" s="1">
        <v>28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25</v>
      </c>
      <c r="AH98" s="1">
        <f>VLOOKUP(A98,'SegEnds_NonXtal_Prot#'!A:AL,28,FALSE)-VLOOKUP(A98,'SegEnds_NonXtal_Prot#'!A:AL,22,FALSE)</f>
        <v>49</v>
      </c>
      <c r="AI98" s="1">
        <f>VLOOKUP(A98,'SegEnds_NonXtal_Prot#'!A:AL,31,FALSE)-VLOOKUP(A98,'SegEnds_NonXtal_Prot#'!A:AL,28,FALSE)</f>
        <v>62</v>
      </c>
      <c r="AJ98" s="1">
        <f>VLOOKUP(A98,'SegEnds_NonXtal_Prot#'!A:AL,34,FALSE)-VLOOKUP(A98,'SegEnds_NonXtal_Prot#'!A:AL,31,FALSE)</f>
        <v>42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285</v>
      </c>
      <c r="B99" s="1" t="str">
        <f>VLOOKUP(A99,Xtal_Templ!A:B,2,FALSE)</f>
        <v>mtr1a_human</v>
      </c>
      <c r="C99" s="5">
        <f>VLOOKUP($B99&amp;"__wt",'SegEnds_Xtal_BW#'!$A:$Z,3,FALSE)</f>
        <v>28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68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v>35</v>
      </c>
      <c r="T99" s="1">
        <f t="array" ref="T99">INDEX(ICL3_classA!$G$2:$G$39,MATCH(MIN(ABS(AI99-ICL3_classA!$F$2:$F$39)),ABS(AI99-ICL3_classA!$F$2:$F$39),0))</f>
        <v>67</v>
      </c>
      <c r="U99" s="1">
        <f t="array" ref="U99">INDEX(ICL3_classA!$H$2:$H$39,MATCH(MIN(ABS(AI99-ICL3_classA!$F$2:$F$39)),ABS(AI99-ICL3_classA!$F$2:$F$39),0))</f>
        <v>28</v>
      </c>
      <c r="V99" s="1">
        <v>61</v>
      </c>
      <c r="W99" s="1">
        <v>31</v>
      </c>
      <c r="X99" s="108">
        <v>56</v>
      </c>
      <c r="Y99" s="1">
        <f>VLOOKUP($B99&amp;"__wt",'SegEnds_Xtal_BW#'!$A:$Z,25,FALSE)</f>
        <v>47</v>
      </c>
      <c r="Z99" s="1">
        <f>VLOOKUP($B99&amp;"__wt",'SegEnds_Xtal_BW#'!$A:$Z,26,FALSE)</f>
        <v>63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29</v>
      </c>
      <c r="AC99" s="1" t="e">
        <f>VLOOKUP(A99,'SegEnds_NonXtal_Prot#'!A:AL,10,FALSE)-VLOOKUP(A99,'SegEnds_NonXtal_Prot#'!A:AL,7,FALSE)</f>
        <v>#VALUE!</v>
      </c>
      <c r="AD99" s="1" t="e">
        <f>VLOOKUP(A99,'SegEnds_NonXtal_Prot#'!A:AL,13,FALSE)-VLOOKUP(A99,'SegEnds_NonXtal_Prot#'!A:AL,10,FALSE)</f>
        <v>#VALUE!</v>
      </c>
      <c r="AE99" s="1">
        <f>VLOOKUP(A99,'SegEnds_NonXtal_Prot#'!A:AL,16,FALSE)-VLOOKUP(A99,'SegEnds_NonXtal_Prot#'!A:AL,10,FALSE)</f>
        <v>59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26</v>
      </c>
      <c r="AH99" s="1">
        <f>VLOOKUP(A99,'SegEnds_NonXtal_Prot#'!A:AL,28,FALSE)-VLOOKUP(A99,'SegEnds_NonXtal_Prot#'!A:AL,22,FALSE)</f>
        <v>49</v>
      </c>
      <c r="AI99" s="1">
        <f>VLOOKUP(A99,'SegEnds_NonXtal_Prot#'!A:AL,31,FALSE)-VLOOKUP(A99,'SegEnds_NonXtal_Prot#'!A:AL,28,FALSE)</f>
        <v>45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385</v>
      </c>
      <c r="B100" s="1" t="str">
        <f>VLOOKUP(A100,Xtal_Templ!A:B,2,FALSE)</f>
        <v>oprk_human</v>
      </c>
      <c r="C100" s="5">
        <f>VLOOKUP($B100&amp;"__wt",'SegEnds_Xtal_BW#'!$A:$Z,3,FALSE)</f>
        <v>30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v>66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21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30</v>
      </c>
      <c r="T100" s="1">
        <f t="array" ref="T100">INDEX(ICL3_classA!$G$2:$G$39,MATCH(MIN(ABS(AI100-ICL3_classA!$F$2:$F$39)),ABS(AI100-ICL3_classA!$F$2:$F$39),0))</f>
        <v>72</v>
      </c>
      <c r="U100" s="1">
        <f t="array" ref="U100">INDEX(ICL3_classA!$H$2:$H$39,MATCH(MIN(ABS(AI100-ICL3_classA!$F$2:$F$39)),ABS(AI100-ICL3_classA!$F$2:$F$39),0))</f>
        <v>29</v>
      </c>
      <c r="V100" s="1">
        <v>61</v>
      </c>
      <c r="W100" s="131">
        <f>VLOOKUP($B100&amp;"__wt",'SegEnds_Xtal_BW#'!$A:$Z,23,FALSE)</f>
        <v>28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19</v>
      </c>
      <c r="AE100" s="1">
        <f>VLOOKUP(A100,'SegEnds_NonXtal_Prot#'!A:AL,16,FALSE)-VLOOKUP(A100,'SegEnds_NonXtal_Prot#'!A:AL,10,FALSE)</f>
        <v>51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27</v>
      </c>
      <c r="AH100" s="1">
        <f>VLOOKUP(A100,'SegEnds_NonXtal_Prot#'!A:AL,28,FALSE)-VLOOKUP(A100,'SegEnds_NonXtal_Prot#'!A:AL,22,FALSE)</f>
        <v>49</v>
      </c>
      <c r="AI100" s="1">
        <f>VLOOKUP(A100,'SegEnds_NonXtal_Prot#'!A:AL,31,FALSE)-VLOOKUP(A100,'SegEnds_NonXtal_Prot#'!A:AL,28,FALSE)</f>
        <v>50</v>
      </c>
      <c r="AJ100" s="1">
        <f>VLOOKUP(A100,'SegEnds_NonXtal_Prot#'!A:AL,34,FALSE)-VLOOKUP(A100,'SegEnds_NonXtal_Prot#'!A:AL,31,FALSE)</f>
        <v>38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396</v>
      </c>
      <c r="B101" s="1" t="str">
        <f>VLOOKUP(A101,Xtal_Templ!A:B,2,FALSE)</f>
        <v>ccr5_human</v>
      </c>
      <c r="C101" s="5">
        <f>VLOOKUP($B101&amp;"__wt",'SegEnds_Xtal_BW#'!$A:$Z,3,FALSE)</f>
        <v>24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08">
        <v>56</v>
      </c>
      <c r="O101" s="87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30</v>
      </c>
      <c r="T101" s="1">
        <f t="array" ref="T101">INDEX(ICL3_classA!$G$2:$G$39,MATCH(MIN(ABS(AI101-ICL3_classA!$F$2:$F$39)),ABS(AI101-ICL3_classA!$F$2:$F$39),0))</f>
        <v>72</v>
      </c>
      <c r="U101" s="1">
        <f t="array" ref="U101">INDEX(ICL3_classA!$H$2:$H$39,MATCH(MIN(ABS(AI101-ICL3_classA!$F$2:$F$39)),ABS(AI101-ICL3_classA!$F$2:$F$39),0))</f>
        <v>29</v>
      </c>
      <c r="V101" s="1">
        <v>61</v>
      </c>
      <c r="W101" s="131">
        <f>VLOOKUP($B101&amp;"__wt",'SegEnds_Xtal_BW#'!$A:$Z,23,FALSE)</f>
        <v>24</v>
      </c>
      <c r="X101" s="108"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19</v>
      </c>
      <c r="AE101" s="1">
        <f>VLOOKUP(A101,'SegEnds_NonXtal_Prot#'!A:AL,16,FALSE)-VLOOKUP(A101,'SegEnds_NonXtal_Prot#'!A:AL,10,FALSE)</f>
        <v>51</v>
      </c>
      <c r="AF101" s="1">
        <f>VLOOKUP(A101,'SegEnds_NonXtal_Prot#'!A:AL,22,FALSE)-VLOOKUP(A101,'SegEnds_NonXtal_Prot#'!A:AL,19,FALSE)</f>
        <v>19</v>
      </c>
      <c r="AG101" s="1">
        <f>VLOOKUP(A101,'SegEnds_NonXtal_Prot#'!A:AL,28,FALSE)-VLOOKUP(A101,'SegEnds_NonXtal_Prot#'!A:AL,25,FALSE)</f>
        <v>24</v>
      </c>
      <c r="AH101" s="1">
        <f>VLOOKUP(A101,'SegEnds_NonXtal_Prot#'!A:AL,28,FALSE)-VLOOKUP(A101,'SegEnds_NonXtal_Prot#'!A:AL,22,FALSE)</f>
        <v>49</v>
      </c>
      <c r="AI101" s="1">
        <f>VLOOKUP(A101,'SegEnds_NonXtal_Prot#'!A:AL,31,FALSE)-VLOOKUP(A101,'SegEnds_NonXtal_Prot#'!A:AL,28,FALSE)</f>
        <v>50</v>
      </c>
      <c r="AJ101" s="1">
        <f>VLOOKUP(A101,'SegEnds_NonXtal_Prot#'!A:AL,34,FALSE)-VLOOKUP(A101,'SegEnds_NonXtal_Prot#'!A:AL,31,FALSE)</f>
        <v>39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145</v>
      </c>
      <c r="B102" s="1" t="str">
        <f>VLOOKUP(A102,Xtal_Templ!A:B,2,FALSE)</f>
        <v>ccr9_human</v>
      </c>
      <c r="C102" s="5">
        <f>VLOOKUP($B102&amp;"__wt",'SegEnds_Xtal_BW#'!$A:$Z,3,FALSE)</f>
        <v>27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v>66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08">
        <v>21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f>VLOOKUP($B102&amp;"__wt",'SegEnds_Xtal_BW#'!$A:$Z,14,FALSE)</f>
        <v>56</v>
      </c>
      <c r="O102" s="87">
        <v>38</v>
      </c>
      <c r="P102" s="1">
        <f>VLOOKUP($B102&amp;"__wt",'SegEnds_Xtal_BW#'!$A:$Z,16,FALSE)</f>
        <v>64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f>VLOOKUP($B102&amp;"__wt",'SegEnds_Xtal_BW#'!$A:$Z,19,FALSE)</f>
        <v>33</v>
      </c>
      <c r="T102" s="1">
        <f t="array" ref="T102">INDEX(ICL3_classA!$G$2:$G$39,MATCH(MIN(ABS(AI102-ICL3_classA!$F$2:$F$39)),ABS(AI102-ICL3_classA!$F$2:$F$39),0))</f>
        <v>68</v>
      </c>
      <c r="U102" s="1">
        <f t="array" ref="U102">INDEX(ICL3_classA!$H$2:$H$39,MATCH(MIN(ABS(AI102-ICL3_classA!$F$2:$F$39)),ABS(AI102-ICL3_classA!$F$2:$F$39),0))</f>
        <v>30</v>
      </c>
      <c r="V102" s="1">
        <v>64</v>
      </c>
      <c r="W102" s="1">
        <v>24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67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18</v>
      </c>
      <c r="AE102" s="1">
        <f>VLOOKUP(A102,'SegEnds_NonXtal_Prot#'!A:AL,16,FALSE)-VLOOKUP(A102,'SegEnds_NonXtal_Prot#'!A:AL,10,FALSE)</f>
        <v>50</v>
      </c>
      <c r="AF102" s="1" t="e">
        <f>VLOOKUP(A102,'SegEnds_NonXtal_Prot#'!A:AL,22,FALSE)-VLOOKUP(A102,'SegEnds_NonXtal_Prot#'!A:AL,19,FALSE)</f>
        <v>#VALUE!</v>
      </c>
      <c r="AG102" s="1">
        <f>VLOOKUP(A102,'SegEnds_NonXtal_Prot#'!A:AL,28,FALSE)-VLOOKUP(A102,'SegEnds_NonXtal_Prot#'!A:AL,25,FALSE)</f>
        <v>28</v>
      </c>
      <c r="AH102" s="1">
        <f>VLOOKUP(A102,'SegEnds_NonXtal_Prot#'!A:AL,28,FALSE)-VLOOKUP(A102,'SegEnds_NonXtal_Prot#'!A:AL,22,FALSE)</f>
        <v>50</v>
      </c>
      <c r="AI102" s="1">
        <f>VLOOKUP(A102,'SegEnds_NonXtal_Prot#'!A:AL,31,FALSE)-VLOOKUP(A102,'SegEnds_NonXtal_Prot#'!A:AL,28,FALSE)</f>
        <v>43</v>
      </c>
      <c r="AJ102" s="1">
        <f>VLOOKUP(A102,'SegEnds_NonXtal_Prot#'!A:AL,34,FALSE)-VLOOKUP(A102,'SegEnds_NonXtal_Prot#'!A:AL,31,FALSE)</f>
        <v>45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146</v>
      </c>
      <c r="B103" s="1" t="str">
        <f>VLOOKUP(A103,Xtal_Templ!A:B,2,FALSE)</f>
        <v>acm1_human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69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35</v>
      </c>
      <c r="T103" s="1">
        <f t="array" ref="T103">INDEX(ICL3_classA!$G$2:$G$39,MATCH(MIN(ABS(AI103-ICL3_classA!$F$2:$F$39)),ABS(AI103-ICL3_classA!$F$2:$F$39),0))</f>
        <v>75</v>
      </c>
      <c r="U103" s="1">
        <f t="array" ref="U103">INDEX(ICL3_classA!$H$2:$H$39,MATCH(MIN(ABS(AI103-ICL3_classA!$F$2:$F$39)),ABS(AI103-ICL3_classA!$F$2:$F$39),0))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22</v>
      </c>
      <c r="AH103" s="1">
        <f>VLOOKUP(A103,'SegEnds_NonXtal_Prot#'!A:AL,28,FALSE)-VLOOKUP(A103,'SegEnds_NonXtal_Prot#'!A:AL,22,FALSE)</f>
        <v>50</v>
      </c>
      <c r="AI103" s="1">
        <f>VLOOKUP(A103,'SegEnds_NonXtal_Prot#'!A:AL,31,FALSE)-VLOOKUP(A103,'SegEnds_NonXtal_Prot#'!A:AL,28,FALSE)</f>
        <v>180</v>
      </c>
      <c r="AJ103" s="1">
        <f>VLOOKUP(A103,'SegEnds_NonXtal_Prot#'!A:AL,34,FALSE)-VLOOKUP(A103,'SegEnds_NonXtal_Prot#'!A:AL,31,FALSE)</f>
        <v>35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Xtal</v>
      </c>
    </row>
    <row r="104" spans="1:38" x14ac:dyDescent="0.2">
      <c r="A104" s="1" t="s">
        <v>147</v>
      </c>
      <c r="B104" s="1" t="str">
        <f>VLOOKUP(A104,Xtal_Templ!A:B,2,FALSE)</f>
        <v>acm2_human</v>
      </c>
      <c r="C104" s="5">
        <f>VLOOKUP($B104&amp;"__wt",'SegEnds_Xtal_BW#'!$A:$Z,3,FALSE)</f>
        <v>28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f>VLOOKUP($B104&amp;"__wt",'SegEnds_Xtal_BW#'!$A:$Z,14,FALSE)</f>
        <v>57</v>
      </c>
      <c r="O104" s="87">
        <f>VLOOKUP($B104&amp;"__wt",'SegEnds_Xtal_BW#'!$A:$Z,15,FALSE)</f>
        <v>38</v>
      </c>
      <c r="P104" s="1">
        <f>VLOOKUP($B104&amp;"__wt",'SegEnds_Xtal_BW#'!$A:$Z,16,FALSE)</f>
        <v>69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35</v>
      </c>
      <c r="T104" s="1">
        <f t="array" ref="T104">INDEX(ICL3_classA!$G$2:$G$39,MATCH(MIN(ABS(AI104-ICL3_classA!$F$2:$F$39)),ABS(AI104-ICL3_classA!$F$2:$F$39),0))</f>
        <v>75</v>
      </c>
      <c r="U104" s="1">
        <f t="array" ref="U104">INDEX(ICL3_classA!$H$2:$H$39,MATCH(MIN(ABS(AI104-ICL3_classA!$F$2:$F$39)),ABS(AI104-ICL3_classA!$F$2:$F$39),0))</f>
        <v>24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22</v>
      </c>
      <c r="AH104" s="1">
        <f>VLOOKUP(A104,'SegEnds_NonXtal_Prot#'!A:AL,28,FALSE)-VLOOKUP(A104,'SegEnds_NonXtal_Prot#'!A:AL,22,FALSE)</f>
        <v>50</v>
      </c>
      <c r="AI104" s="1">
        <f>VLOOKUP(A104,'SegEnds_NonXtal_Prot#'!A:AL,31,FALSE)-VLOOKUP(A104,'SegEnds_NonXtal_Prot#'!A:AL,28,FALSE)</f>
        <v>204</v>
      </c>
      <c r="AJ104" s="1">
        <f>VLOOKUP(A104,'SegEnds_NonXtal_Prot#'!A:AL,34,FALSE)-VLOOKUP(A104,'SegEnds_NonXtal_Prot#'!A:AL,31,FALSE)</f>
        <v>35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Xtal</v>
      </c>
    </row>
    <row r="105" spans="1:38" x14ac:dyDescent="0.2">
      <c r="A105" s="1" t="s">
        <v>148</v>
      </c>
      <c r="B105" s="1" t="str">
        <f>VLOOKUP(A105,Xtal_Templ!A:B,2,FALSE)</f>
        <v>acm3_rat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67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69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35</v>
      </c>
      <c r="T105" s="1">
        <f t="array" ref="T105">INDEX(ICL3_classA!$G$2:$G$39,MATCH(MIN(ABS(AI105-ICL3_classA!$F$2:$F$39)),ABS(AI105-ICL3_classA!$F$2:$F$39),0))</f>
        <v>75</v>
      </c>
      <c r="U105" s="1">
        <f t="array" ref="U105">INDEX(ICL3_classA!$H$2:$H$39,MATCH(MIN(ABS(AI105-ICL3_classA!$F$2:$F$39)),ABS(AI105-ICL3_classA!$F$2:$F$39),0))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60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22</v>
      </c>
      <c r="AH105" s="1">
        <f>VLOOKUP(A105,'SegEnds_NonXtal_Prot#'!A:AL,28,FALSE)-VLOOKUP(A105,'SegEnds_NonXtal_Prot#'!A:AL,22,FALSE)</f>
        <v>50</v>
      </c>
      <c r="AI105" s="1">
        <f>VLOOKUP(A105,'SegEnds_NonXtal_Prot#'!A:AL,31,FALSE)-VLOOKUP(A105,'SegEnds_NonXtal_Prot#'!A:AL,28,FALSE)</f>
        <v>263</v>
      </c>
      <c r="AJ105" s="1">
        <f>VLOOKUP(A105,'SegEnds_NonXtal_Prot#'!A:AL,34,FALSE)-VLOOKUP(A105,'SegEnds_NonXtal_Prot#'!A:AL,31,FALSE)</f>
        <v>35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4" t="s">
        <v>909</v>
      </c>
      <c r="B106" s="4" t="str">
        <f>VLOOKUP(A106,Xtal_Templ!A:B,2,FALSE)</f>
        <v>acm3_rat</v>
      </c>
      <c r="C106" s="5">
        <f>VLOOKUP($B106&amp;"__wt",'SegEnds_Xtal_BW#'!$A:$Z,3,FALSE)</f>
        <v>28</v>
      </c>
      <c r="D106" s="4">
        <f>VLOOKUP($B106&amp;"__wt",'SegEnds_Xtal_BW#'!$A:$Z,4,FALSE)</f>
        <v>60</v>
      </c>
      <c r="E106" s="4">
        <f>VLOOKUP($B106&amp;"__wt",'SegEnds_Xtal_BW#'!$A:$Z,5,FALSE)</f>
        <v>48</v>
      </c>
      <c r="F106" s="4">
        <f>VLOOKUP($B106&amp;"__wt",'SegEnds_Xtal_BW#'!$A:$Z,6,FALSE)</f>
        <v>51</v>
      </c>
      <c r="G106" s="4">
        <v>37</v>
      </c>
      <c r="H106" s="11">
        <f>VLOOKUP($B106&amp;"__wt",'SegEnds_Xtal_BW#'!$A:$Z,8,FALSE)</f>
        <v>67</v>
      </c>
      <c r="I106" s="4">
        <f>VLOOKUP($B106&amp;"__wt",'SegEnds_Xtal_BW#'!$A:$Z,9,FALSE)</f>
        <v>49</v>
      </c>
      <c r="J106" s="4">
        <f>VLOOKUP($B106&amp;"__wt",'SegEnds_Xtal_BW#'!$A:$Z,10,FALSE)</f>
        <v>52</v>
      </c>
      <c r="K106" s="11">
        <v>18</v>
      </c>
      <c r="L106" s="4">
        <f>VLOOKUP($B106&amp;"__wt",'SegEnds_Xtal_BW#'!$A:$Z,12,FALSE)</f>
        <v>56</v>
      </c>
      <c r="M106" s="4">
        <f>VLOOKUP($B106&amp;"__wt",'SegEnds_Xtal_BW#'!$A:$Z,13,FALSE)</f>
        <v>50</v>
      </c>
      <c r="N106" s="12">
        <f>VLOOKUP($B106&amp;"__wt",'SegEnds_Xtal_BW#'!$A:$Z,14,FALSE)</f>
        <v>57</v>
      </c>
      <c r="O106" s="87">
        <f>VLOOKUP($B106&amp;"__wt",'SegEnds_Xtal_BW#'!$A:$Z,15,FALSE)</f>
        <v>38</v>
      </c>
      <c r="P106" s="4">
        <f>VLOOKUP($B106&amp;"__wt",'SegEnds_Xtal_BW#'!$A:$Z,16,FALSE)</f>
        <v>69</v>
      </c>
      <c r="Q106" s="4">
        <f>VLOOKUP($B106&amp;"__wt",'SegEnds_Xtal_BW#'!$A:$Z,17,FALSE)</f>
        <v>50</v>
      </c>
      <c r="R106" s="4">
        <f>VLOOKUP($B106&amp;"__wt",'SegEnds_Xtal_BW#'!$A:$Z,18,FALSE)</f>
        <v>52</v>
      </c>
      <c r="S106" s="1">
        <f>VLOOKUP($B106&amp;"__wt",'SegEnds_Xtal_BW#'!$A:$Z,19,FALSE)</f>
        <v>35</v>
      </c>
      <c r="T106" s="4">
        <f t="array" ref="T106">INDEX(ICL3_classA!$G$2:$G$39,MATCH(MIN(ABS(AI106-ICL3_classA!$F$2:$F$39)),ABS(AI106-ICL3_classA!$F$2:$F$39),0))</f>
        <v>75</v>
      </c>
      <c r="U106" s="4">
        <f t="array" ref="U106">INDEX(ICL3_classA!$H$2:$H$39,MATCH(MIN(ABS(AI106-ICL3_classA!$F$2:$F$39)),ABS(AI106-ICL3_classA!$F$2:$F$39),0))</f>
        <v>24</v>
      </c>
      <c r="V106" s="4">
        <v>61</v>
      </c>
      <c r="W106" s="4">
        <v>31</v>
      </c>
      <c r="X106" s="4">
        <f>VLOOKUP($B106&amp;"__wt",'SegEnds_Xtal_BW#'!$A:$Z,24,FALSE)</f>
        <v>56</v>
      </c>
      <c r="Y106" s="4">
        <f>VLOOKUP($B106&amp;"__wt",'SegEnds_Xtal_BW#'!$A:$Z,25,FALSE)</f>
        <v>47</v>
      </c>
      <c r="Z106" s="4">
        <f>VLOOKUP($B106&amp;"__wt",'SegEnds_Xtal_BW#'!$A:$Z,26,FALSE)</f>
        <v>60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4">
        <f>VLOOKUP(A106,'SegEnds_NonXtal_Prot#'!A:AL,10,FALSE)-VLOOKUP(A106,'SegEnds_NonXtal_Prot#'!A:AL,7,FALSE)</f>
        <v>15</v>
      </c>
      <c r="AD106" s="4">
        <f>VLOOKUP(A106,'SegEnds_NonXtal_Prot#'!A:AL,13,FALSE)-VLOOKUP(A106,'SegEnds_NonXtal_Prot#'!A:AL,10,FALSE)</f>
        <v>20</v>
      </c>
      <c r="AE106" s="4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4">
        <f>VLOOKUP(A106,'SegEnds_NonXtal_Prot#'!A:AL,28,FALSE)-VLOOKUP(A106,'SegEnds_NonXtal_Prot#'!A:AL,25,FALSE)</f>
        <v>22</v>
      </c>
      <c r="AH106" s="1">
        <f>VLOOKUP(A106,'SegEnds_NonXtal_Prot#'!A:AL,28,FALSE)-VLOOKUP(A106,'SegEnds_NonXtal_Prot#'!A:AL,22,FALSE)</f>
        <v>50</v>
      </c>
      <c r="AI106" s="4">
        <f>VLOOKUP(A106,'SegEnds_NonXtal_Prot#'!A:AL,31,FALSE)-VLOOKUP(A106,'SegEnds_NonXtal_Prot#'!A:AL,28,FALSE)</f>
        <v>263</v>
      </c>
      <c r="AJ106" s="4">
        <f>VLOOKUP(A106,'SegEnds_NonXtal_Prot#'!A:AL,34,FALSE)-VLOOKUP(A106,'SegEnds_NonXtal_Prot#'!A:AL,31,FALSE)</f>
        <v>35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Xtal</v>
      </c>
    </row>
    <row r="107" spans="1:38" x14ac:dyDescent="0.2">
      <c r="A107" s="1" t="s">
        <v>149</v>
      </c>
      <c r="B107" s="1" t="str">
        <f>VLOOKUP(A107,Xtal_Templ!A:B,2,FALSE)</f>
        <v>acm4_human</v>
      </c>
      <c r="C107" s="5">
        <f>VLOOKUP($B107&amp;"__wt",'SegEnds_Xtal_BW#'!$A:$Z,3,FALSE)</f>
        <v>26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7">
        <f>VLOOKUP($B107&amp;"__wt",'SegEnds_Xtal_BW#'!$A:$Z,15,FALSE)</f>
        <v>38</v>
      </c>
      <c r="P107" s="1">
        <f>VLOOKUP($B107&amp;"__wt",'SegEnds_Xtal_BW#'!$A:$Z,16,FALSE)</f>
        <v>69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35</v>
      </c>
      <c r="T107" s="1">
        <f t="array" ref="T107">INDEX(ICL3_classA!$G$2:$G$39,MATCH(MIN(ABS(AI107-ICL3_classA!$F$2:$F$39)),ABS(AI107-ICL3_classA!$F$2:$F$39),0))</f>
        <v>75</v>
      </c>
      <c r="U107" s="1">
        <f t="array" ref="U107">INDEX(ICL3_classA!$H$2:$H$39,MATCH(MIN(ABS(AI107-ICL3_classA!$F$2:$F$39)),ABS(AI107-ICL3_classA!$F$2:$F$39),0))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61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22</v>
      </c>
      <c r="AH107" s="1">
        <f>VLOOKUP(A107,'SegEnds_NonXtal_Prot#'!A:AL,28,FALSE)-VLOOKUP(A107,'SegEnds_NonXtal_Prot#'!A:AL,22,FALSE)</f>
        <v>50</v>
      </c>
      <c r="AI107" s="1">
        <f>VLOOKUP(A107,'SegEnds_NonXtal_Prot#'!A:AL,31,FALSE)-VLOOKUP(A107,'SegEnds_NonXtal_Prot#'!A:AL,28,FALSE)</f>
        <v>208</v>
      </c>
      <c r="AJ107" s="1">
        <f>VLOOKUP(A107,'SegEnds_NonXtal_Prot#'!A:AL,34,FALSE)-VLOOKUP(A107,'SegEnds_NonXtal_Prot#'!A:AL,31,FALSE)</f>
        <v>35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Xtal</v>
      </c>
    </row>
    <row r="108" spans="1:38" x14ac:dyDescent="0.2">
      <c r="A108" s="1" t="s">
        <v>150</v>
      </c>
      <c r="B108" s="1" t="str">
        <f>VLOOKUP(A108,Xtal_Templ!A:B,2,FALSE)</f>
        <v>acm5_human</v>
      </c>
      <c r="C108" s="5">
        <f>VLOOKUP($B108&amp;"__wt",'SegEnds_Xtal_BW#'!$A:$Z,3,FALSE)</f>
        <v>28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69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INDEX(ICL3_classA!$G$2:$G$39,MATCH(MIN(ABS(AI108-ICL3_classA!$F$2:$F$39)),ABS(AI108-ICL3_classA!$F$2:$F$39),0))</f>
        <v>75</v>
      </c>
      <c r="U108" s="1">
        <f t="array" ref="U108">INDEX(ICL3_classA!$H$2:$H$39,MATCH(MIN(ABS(AI108-ICL3_classA!$F$2:$F$39)),ABS(AI108-ICL3_classA!$F$2:$F$39),0))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22</v>
      </c>
      <c r="AH108" s="1">
        <f>VLOOKUP(A108,'SegEnds_NonXtal_Prot#'!A:AL,28,FALSE)-VLOOKUP(A108,'SegEnds_NonXtal_Prot#'!A:AL,22,FALSE)</f>
        <v>50</v>
      </c>
      <c r="AI108" s="1">
        <f>VLOOKUP(A108,'SegEnds_NonXtal_Prot#'!A:AL,31,FALSE)-VLOOKUP(A108,'SegEnds_NonXtal_Prot#'!A:AL,28,FALSE)</f>
        <v>252</v>
      </c>
      <c r="AJ108" s="1">
        <f>VLOOKUP(A108,'SegEnds_NonXtal_Prot#'!A:AL,34,FALSE)-VLOOKUP(A108,'SegEnds_NonXtal_Prot#'!A:AL,31,FALSE)</f>
        <v>35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Xtal</v>
      </c>
    </row>
    <row r="109" spans="1:38" x14ac:dyDescent="0.2">
      <c r="A109" s="1" t="s">
        <v>155</v>
      </c>
      <c r="B109" s="1" t="str">
        <f>VLOOKUP(A109,Xtal_Templ!A:B,2,FALSE)</f>
        <v>drd2_human</v>
      </c>
      <c r="C109" s="5">
        <f>VLOOKUP($B109&amp;"__wt",'SegEnds_Xtal_BW#'!$A:$Z,3,FALSE)</f>
        <v>29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7">
        <v>38</v>
      </c>
      <c r="P109" s="1">
        <f>VLOOKUP($B109&amp;"__wt",'SegEnds_Xtal_BW#'!$A:$Z,16,FALSE)</f>
        <v>62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INDEX(ICL3_classA!$G$2:$G$39,MATCH(MIN(ABS(AI109-ICL3_classA!$F$2:$F$39)),ABS(AI109-ICL3_classA!$F$2:$F$39),0))</f>
        <v>75</v>
      </c>
      <c r="U109" s="1">
        <f t="array" ref="U109">INDEX(ICL3_classA!$H$2:$H$39,MATCH(MIN(ABS(AI109-ICL3_classA!$F$2:$F$39)),ABS(AI109-ICL3_classA!$F$2:$F$39),0))</f>
        <v>24</v>
      </c>
      <c r="V109" s="1">
        <v>61</v>
      </c>
      <c r="W109" s="1">
        <v>32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20</v>
      </c>
      <c r="AH109" s="1">
        <f>VLOOKUP(A109,'SegEnds_NonXtal_Prot#'!A:AL,28,FALSE)-VLOOKUP(A109,'SegEnds_NonXtal_Prot#'!A:AL,22,FALSE)</f>
        <v>50</v>
      </c>
      <c r="AI109" s="1">
        <f>VLOOKUP(A109,'SegEnds_NonXtal_Prot#'!A:AL,31,FALSE)-VLOOKUP(A109,'SegEnds_NonXtal_Prot#'!A:AL,28,FALSE)</f>
        <v>181</v>
      </c>
      <c r="AJ109" s="1">
        <f>VLOOKUP(A109,'SegEnds_NonXtal_Prot#'!A:AL,34,FALSE)-VLOOKUP(A109,'SegEnds_NonXtal_Prot#'!A:AL,31,FALSE)</f>
        <v>34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180</v>
      </c>
      <c r="B110" s="1" t="str">
        <f>VLOOKUP(A110,Xtal_Templ!A:B,2,FALSE)</f>
        <v>cltr2_human</v>
      </c>
      <c r="C110" s="5">
        <f>VLOOKUP($B110&amp;"__wt",'SegEnds_Xtal_BW#'!$A:$Z,3,FALSE)</f>
        <v>25</v>
      </c>
      <c r="D110" s="1">
        <f>VLOOKUP($B110&amp;"__wt",'SegEnds_Xtal_BW#'!$A:$Z,4,FALSE)</f>
        <v>60</v>
      </c>
      <c r="E110" s="1" t="str">
        <f>VLOOKUP($B110&amp;"__wt",'SegEnds_Xtal_BW#'!$A:$Z,5,FALSE)</f>
        <v>-</v>
      </c>
      <c r="F110" s="1" t="str">
        <f>VLOOKUP($B110&amp;"__wt",'SegEnds_Xtal_BW#'!$A:$Z,6,FALSE)</f>
        <v>-</v>
      </c>
      <c r="G110" s="1">
        <v>37</v>
      </c>
      <c r="H110" s="12">
        <f>VLOOKUP($B110&amp;"__wt",'SegEnds_Xtal_BW#'!$A:$Z,8,FALSE)</f>
        <v>67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f>VLOOKUP($B110&amp;"__wt",'SegEnds_Xtal_BW#'!$A:$Z,15,FALSE)</f>
        <v>38</v>
      </c>
      <c r="P110" s="1">
        <f>VLOOKUP($B110&amp;"__wt",'SegEnds_Xtal_BW#'!$A:$Z,16,FALSE)</f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32</v>
      </c>
      <c r="T110" s="1">
        <f t="array" ref="T110">INDEX(ICL3_classA!$G$2:$G$39,MATCH(MIN(ABS(AI110-ICL3_classA!$F$2:$F$39)),ABS(AI110-ICL3_classA!$F$2:$F$39),0))</f>
        <v>68</v>
      </c>
      <c r="U110" s="1">
        <f t="array" ref="U110">INDEX(ICL3_classA!$H$2:$H$39,MATCH(MIN(ABS(AI110-ICL3_classA!$F$2:$F$39)),ABS(AI110-ICL3_classA!$F$2:$F$39),0))</f>
        <v>24</v>
      </c>
      <c r="V110" s="1">
        <f>VLOOKUP($B110&amp;"__wt",'SegEnds_Xtal_BW#'!$A:$Z,22,FALSE)</f>
        <v>62</v>
      </c>
      <c r="W110" s="1">
        <v>28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60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 t="e">
        <f>VLOOKUP(A110,'SegEnds_NonXtal_Prot#'!A:AL,10,FALSE)-VLOOKUP(A110,'SegEnds_NonXtal_Prot#'!A:AL,7,FALSE)</f>
        <v>#VALUE!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26</v>
      </c>
      <c r="AH110" s="1">
        <f>VLOOKUP(A110,'SegEnds_NonXtal_Prot#'!A:AL,28,FALSE)-VLOOKUP(A110,'SegEnds_NonXtal_Prot#'!A:AL,22,FALSE)</f>
        <v>50</v>
      </c>
      <c r="AI110" s="1">
        <f>VLOOKUP(A110,'SegEnds_NonXtal_Prot#'!A:AL,31,FALSE)-VLOOKUP(A110,'SegEnds_NonXtal_Prot#'!A:AL,28,FALSE)</f>
        <v>49</v>
      </c>
      <c r="AJ110" s="1">
        <f>VLOOKUP(A110,'SegEnds_NonXtal_Prot#'!A:AL,34,FALSE)-VLOOKUP(A110,'SegEnds_NonXtal_Prot#'!A:AL,31,FALSE)</f>
        <v>40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Xtal</v>
      </c>
    </row>
    <row r="111" spans="1:38" x14ac:dyDescent="0.2">
      <c r="A111" s="1" t="s">
        <v>1171</v>
      </c>
      <c r="B111" s="1" t="str">
        <f>VLOOKUP(A111,Xtal_Templ!A:B,2,FALSE)</f>
        <v>cxcr4_human</v>
      </c>
      <c r="C111" s="5">
        <f>VLOOKUP($B111&amp;"__wt",'SegEnds_Xtal_BW#'!$A:$Z,3,FALSE)</f>
        <v>24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24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57</v>
      </c>
      <c r="O111" s="87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32</v>
      </c>
      <c r="T111" s="1">
        <f t="array" ref="T111">INDEX(ICL3_classA!$G$2:$G$39,MATCH(MIN(ABS(AI111-ICL3_classA!$F$2:$F$39)),ABS(AI111-ICL3_classA!$F$2:$F$39),0))</f>
        <v>68</v>
      </c>
      <c r="U111" s="1">
        <f t="array" ref="U111">INDEX(ICL3_classA!$H$2:$H$39,MATCH(MIN(ABS(AI111-ICL3_classA!$F$2:$F$39)),ABS(AI111-ICL3_classA!$F$2:$F$39),0))</f>
        <v>30</v>
      </c>
      <c r="V111" s="1">
        <v>64</v>
      </c>
      <c r="W111" s="1">
        <v>24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18</v>
      </c>
      <c r="AE111" s="1">
        <f>VLOOKUP(A111,'SegEnds_NonXtal_Prot#'!A:AL,16,FALSE)-VLOOKUP(A111,'SegEnds_NonXtal_Prot#'!A:AL,10,FALSE)</f>
        <v>50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25</v>
      </c>
      <c r="AH111" s="1">
        <f>VLOOKUP(A111,'SegEnds_NonXtal_Prot#'!A:AL,28,FALSE)-VLOOKUP(A111,'SegEnds_NonXtal_Prot#'!A:AL,22,FALSE)</f>
        <v>50</v>
      </c>
      <c r="AI111" s="1">
        <f>VLOOKUP(A111,'SegEnds_NonXtal_Prot#'!A:AL,31,FALSE)-VLOOKUP(A111,'SegEnds_NonXtal_Prot#'!A:AL,28,FALSE)</f>
        <v>43</v>
      </c>
      <c r="AJ111" s="1">
        <f>VLOOKUP(A111,'SegEnds_NonXtal_Prot#'!A:AL,34,FALSE)-VLOOKUP(A111,'SegEnds_NonXtal_Prot#'!A:AL,31,FALSE)</f>
        <v>45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Xtal</v>
      </c>
    </row>
    <row r="112" spans="1:38" x14ac:dyDescent="0.2">
      <c r="A112" s="1" t="s">
        <v>232</v>
      </c>
      <c r="B112" s="1" t="str">
        <f>VLOOKUP(A112,Xtal_Templ!A:B,2,FALSE)</f>
        <v>ox1r_human</v>
      </c>
      <c r="C112" s="5">
        <f>VLOOKUP($B112&amp;"__wt",'SegEnds_Xtal_BW#'!$A:$Z,3,FALSE)</f>
        <v>32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68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56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33</v>
      </c>
      <c r="T112" s="1">
        <f t="array" ref="T112">INDEX(ICL3_classA!$G$2:$G$39,MATCH(MIN(ABS(AI112-ICL3_classA!$F$2:$F$39)),ABS(AI112-ICL3_classA!$F$2:$F$39),0))</f>
        <v>74</v>
      </c>
      <c r="U112" s="1">
        <f t="array" ref="U112">INDEX(ICL3_classA!$H$2:$H$39,MATCH(MIN(ABS(AI112-ICL3_classA!$F$2:$F$39)),ABS(AI112-ICL3_classA!$F$2:$F$39),0))</f>
        <v>21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63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22</v>
      </c>
      <c r="AE112" s="1">
        <f>VLOOKUP(A112,'SegEnds_NonXtal_Prot#'!A:AL,16,FALSE)-VLOOKUP(A112,'SegEnds_NonXtal_Prot#'!A:AL,10,FALSE)</f>
        <v>55</v>
      </c>
      <c r="AF112" s="1" t="e">
        <f>VLOOKUP(A112,'SegEnds_NonXtal_Prot#'!A:AL,22,FALSE)-VLOOKUP(A112,'SegEnds_NonXtal_Prot#'!A:AL,19,FALSE)</f>
        <v>#VALUE!</v>
      </c>
      <c r="AG112" s="1">
        <f>VLOOKUP(A112,'SegEnds_NonXtal_Prot#'!A:AL,28,FALSE)-VLOOKUP(A112,'SegEnds_NonXtal_Prot#'!A:AL,25,FALSE)</f>
        <v>25</v>
      </c>
      <c r="AH112" s="1">
        <f>VLOOKUP(A112,'SegEnds_NonXtal_Prot#'!A:AL,28,FALSE)-VLOOKUP(A112,'SegEnds_NonXtal_Prot#'!A:AL,22,FALSE)</f>
        <v>50</v>
      </c>
      <c r="AI112" s="1">
        <f>VLOOKUP(A112,'SegEnds_NonXtal_Prot#'!A:AL,31,FALSE)-VLOOKUP(A112,'SegEnds_NonXtal_Prot#'!A:AL,28,FALSE)</f>
        <v>64</v>
      </c>
      <c r="AJ112" s="1">
        <f>VLOOKUP(A112,'SegEnds_NonXtal_Prot#'!A:AL,34,FALSE)-VLOOKUP(A112,'SegEnds_NonXtal_Prot#'!A:AL,31,FALSE)</f>
        <v>36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246</v>
      </c>
      <c r="B113" s="1" t="str">
        <f>VLOOKUP(A113,Xtal_Templ!A:B,2,FALSE)</f>
        <v>agtr1_human</v>
      </c>
      <c r="C113" s="5">
        <f>VLOOKUP($B113&amp;"__wt",'SegEnds_Xtal_BW#'!$A:$Z,3,FALSE)</f>
        <v>28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INDEX(ICL3_classA!$G$2:$G$39,MATCH(MIN(ABS(AI113-ICL3_classA!$F$2:$F$39)),ABS(AI113-ICL3_classA!$F$2:$F$39),0))</f>
        <v>67</v>
      </c>
      <c r="U113" s="1">
        <f t="array" ref="U113">INDEX(ICL3_classA!$H$2:$H$39,MATCH(MIN(ABS(AI113-ICL3_classA!$F$2:$F$39)),ABS(AI113-ICL3_classA!$F$2:$F$39),0))</f>
        <v>28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>
        <f>VLOOKUP(A113,'SegEnds_NonXtal_Prot#'!A:AL,10,FALSE)-VLOOKUP(A113,'SegEnds_NonXtal_Prot#'!A:AL,7,FALSE)</f>
        <v>15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23</v>
      </c>
      <c r="AH113" s="1">
        <f>VLOOKUP(A113,'SegEnds_NonXtal_Prot#'!A:AL,28,FALSE)-VLOOKUP(A113,'SegEnds_NonXtal_Prot#'!A:AL,22,FALSE)</f>
        <v>50</v>
      </c>
      <c r="AI113" s="1">
        <f>VLOOKUP(A113,'SegEnds_NonXtal_Prot#'!A:AL,31,FALSE)-VLOOKUP(A113,'SegEnds_NonXtal_Prot#'!A:AL,28,FALSE)</f>
        <v>45</v>
      </c>
      <c r="AJ113" s="1">
        <f>VLOOKUP(A113,'SegEnds_NonXtal_Prot#'!A:AL,34,FALSE)-VLOOKUP(A113,'SegEnds_NonXtal_Prot#'!A:AL,31,FALSE)</f>
        <v>45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250</v>
      </c>
      <c r="B114" s="1" t="str">
        <f>VLOOKUP(A114,Xtal_Templ!A:B,2,FALSE)</f>
        <v>oprd_mouse</v>
      </c>
      <c r="C114" s="5">
        <f>VLOOKUP($B114&amp;"__wt",'SegEnds_Xtal_BW#'!$A:$Z,3,FALSE)</f>
        <v>24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7">
        <f>VLOOKUP($B114&amp;"__wt",'SegEnds_Xtal_BW#'!$A:$Z,15,FALSE)</f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31</v>
      </c>
      <c r="T114" s="1">
        <f t="array" ref="T114">INDEX(ICL3_classA!$G$2:$G$39,MATCH(MIN(ABS(AI114-ICL3_classA!$F$2:$F$39)),ABS(AI114-ICL3_classA!$F$2:$F$39),0))</f>
        <v>68</v>
      </c>
      <c r="U114" s="1">
        <f t="array" ref="U114">INDEX(ICL3_classA!$H$2:$H$39,MATCH(MIN(ABS(AI114-ICL3_classA!$F$2:$F$39)),ABS(AI114-ICL3_classA!$F$2:$F$39),0))</f>
        <v>24</v>
      </c>
      <c r="V114" s="1">
        <v>61</v>
      </c>
      <c r="W114" s="1">
        <v>28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60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20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27</v>
      </c>
      <c r="AH114" s="1">
        <f>VLOOKUP(A114,'SegEnds_NonXtal_Prot#'!A:AL,28,FALSE)-VLOOKUP(A114,'SegEnds_NonXtal_Prot#'!A:AL,22,FALSE)</f>
        <v>50</v>
      </c>
      <c r="AI114" s="1">
        <f>VLOOKUP(A114,'SegEnds_NonXtal_Prot#'!A:AL,31,FALSE)-VLOOKUP(A114,'SegEnds_NonXtal_Prot#'!A:AL,28,FALSE)</f>
        <v>48</v>
      </c>
      <c r="AJ114" s="1">
        <f>VLOOKUP(A114,'SegEnds_NonXtal_Prot#'!A:AL,34,FALSE)-VLOOKUP(A114,'SegEnds_NonXtal_Prot#'!A:AL,31,FALSE)</f>
        <v>42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278</v>
      </c>
      <c r="B115" s="1" t="str">
        <f>VLOOKUP(A115,Xtal_Templ!A:B,2,FALSE)</f>
        <v>hrh1_human</v>
      </c>
      <c r="C115" s="5">
        <f>VLOOKUP($B115&amp;"__wt",'SegEnds_Xtal_BW#'!$A:$Z,3,FALSE)</f>
        <v>34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f>VLOOKUP($B115&amp;"__wt",'SegEnds_Xtal_BW#'!$A:$Z,15,FALSE)</f>
        <v>38</v>
      </c>
      <c r="P115" s="1">
        <f>VLOOKUP($B115&amp;"__wt",'SegEnds_Xtal_BW#'!$A:$Z,16,FALSE)</f>
        <v>62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v>35</v>
      </c>
      <c r="T115" s="1">
        <f t="array" ref="T115">INDEX(ICL3_classA!$G$2:$G$39,MATCH(MIN(ABS(AI115-ICL3_classA!$F$2:$F$39)),ABS(AI115-ICL3_classA!$F$2:$F$39),0))</f>
        <v>76</v>
      </c>
      <c r="U115" s="1">
        <f t="array" ref="U115">INDEX(ICL3_classA!$H$2:$H$39,MATCH(MIN(ABS(AI115-ICL3_classA!$F$2:$F$39)),ABS(AI115-ICL3_classA!$F$2:$F$39),0))</f>
        <v>24</v>
      </c>
      <c r="V115" s="1">
        <v>61</v>
      </c>
      <c r="W115" s="1">
        <v>31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22</v>
      </c>
      <c r="AH115" s="1">
        <f>VLOOKUP(A115,'SegEnds_NonXtal_Prot#'!A:AL,28,FALSE)-VLOOKUP(A115,'SegEnds_NonXtal_Prot#'!A:AL,22,FALSE)</f>
        <v>50</v>
      </c>
      <c r="AI115" s="1">
        <f>VLOOKUP(A115,'SegEnds_NonXtal_Prot#'!A:AL,31,FALSE)-VLOOKUP(A115,'SegEnds_NonXtal_Prot#'!A:AL,28,FALSE)</f>
        <v>228</v>
      </c>
      <c r="AJ115" s="1">
        <f>VLOOKUP(A115,'SegEnds_NonXtal_Prot#'!A:AL,34,FALSE)-VLOOKUP(A115,'SegEnds_NonXtal_Prot#'!A:AL,31,FALSE)</f>
        <v>35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280</v>
      </c>
      <c r="B116" s="1" t="str">
        <f>VLOOKUP(A116,Xtal_Templ!A:B,2,FALSE)</f>
        <v>hrh1_human</v>
      </c>
      <c r="C116" s="5">
        <f>VLOOKUP($B116&amp;"__wt",'SegEnds_Xtal_BW#'!$A:$Z,3,FALSE)</f>
        <v>34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58</v>
      </c>
      <c r="O116" s="87">
        <f>VLOOKUP($B116&amp;"__wt",'SegEnds_Xtal_BW#'!$A:$Z,15,FALSE)</f>
        <v>38</v>
      </c>
      <c r="P116" s="1">
        <v>63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v>35</v>
      </c>
      <c r="T116" s="1">
        <f t="array" ref="T116">INDEX(ICL3_classA!$G$2:$G$39,MATCH(MIN(ABS(AI116-ICL3_classA!$F$2:$F$39)),ABS(AI116-ICL3_classA!$F$2:$F$39),0))</f>
        <v>75</v>
      </c>
      <c r="U116" s="1">
        <f t="array" ref="U116">INDEX(ICL3_classA!$H$2:$H$39,MATCH(MIN(ABS(AI116-ICL3_classA!$F$2:$F$39)),ABS(AI116-ICL3_classA!$F$2:$F$39),0))</f>
        <v>24</v>
      </c>
      <c r="V116" s="1">
        <v>61</v>
      </c>
      <c r="W116" s="1">
        <v>31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21</v>
      </c>
      <c r="AG116" s="1">
        <f>VLOOKUP(A116,'SegEnds_NonXtal_Prot#'!A:AL,28,FALSE)-VLOOKUP(A116,'SegEnds_NonXtal_Prot#'!A:AL,25,FALSE)</f>
        <v>22</v>
      </c>
      <c r="AH116" s="1">
        <f>VLOOKUP(A116,'SegEnds_NonXtal_Prot#'!A:AL,28,FALSE)-VLOOKUP(A116,'SegEnds_NonXtal_Prot#'!A:AL,22,FALSE)</f>
        <v>50</v>
      </c>
      <c r="AI116" s="1">
        <f>VLOOKUP(A116,'SegEnds_NonXtal_Prot#'!A:AL,31,FALSE)-VLOOKUP(A116,'SegEnds_NonXtal_Prot#'!A:AL,28,FALSE)</f>
        <v>163</v>
      </c>
      <c r="AJ116" s="1">
        <f>VLOOKUP(A116,'SegEnds_NonXtal_Prot#'!A:AL,34,FALSE)-VLOOKUP(A116,'SegEnds_NonXtal_Prot#'!A:AL,31,FALSE)</f>
        <v>36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374</v>
      </c>
      <c r="B117" s="1" t="str">
        <f>VLOOKUP(A117,Xtal_Templ!A:B,2,FALSE)</f>
        <v>oprd_human</v>
      </c>
      <c r="C117" s="5">
        <f>VLOOKUP($B117&amp;"__wt",'SegEnds_Xtal_BW#'!$A:$Z,3,FALSE)</f>
        <v>22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f>VLOOKUP($B117&amp;"__wt",'SegEnds_Xtal_BW#'!$A:$Z,8,FALSE)</f>
        <v>66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31</v>
      </c>
      <c r="T117" s="1">
        <f t="array" ref="T117">INDEX(ICL3_classA!$G$2:$G$39,MATCH(MIN(ABS(AI117-ICL3_classA!$F$2:$F$39)),ABS(AI117-ICL3_classA!$F$2:$F$39),0))</f>
        <v>67</v>
      </c>
      <c r="U117" s="1">
        <f t="array" ref="U117">INDEX(ICL3_classA!$H$2:$H$39,MATCH(MIN(ABS(AI117-ICL3_classA!$F$2:$F$39)),ABS(AI117-ICL3_classA!$F$2:$F$39),0))</f>
        <v>28</v>
      </c>
      <c r="V117" s="1">
        <v>64</v>
      </c>
      <c r="W117" s="1">
        <v>24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60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30</v>
      </c>
      <c r="AC117" s="1">
        <f>VLOOKUP(A117,'SegEnds_NonXtal_Prot#'!A:AL,10,FALSE)-VLOOKUP(A117,'SegEnds_NonXtal_Prot#'!A:AL,7,FALSE)</f>
        <v>16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25</v>
      </c>
      <c r="AH117" s="1">
        <f>VLOOKUP(A117,'SegEnds_NonXtal_Prot#'!A:AL,28,FALSE)-VLOOKUP(A117,'SegEnds_NonXtal_Prot#'!A:AL,22,FALSE)</f>
        <v>50</v>
      </c>
      <c r="AI117" s="1">
        <f>VLOOKUP(A117,'SegEnds_NonXtal_Prot#'!A:AL,31,FALSE)-VLOOKUP(A117,'SegEnds_NonXtal_Prot#'!A:AL,28,FALSE)</f>
        <v>45</v>
      </c>
      <c r="AJ117" s="1">
        <f>VLOOKUP(A117,'SegEnds_NonXtal_Prot#'!A:AL,34,FALSE)-VLOOKUP(A117,'SegEnds_NonXtal_Prot#'!A:AL,31,FALSE)</f>
        <v>45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383</v>
      </c>
      <c r="B118" s="1" t="str">
        <f>VLOOKUP(A118,Xtal_Templ!A:B,2,FALSE)</f>
        <v>oprk_human</v>
      </c>
      <c r="C118" s="5">
        <f>VLOOKUP($B118&amp;"__wt",'SegEnds_Xtal_BW#'!$A:$Z,3,FALSE)</f>
        <v>30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30</v>
      </c>
      <c r="T118" s="1">
        <f t="array" ref="T118">INDEX(ICL3_classA!$G$2:$G$39,MATCH(MIN(ABS(AI118-ICL3_classA!$F$2:$F$39)),ABS(AI118-ICL3_classA!$F$2:$F$39),0))</f>
        <v>72</v>
      </c>
      <c r="U118" s="1">
        <f t="array" ref="U118">INDEX(ICL3_classA!$H$2:$H$39,MATCH(MIN(ABS(AI118-ICL3_classA!$F$2:$F$39)),ABS(AI118-ICL3_classA!$F$2:$F$39),0))</f>
        <v>24</v>
      </c>
      <c r="V118" s="1">
        <v>61</v>
      </c>
      <c r="W118" s="131">
        <f>VLOOKUP($B118&amp;"__wt",'SegEnds_Xtal_BW#'!$A:$Z,23,FALSE)</f>
        <v>28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19</v>
      </c>
      <c r="AE118" s="1">
        <f>VLOOKUP(A118,'SegEnds_NonXtal_Prot#'!A:AL,16,FALSE)-VLOOKUP(A118,'SegEnds_NonXtal_Prot#'!A:AL,10,FALSE)</f>
        <v>51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27</v>
      </c>
      <c r="AH118" s="1">
        <f>VLOOKUP(A118,'SegEnds_NonXtal_Prot#'!A:AL,28,FALSE)-VLOOKUP(A118,'SegEnds_NonXtal_Prot#'!A:AL,22,FALSE)</f>
        <v>50</v>
      </c>
      <c r="AI118" s="1">
        <f>VLOOKUP(A118,'SegEnds_NonXtal_Prot#'!A:AL,31,FALSE)-VLOOKUP(A118,'SegEnds_NonXtal_Prot#'!A:AL,28,FALSE)</f>
        <v>54</v>
      </c>
      <c r="AJ118" s="1">
        <f>VLOOKUP(A118,'SegEnds_NonXtal_Prot#'!A:AL,34,FALSE)-VLOOKUP(A118,'SegEnds_NonXtal_Prot#'!A:AL,31,FALSE)</f>
        <v>38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473</v>
      </c>
      <c r="B119" s="1" t="str">
        <f>VLOOKUP(A119,Xtal_Templ!A:B,2,FALSE)</f>
        <v>ta2r_human</v>
      </c>
      <c r="C119" s="5">
        <f>VLOOKUP($B119&amp;"__wt",'SegEnds_Xtal_BW#'!$A:$Z,3,FALSE)</f>
        <v>35</v>
      </c>
      <c r="D119" s="1">
        <f>VLOOKUP($B119&amp;"__wt",'SegEnds_Xtal_BW#'!$A:$Z,4,FALSE)</f>
        <v>62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v>67</v>
      </c>
      <c r="I119" s="1">
        <f>VLOOKUP($B119&amp;"__wt",'SegEnds_Xtal_BW#'!$A:$Z,9,FALSE)</f>
        <v>49</v>
      </c>
      <c r="J119" s="1">
        <f>VLOOKUP($B119&amp;"__wt",'SegEnds_Xtal_BW#'!$A:$Z,10,FALSE)</f>
        <v>53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f>VLOOKUP($B119&amp;"__wt",'SegEnds_Xtal_BW#'!$A:$Z,15,FALSE)</f>
        <v>38</v>
      </c>
      <c r="P119" s="1">
        <f>VLOOKUP($B119&amp;"__wt",'SegEnds_Xtal_BW#'!$A:$Z,16,FALSE)</f>
        <v>63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33</v>
      </c>
      <c r="T119" s="1">
        <f t="array" ref="T119">INDEX(ICL3_classA!$G$2:$G$39,MATCH(MIN(ABS(AI119-ICL3_classA!$F$2:$F$39)),ABS(AI119-ICL3_classA!$F$2:$F$39),0))</f>
        <v>72</v>
      </c>
      <c r="U119" s="1">
        <f t="array" ref="U119">INDEX(ICL3_classA!$H$2:$H$39,MATCH(MIN(ABS(AI119-ICL3_classA!$F$2:$F$39)),ABS(AI119-ICL3_classA!$F$2:$F$39),0))</f>
        <v>24</v>
      </c>
      <c r="V119" s="108">
        <v>61</v>
      </c>
      <c r="W119" s="108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66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32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21</v>
      </c>
      <c r="AE119" s="1">
        <f>VLOOKUP(A119,'SegEnds_NonXtal_Prot#'!A:AL,16,FALSE)-VLOOKUP(A119,'SegEnds_NonXtal_Prot#'!A:AL,10,FALSE)</f>
        <v>56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24</v>
      </c>
      <c r="AH119" s="1">
        <f>VLOOKUP(A119,'SegEnds_NonXtal_Prot#'!A:AL,28,FALSE)-VLOOKUP(A119,'SegEnds_NonXtal_Prot#'!A:AL,22,FALSE)</f>
        <v>50</v>
      </c>
      <c r="AI119" s="1">
        <f>VLOOKUP(A119,'SegEnds_NonXtal_Prot#'!A:AL,31,FALSE)-VLOOKUP(A119,'SegEnds_NonXtal_Prot#'!A:AL,28,FALSE)</f>
        <v>53</v>
      </c>
      <c r="AJ119" s="1">
        <f>VLOOKUP(A119,'SegEnds_NonXtal_Prot#'!A:AL,34,FALSE)-VLOOKUP(A119,'SegEnds_NonXtal_Prot#'!A:AL,31,FALSE)</f>
        <v>45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187</v>
      </c>
      <c r="B120" s="1" t="str">
        <f>VLOOKUP(A120,Xtal_Templ!A:B,2,FALSE)</f>
        <v>ccr7_human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33</v>
      </c>
      <c r="T120" s="1">
        <f t="array" ref="T120">INDEX(ICL3_classA!$G$2:$G$39,MATCH(MIN(ABS(AI120-ICL3_classA!$F$2:$F$39)),ABS(AI120-ICL3_classA!$F$2:$F$39),0))</f>
        <v>68</v>
      </c>
      <c r="U120" s="1">
        <f t="array" ref="U120">INDEX(ICL3_classA!$H$2:$H$39,MATCH(MIN(ABS(AI120-ICL3_classA!$F$2:$F$39)),ABS(AI120-ICL3_classA!$F$2:$F$39),0))</f>
        <v>30</v>
      </c>
      <c r="V120" s="1">
        <v>64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18</v>
      </c>
      <c r="AE120" s="1">
        <f>VLOOKUP(A120,'SegEnds_NonXtal_Prot#'!A:AL,16,FALSE)-VLOOKUP(A120,'SegEnds_NonXtal_Prot#'!A:AL,10,FALSE)</f>
        <v>50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24</v>
      </c>
      <c r="AH120" s="1">
        <f>VLOOKUP(A120,'SegEnds_NonXtal_Prot#'!A:AL,28,FALSE)-VLOOKUP(A120,'SegEnds_NonXtal_Prot#'!A:AL,22,FALSE)</f>
        <v>51</v>
      </c>
      <c r="AI120" s="1">
        <f>VLOOKUP(A120,'SegEnds_NonXtal_Prot#'!A:AL,31,FALSE)-VLOOKUP(A120,'SegEnds_NonXtal_Prot#'!A:AL,28,FALSE)</f>
        <v>43</v>
      </c>
      <c r="AJ120" s="1">
        <f>VLOOKUP(A120,'SegEnds_NonXtal_Prot#'!A:AL,34,FALSE)-VLOOKUP(A120,'SegEnds_NonXtal_Prot#'!A:AL,31,FALSE)</f>
        <v>45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208</v>
      </c>
      <c r="B121" s="1" t="str">
        <f>VLOOKUP(A121,Xtal_Templ!A:B,2,FALSE)</f>
        <v>ox2r_human</v>
      </c>
      <c r="C121" s="5">
        <f>VLOOKUP($B121&amp;"__wt",'SegEnds_Xtal_BW#'!$A:$Z,3,FALSE)</f>
        <v>31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68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33</v>
      </c>
      <c r="T121" s="1">
        <f t="array" ref="T121">INDEX(ICL3_classA!$G$2:$G$39,MATCH(MIN(ABS(AI121-ICL3_classA!$F$2:$F$39)),ABS(AI121-ICL3_classA!$F$2:$F$39),0))</f>
        <v>76</v>
      </c>
      <c r="U121" s="1">
        <f t="array" ref="U121">INDEX(ICL3_classA!$H$2:$H$39,MATCH(MIN(ABS(AI121-ICL3_classA!$F$2:$F$39)),ABS(AI121-ICL3_classA!$F$2:$F$39),0))</f>
        <v>24</v>
      </c>
      <c r="V121" s="1">
        <v>61</v>
      </c>
      <c r="W121" s="131">
        <f>VLOOKUP($B121&amp;"__wt",'SegEnds_Xtal_BW#'!$A:$Z,23,FALSE)</f>
        <v>27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63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51</v>
      </c>
      <c r="AI121" s="1">
        <f>VLOOKUP(A121,'SegEnds_NonXtal_Prot#'!A:AL,31,FALSE)-VLOOKUP(A121,'SegEnds_NonXtal_Prot#'!A:AL,28,FALSE)</f>
        <v>118</v>
      </c>
      <c r="AJ121" s="1">
        <f>VLOOKUP(A121,'SegEnds_NonXtal_Prot#'!A:AL,34,FALSE)-VLOOKUP(A121,'SegEnds_NonXtal_Prot#'!A:AL,31,FALSE)</f>
        <v>39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253</v>
      </c>
      <c r="B122" s="1" t="str">
        <f>VLOOKUP(A122,Xtal_Templ!A:B,2,FALSE)</f>
        <v>ptafr_human</v>
      </c>
      <c r="C122" s="5">
        <f>VLOOKUP($B122&amp;"__wt",'SegEnds_Xtal_BW#'!$A:$Z,3,FALSE)</f>
        <v>27</v>
      </c>
      <c r="D122" s="1">
        <f>VLOOKUP($B122&amp;"__wt",'SegEnds_Xtal_BW#'!$A:$Z,4,FALSE)</f>
        <v>61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f>VLOOKUP($B122&amp;"__wt",'SegEnds_Xtal_BW#'!$A:$Z,14,FALSE)</f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33</v>
      </c>
      <c r="T122" s="1">
        <f t="array" ref="T122">INDEX(ICL3_classA!$G$2:$G$39,MATCH(MIN(ABS(AI122-ICL3_classA!$F$2:$F$39)),ABS(AI122-ICL3_classA!$F$2:$F$39),0))</f>
        <v>68</v>
      </c>
      <c r="U122" s="1">
        <f t="array" ref="U122">INDEX(ICL3_classA!$H$2:$H$39,MATCH(MIN(ABS(AI122-ICL3_classA!$F$2:$F$39)),ABS(AI122-ICL3_classA!$F$2:$F$39),0))</f>
        <v>23</v>
      </c>
      <c r="V122" s="1">
        <v>61</v>
      </c>
      <c r="W122" s="1">
        <v>24</v>
      </c>
      <c r="X122" s="1">
        <f>VLOOKUP($B122&amp;"__wt",'SegEnds_Xtal_BW#'!$A:$Z,24,FALSE)</f>
        <v>59</v>
      </c>
      <c r="Y122" s="1">
        <f>VLOOKUP($B122&amp;"__wt",'SegEnds_Xtal_BW#'!$A:$Z,25,FALSE)</f>
        <v>50</v>
      </c>
      <c r="Z122" s="1">
        <f>VLOOKUP($B122&amp;"__wt",'SegEnds_Xtal_BW#'!$A:$Z,26,FALSE)</f>
        <v>63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26</v>
      </c>
      <c r="AH122" s="1">
        <f>VLOOKUP(A122,'SegEnds_NonXtal_Prot#'!A:AL,28,FALSE)-VLOOKUP(A122,'SegEnds_NonXtal_Prot#'!A:AL,22,FALSE)</f>
        <v>51</v>
      </c>
      <c r="AI122" s="1">
        <f>VLOOKUP(A122,'SegEnds_NonXtal_Prot#'!A:AL,31,FALSE)-VLOOKUP(A122,'SegEnds_NonXtal_Prot#'!A:AL,28,FALSE)</f>
        <v>51</v>
      </c>
      <c r="AJ122" s="1">
        <f>VLOOKUP(A122,'SegEnds_NonXtal_Prot#'!A:AL,34,FALSE)-VLOOKUP(A122,'SegEnds_NonXtal_Prot#'!A:AL,31,FALSE)</f>
        <v>43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257</v>
      </c>
      <c r="B123" s="1" t="str">
        <f>VLOOKUP(A123,Xtal_Templ!A:B,2,FALSE)</f>
        <v>ptafr_human</v>
      </c>
      <c r="C123" s="5">
        <f>VLOOKUP($B123&amp;"__wt",'SegEnds_Xtal_BW#'!$A:$Z,3,FALSE)</f>
        <v>27</v>
      </c>
      <c r="D123" s="1">
        <f>VLOOKUP($B123&amp;"__wt",'SegEnds_Xtal_BW#'!$A:$Z,4,FALSE)</f>
        <v>61</v>
      </c>
      <c r="E123" s="1" t="str">
        <f>VLOOKUP($B123&amp;"__wt",'SegEnds_Xtal_BW#'!$A:$Z,5,FALSE)</f>
        <v>-</v>
      </c>
      <c r="F123" s="1" t="str">
        <f>VLOOKUP($B123&amp;"__wt",'SegEnds_Xtal_BW#'!$A:$Z,6,FALSE)</f>
        <v>-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63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33</v>
      </c>
      <c r="T123" s="1">
        <f t="array" ref="T123">INDEX(ICL3_classA!$G$2:$G$39,MATCH(MIN(ABS(AI123-ICL3_classA!$F$2:$F$39)),ABS(AI123-ICL3_classA!$F$2:$F$39),0))</f>
        <v>67</v>
      </c>
      <c r="U123" s="1">
        <f t="array" ref="U123">INDEX(ICL3_classA!$H$2:$H$39,MATCH(MIN(ABS(AI123-ICL3_classA!$F$2:$F$39)),ABS(AI123-ICL3_classA!$F$2:$F$39),0))</f>
        <v>26</v>
      </c>
      <c r="V123" s="1">
        <v>64</v>
      </c>
      <c r="W123" s="1">
        <v>24</v>
      </c>
      <c r="X123" s="1">
        <f>VLOOKUP($B123&amp;"__wt",'SegEnds_Xtal_BW#'!$A:$Z,24,FALSE)</f>
        <v>59</v>
      </c>
      <c r="Y123" s="1">
        <f>VLOOKUP($B123&amp;"__wt",'SegEnds_Xtal_BW#'!$A:$Z,25,FALSE)</f>
        <v>50</v>
      </c>
      <c r="Z123" s="1">
        <f>VLOOKUP($B123&amp;"__wt",'SegEnds_Xtal_BW#'!$A:$Z,26,FALSE)</f>
        <v>63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 t="e">
        <f>VLOOKUP(A123,'SegEnds_NonXtal_Prot#'!A:AL,10,FALSE)-VLOOKUP(A123,'SegEnds_NonXtal_Prot#'!A:AL,7,FALSE)</f>
        <v>#VALUE!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25</v>
      </c>
      <c r="AH123" s="1">
        <f>VLOOKUP(A123,'SegEnds_NonXtal_Prot#'!A:AL,28,FALSE)-VLOOKUP(A123,'SegEnds_NonXtal_Prot#'!A:AL,22,FALSE)</f>
        <v>51</v>
      </c>
      <c r="AI123" s="1">
        <f>VLOOKUP(A123,'SegEnds_NonXtal_Prot#'!A:AL,31,FALSE)-VLOOKUP(A123,'SegEnds_NonXtal_Prot#'!A:AL,28,FALSE)</f>
        <v>46</v>
      </c>
      <c r="AJ123" s="1">
        <f>VLOOKUP(A123,'SegEnds_NonXtal_Prot#'!A:AL,34,FALSE)-VLOOKUP(A123,'SegEnds_NonXtal_Prot#'!A:AL,31,FALSE)</f>
        <v>44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259</v>
      </c>
      <c r="B124" s="1" t="str">
        <f>VLOOKUP(A124,Xtal_Templ!A:B,2,FALSE)</f>
        <v>5ht1b_human</v>
      </c>
      <c r="C124" s="5">
        <f>VLOOKUP($B124&amp;"__wt",'SegEnds_Xtal_BW#'!$A:$Z,3,FALSE)</f>
        <v>28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68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f>VLOOKUP($B124&amp;"__wt",'SegEnds_Xtal_BW#'!$A:$Z,14,FALSE)</f>
        <v>57</v>
      </c>
      <c r="O124" s="87">
        <v>38</v>
      </c>
      <c r="P124" s="1">
        <f>VLOOKUP($B124&amp;"__wt",'SegEnds_Xtal_BW#'!$A:$Z,16,FALSE)</f>
        <v>63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v>35</v>
      </c>
      <c r="T124" s="1">
        <f t="array" ref="T124">INDEX(ICL3_classA!$G$2:$G$39,MATCH(MIN(ABS(AI124-ICL3_classA!$F$2:$F$39)),ABS(AI124-ICL3_classA!$F$2:$F$39),0))</f>
        <v>76</v>
      </c>
      <c r="U124" s="1">
        <f t="array" ref="U124">INDEX(ICL3_classA!$H$2:$H$39,MATCH(MIN(ABS(AI124-ICL3_classA!$F$2:$F$39)),ABS(AI124-ICL3_classA!$F$2:$F$39),0))</f>
        <v>24</v>
      </c>
      <c r="V124" s="1">
        <v>61</v>
      </c>
      <c r="W124" s="131">
        <f>VLOOKUP($B124&amp;"__wt",'SegEnds_Xtal_BW#'!$A:$Z,23,FALSE)</f>
        <v>31</v>
      </c>
      <c r="X124" s="124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58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 t="e">
        <f>VLOOKUP(A124,'SegEnds_NonXtal_Prot#'!A:AL,22,FALSE)-VLOOKUP(A124,'SegEnds_NonXtal_Prot#'!A:AL,19,FALSE)</f>
        <v>#VALUE!</v>
      </c>
      <c r="AG124" s="1">
        <f>VLOOKUP(A124,'SegEnds_NonXtal_Prot#'!A:AL,28,FALSE)-VLOOKUP(A124,'SegEnds_NonXtal_Prot#'!A:AL,25,FALSE)</f>
        <v>25</v>
      </c>
      <c r="AH124" s="1">
        <f>VLOOKUP(A124,'SegEnds_NonXtal_Prot#'!A:AL,28,FALSE)-VLOOKUP(A124,'SegEnds_NonXtal_Prot#'!A:AL,22,FALSE)</f>
        <v>51</v>
      </c>
      <c r="AI124" s="1">
        <f>VLOOKUP(A124,'SegEnds_NonXtal_Prot#'!A:AL,31,FALSE)-VLOOKUP(A124,'SegEnds_NonXtal_Prot#'!A:AL,28,FALSE)</f>
        <v>75</v>
      </c>
      <c r="AJ124" s="1">
        <f>VLOOKUP(A124,'SegEnds_NonXtal_Prot#'!A:AL,34,FALSE)-VLOOKUP(A124,'SegEnds_NonXtal_Prot#'!A:AL,31,FALSE)</f>
        <v>39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265</v>
      </c>
      <c r="B125" s="1" t="str">
        <f>VLOOKUP(A125,Xtal_Templ!A:B,2,FALSE)</f>
        <v>drd2_human</v>
      </c>
      <c r="C125" s="5">
        <f>VLOOKUP($B125&amp;"__wt",'SegEnds_Xtal_BW#'!$A:$Z,3,FALSE)</f>
        <v>29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68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58</v>
      </c>
      <c r="O125" s="87">
        <v>38</v>
      </c>
      <c r="P125" s="1">
        <f>VLOOKUP($B125&amp;"__wt",'SegEnds_Xtal_BW#'!$A:$Z,16,FALSE)</f>
        <v>62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v>35</v>
      </c>
      <c r="T125" s="1">
        <f t="array" ref="T125">INDEX(ICL3_classA!$G$2:$G$39,MATCH(MIN(ABS(AI125-ICL3_classA!$F$2:$F$39)),ABS(AI125-ICL3_classA!$F$2:$F$39),0))</f>
        <v>76</v>
      </c>
      <c r="U125" s="1">
        <f t="array" ref="U125">INDEX(ICL3_classA!$H$2:$H$39,MATCH(MIN(ABS(AI125-ICL3_classA!$F$2:$F$39)),ABS(AI125-ICL3_classA!$F$2:$F$39),0))</f>
        <v>24</v>
      </c>
      <c r="V125" s="1">
        <v>61</v>
      </c>
      <c r="W125" s="131">
        <f>VLOOKUP($B125&amp;"__wt",'SegEnds_Xtal_BW#'!$A:$Z,23,FALSE)</f>
        <v>31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 t="e">
        <f>VLOOKUP(A125,'SegEnds_NonXtal_Prot#'!A:AL,22,FALSE)-VLOOKUP(A125,'SegEnds_NonXtal_Prot#'!A:AL,19,FALSE)</f>
        <v>#VALUE!</v>
      </c>
      <c r="AG125" s="1">
        <f>VLOOKUP(A125,'SegEnds_NonXtal_Prot#'!A:AL,28,FALSE)-VLOOKUP(A125,'SegEnds_NonXtal_Prot#'!A:AL,25,FALSE)</f>
        <v>25</v>
      </c>
      <c r="AH125" s="1">
        <f>VLOOKUP(A125,'SegEnds_NonXtal_Prot#'!A:AL,28,FALSE)-VLOOKUP(A125,'SegEnds_NonXtal_Prot#'!A:AL,22,FALSE)</f>
        <v>51</v>
      </c>
      <c r="AI125" s="1">
        <f>VLOOKUP(A125,'SegEnds_NonXtal_Prot#'!A:AL,31,FALSE)-VLOOKUP(A125,'SegEnds_NonXtal_Prot#'!A:AL,28,FALSE)</f>
        <v>75</v>
      </c>
      <c r="AJ125" s="1">
        <f>VLOOKUP(A125,'SegEnds_NonXtal_Prot#'!A:AL,34,FALSE)-VLOOKUP(A125,'SegEnds_NonXtal_Prot#'!A:AL,31,FALSE)</f>
        <v>39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279</v>
      </c>
      <c r="B126" s="1" t="str">
        <f>VLOOKUP(A126,Xtal_Templ!A:B,2,FALSE)</f>
        <v>adrb2_human</v>
      </c>
      <c r="C126" s="5">
        <f>VLOOKUP($B126&amp;"__wt",'SegEnds_Xtal_BW#'!$A:$Z,3,FALSE)</f>
        <v>25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7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v>35</v>
      </c>
      <c r="T126" s="1">
        <f t="array" ref="T126">INDEX(ICL3_classA!$G$2:$G$39,MATCH(MIN(ABS(AI126-ICL3_classA!$F$2:$F$39)),ABS(AI126-ICL3_classA!$F$2:$F$39),0))</f>
        <v>73</v>
      </c>
      <c r="U126" s="1">
        <f t="array" ref="U126">INDEX(ICL3_classA!$H$2:$H$39,MATCH(MIN(ABS(AI126-ICL3_classA!$F$2:$F$39)),ABS(AI126-ICL3_classA!$F$2:$F$39),0))</f>
        <v>22</v>
      </c>
      <c r="V126" s="1">
        <v>61</v>
      </c>
      <c r="W126" s="1">
        <v>31</v>
      </c>
      <c r="X126" s="108">
        <v>56</v>
      </c>
      <c r="Y126" s="1">
        <f>VLOOKUP($B126&amp;"__wt",'SegEnds_Xtal_BW#'!$A:$Z,25,FALSE)</f>
        <v>47</v>
      </c>
      <c r="Z126" s="1">
        <f>VLOOKUP($B126&amp;"__wt",'SegEnds_Xtal_BW#'!$A:$Z,26,FALSE)</f>
        <v>59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20</v>
      </c>
      <c r="AH126" s="1">
        <f>VLOOKUP(A126,'SegEnds_NonXtal_Prot#'!A:AL,28,FALSE)-VLOOKUP(A126,'SegEnds_NonXtal_Prot#'!A:AL,22,FALSE)</f>
        <v>51</v>
      </c>
      <c r="AI126" s="1">
        <f>VLOOKUP(A126,'SegEnds_NonXtal_Prot#'!A:AL,31,FALSE)-VLOOKUP(A126,'SegEnds_NonXtal_Prot#'!A:AL,28,FALSE)</f>
        <v>55</v>
      </c>
      <c r="AJ126" s="1">
        <f>VLOOKUP(A126,'SegEnds_NonXtal_Prot#'!A:AL,34,FALSE)-VLOOKUP(A126,'SegEnds_NonXtal_Prot#'!A:AL,31,FALSE)</f>
        <v>36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292</v>
      </c>
      <c r="B127" s="1" t="str">
        <f>VLOOKUP(A127,Xtal_Templ!A:B,2,FALSE)</f>
        <v>ccr7_human</v>
      </c>
      <c r="C127" s="5">
        <f>VLOOKUP($B127&amp;"__wt",'SegEnds_Xtal_BW#'!$A:$Z,3,FALSE)</f>
        <v>29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v>66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21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08">
        <v>29</v>
      </c>
      <c r="T127" s="1">
        <f t="array" ref="T127">INDEX(ICL3_classA!$G$2:$G$39,MATCH(MIN(ABS(AI127-ICL3_classA!$F$2:$F$39)),ABS(AI127-ICL3_classA!$F$2:$F$39),0))</f>
        <v>68</v>
      </c>
      <c r="U127" s="1">
        <f t="array" ref="U127">INDEX(ICL3_classA!$H$2:$H$39,MATCH(MIN(ABS(AI127-ICL3_classA!$F$2:$F$39)),ABS(AI127-ICL3_classA!$F$2:$F$39),0))</f>
        <v>30</v>
      </c>
      <c r="V127" s="1">
        <v>64</v>
      </c>
      <c r="W127" s="1">
        <v>24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19</v>
      </c>
      <c r="AE127" s="1">
        <f>VLOOKUP(A127,'SegEnds_NonXtal_Prot#'!A:AL,16,FALSE)-VLOOKUP(A127,'SegEnds_NonXtal_Prot#'!A:AL,10,FALSE)</f>
        <v>51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25</v>
      </c>
      <c r="AH127" s="1">
        <f>VLOOKUP(A127,'SegEnds_NonXtal_Prot#'!A:AL,28,FALSE)-VLOOKUP(A127,'SegEnds_NonXtal_Prot#'!A:AL,22,FALSE)</f>
        <v>51</v>
      </c>
      <c r="AI127" s="1">
        <f>VLOOKUP(A127,'SegEnds_NonXtal_Prot#'!A:AL,31,FALSE)-VLOOKUP(A127,'SegEnds_NonXtal_Prot#'!A:AL,28,FALSE)</f>
        <v>43</v>
      </c>
      <c r="AJ127" s="1">
        <f>VLOOKUP(A127,'SegEnds_NonXtal_Prot#'!A:AL,34,FALSE)-VLOOKUP(A127,'SegEnds_NonXtal_Prot#'!A:AL,31,FALSE)</f>
        <v>46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300</v>
      </c>
      <c r="B128" s="1" t="str">
        <f>VLOOKUP(A128,Xtal_Templ!A:B,2,FALSE)</f>
        <v>oprd_human</v>
      </c>
      <c r="C128" s="5">
        <f>VLOOKUP($B128&amp;"__wt",'SegEnds_Xtal_BW#'!$A:$Z,3,FALSE)</f>
        <v>22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INDEX(ICL3_classA!$G$2:$G$39,MATCH(MIN(ABS(AI128-ICL3_classA!$F$2:$F$39)),ABS(AI128-ICL3_classA!$F$2:$F$39),0))</f>
        <v>73</v>
      </c>
      <c r="U128" s="1">
        <f t="array" ref="U128">INDEX(ICL3_classA!$H$2:$H$39,MATCH(MIN(ABS(AI128-ICL3_classA!$F$2:$F$39)),ABS(AI128-ICL3_classA!$F$2:$F$39),0))</f>
        <v>22</v>
      </c>
      <c r="V128" s="1">
        <v>61</v>
      </c>
      <c r="W128" s="1">
        <v>31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60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27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25</v>
      </c>
      <c r="AH128" s="1">
        <f>VLOOKUP(A128,'SegEnds_NonXtal_Prot#'!A:AL,28,FALSE)-VLOOKUP(A128,'SegEnds_NonXtal_Prot#'!A:AL,22,FALSE)</f>
        <v>51</v>
      </c>
      <c r="AI128" s="1">
        <f>VLOOKUP(A128,'SegEnds_NonXtal_Prot#'!A:AL,31,FALSE)-VLOOKUP(A128,'SegEnds_NonXtal_Prot#'!A:AL,28,FALSE)</f>
        <v>57</v>
      </c>
      <c r="AJ128" s="1">
        <f>VLOOKUP(A128,'SegEnds_NonXtal_Prot#'!A:AL,34,FALSE)-VLOOKUP(A128,'SegEnds_NonXtal_Prot#'!A:AL,31,FALSE)</f>
        <v>37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316</v>
      </c>
      <c r="B129" s="1" t="str">
        <f>VLOOKUP(A129,Xtal_Templ!A:B,2,FALSE)</f>
        <v>nk1r_human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68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 t="str">
        <f>VLOOKUP($B129&amp;"__wt",'SegEnds_Xtal_BW#'!$A:$Z,13,FALSE)</f>
        <v>-</v>
      </c>
      <c r="N129" s="12">
        <v>56</v>
      </c>
      <c r="O129" s="87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30</v>
      </c>
      <c r="T129" s="1">
        <f t="array" ref="T129">INDEX(ICL3_classA!$G$2:$G$39,MATCH(MIN(ABS(AI129-ICL3_classA!$F$2:$F$39)),ABS(AI129-ICL3_classA!$F$2:$F$39),0))</f>
        <v>73</v>
      </c>
      <c r="U129" s="1">
        <f t="array" ref="U129">INDEX(ICL3_classA!$H$2:$H$39,MATCH(MIN(ABS(AI129-ICL3_classA!$F$2:$F$39)),ABS(AI129-ICL3_classA!$F$2:$F$39),0))</f>
        <v>22</v>
      </c>
      <c r="V129" s="1">
        <v>61</v>
      </c>
      <c r="W129" s="131">
        <f>VLOOKUP($B129&amp;"__wt",'SegEnds_Xtal_BW#'!$A:$Z,23,FALSE)</f>
        <v>30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58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>
        <f>VLOOKUP(A129,'SegEnds_NonXtal_Prot#'!A:AL,10,FALSE)-VLOOKUP(A129,'SegEnds_NonXtal_Prot#'!A:AL,7,FALSE)</f>
        <v>15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 t="e">
        <f>VLOOKUP(A129,'SegEnds_NonXtal_Prot#'!A:AL,22,FALSE)-VLOOKUP(A129,'SegEnds_NonXtal_Prot#'!A:AL,19,FALSE)</f>
        <v>#VALUE!</v>
      </c>
      <c r="AG129" s="1">
        <f>VLOOKUP(A129,'SegEnds_NonXtal_Prot#'!A:AL,28,FALSE)-VLOOKUP(A129,'SegEnds_NonXtal_Prot#'!A:AL,25,FALSE)</f>
        <v>26</v>
      </c>
      <c r="AH129" s="1">
        <f>VLOOKUP(A129,'SegEnds_NonXtal_Prot#'!A:AL,28,FALSE)-VLOOKUP(A129,'SegEnds_NonXtal_Prot#'!A:AL,22,FALSE)</f>
        <v>51</v>
      </c>
      <c r="AI129" s="1">
        <f>VLOOKUP(A129,'SegEnds_NonXtal_Prot#'!A:AL,31,FALSE)-VLOOKUP(A129,'SegEnds_NonXtal_Prot#'!A:AL,28,FALSE)</f>
        <v>55</v>
      </c>
      <c r="AJ129" s="1">
        <f>VLOOKUP(A129,'SegEnds_NonXtal_Prot#'!A:AL,34,FALSE)-VLOOKUP(A129,'SegEnds_NonXtal_Prot#'!A:AL,31,FALSE)</f>
        <v>39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324</v>
      </c>
      <c r="B130" s="1" t="str">
        <f>VLOOKUP(A130,Xtal_Templ!A:B,2,FALSE)</f>
        <v>5ht2c_human</v>
      </c>
      <c r="C130" s="5">
        <f>VLOOKUP($B130&amp;"__wt",'SegEnds_Xtal_BW#'!$A:$Z,3,FALSE)</f>
        <v>33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68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53</v>
      </c>
      <c r="O130" s="87">
        <v>38</v>
      </c>
      <c r="P130" s="1">
        <f>VLOOKUP($B130&amp;"__wt",'SegEnds_Xtal_BW#'!$A:$Z,16,FALSE)</f>
        <v>67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35</v>
      </c>
      <c r="T130" s="1">
        <f t="array" ref="T130">INDEX(ICL3_classA!$G$2:$G$39,MATCH(MIN(ABS(AI130-ICL3_classA!$F$2:$F$39)),ABS(AI130-ICL3_classA!$F$2:$F$39),0))</f>
        <v>76</v>
      </c>
      <c r="U130" s="1">
        <f t="array" ref="U130">INDEX(ICL3_classA!$H$2:$H$39,MATCH(MIN(ABS(AI130-ICL3_classA!$F$2:$F$39)),ABS(AI130-ICL3_classA!$F$2:$F$39),0))</f>
        <v>24</v>
      </c>
      <c r="V130" s="1">
        <v>61</v>
      </c>
      <c r="W130" s="131">
        <f>VLOOKUP($B130&amp;"__wt",'SegEnds_Xtal_BW#'!$A:$Z,23,FALSE)</f>
        <v>27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60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18</v>
      </c>
      <c r="AG130" s="1">
        <f>VLOOKUP(A130,'SegEnds_NonXtal_Prot#'!A:AL,28,FALSE)-VLOOKUP(A130,'SegEnds_NonXtal_Prot#'!A:AL,25,FALSE)</f>
        <v>25</v>
      </c>
      <c r="AH130" s="1">
        <f>VLOOKUP(A130,'SegEnds_NonXtal_Prot#'!A:AL,28,FALSE)-VLOOKUP(A130,'SegEnds_NonXtal_Prot#'!A:AL,22,FALSE)</f>
        <v>51</v>
      </c>
      <c r="AI130" s="1">
        <f>VLOOKUP(A130,'SegEnds_NonXtal_Prot#'!A:AL,31,FALSE)-VLOOKUP(A130,'SegEnds_NonXtal_Prot#'!A:AL,28,FALSE)</f>
        <v>67</v>
      </c>
      <c r="AJ130" s="1">
        <f>VLOOKUP(A130,'SegEnds_NonXtal_Prot#'!A:AL,34,FALSE)-VLOOKUP(A130,'SegEnds_NonXtal_Prot#'!A:AL,31,FALSE)</f>
        <v>38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331</v>
      </c>
      <c r="B131" s="1" t="str">
        <f>VLOOKUP(A131,Xtal_Templ!A:B,2,FALSE)</f>
        <v>ptafr_human</v>
      </c>
      <c r="C131" s="5">
        <f>VLOOKUP($B131&amp;"__wt",'SegEnds_Xtal_BW#'!$A:$Z,3,FALSE)</f>
        <v>27</v>
      </c>
      <c r="D131" s="108">
        <v>60</v>
      </c>
      <c r="E131" s="108">
        <v>48</v>
      </c>
      <c r="F131" s="108">
        <v>51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f>VLOOKUP($B131&amp;"__wt",'SegEnds_Xtal_BW#'!$A:$Z,15,FALSE)</f>
        <v>38</v>
      </c>
      <c r="P131" s="1">
        <f>VLOOKUP($B131&amp;"__wt",'SegEnds_Xtal_BW#'!$A:$Z,16,FALSE)</f>
        <v>63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33</v>
      </c>
      <c r="T131" s="1">
        <f t="array" ref="T131">INDEX(ICL3_classA!$G$2:$G$39,MATCH(MIN(ABS(AI131-ICL3_classA!$F$2:$F$39)),ABS(AI131-ICL3_classA!$F$2:$F$39),0))</f>
        <v>67</v>
      </c>
      <c r="U131" s="1">
        <f t="array" ref="U131">INDEX(ICL3_classA!$H$2:$H$39,MATCH(MIN(ABS(AI131-ICL3_classA!$F$2:$F$39)),ABS(AI131-ICL3_classA!$F$2:$F$39),0))</f>
        <v>26</v>
      </c>
      <c r="V131" s="1">
        <v>61</v>
      </c>
      <c r="W131" s="1">
        <v>28</v>
      </c>
      <c r="X131" s="1">
        <f>VLOOKUP($B131&amp;"__wt",'SegEnds_Xtal_BW#'!$A:$Z,24,FALSE)</f>
        <v>59</v>
      </c>
      <c r="Y131" s="1">
        <f>VLOOKUP($B131&amp;"__wt",'SegEnds_Xtal_BW#'!$A:$Z,25,FALSE)</f>
        <v>50</v>
      </c>
      <c r="Z131" s="1">
        <f>VLOOKUP($B131&amp;"__wt",'SegEnds_Xtal_BW#'!$A:$Z,26,FALSE)</f>
        <v>63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25</v>
      </c>
      <c r="AH131" s="1">
        <f>VLOOKUP(A131,'SegEnds_NonXtal_Prot#'!A:AL,28,FALSE)-VLOOKUP(A131,'SegEnds_NonXtal_Prot#'!A:AL,22,FALSE)</f>
        <v>51</v>
      </c>
      <c r="AI131" s="1">
        <f>VLOOKUP(A131,'SegEnds_NonXtal_Prot#'!A:AL,31,FALSE)-VLOOKUP(A131,'SegEnds_NonXtal_Prot#'!A:AL,28,FALSE)</f>
        <v>46</v>
      </c>
      <c r="AJ131" s="1">
        <f>VLOOKUP(A131,'SegEnds_NonXtal_Prot#'!A:AL,34,FALSE)-VLOOKUP(A131,'SegEnds_NonXtal_Prot#'!A:AL,31,FALSE)</f>
        <v>40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4" t="s">
        <v>344</v>
      </c>
      <c r="B132" s="4" t="str">
        <f>VLOOKUP(A132,Xtal_Templ!A:B,2,FALSE)</f>
        <v>ox1r_human</v>
      </c>
      <c r="C132" s="5">
        <f>VLOOKUP($B132&amp;"__wt",'SegEnds_Xtal_BW#'!$A:$Z,3,FALSE)</f>
        <v>32</v>
      </c>
      <c r="D132" s="4">
        <f>VLOOKUP($B132&amp;"__wt",'SegEnds_Xtal_BW#'!$A:$Z,4,FALSE)</f>
        <v>60</v>
      </c>
      <c r="E132" s="4">
        <f>VLOOKUP($B132&amp;"__wt",'SegEnds_Xtal_BW#'!$A:$Z,5,FALSE)</f>
        <v>48</v>
      </c>
      <c r="F132" s="4">
        <f>VLOOKUP($B132&amp;"__wt",'SegEnds_Xtal_BW#'!$A:$Z,6,FALSE)</f>
        <v>51</v>
      </c>
      <c r="G132" s="4">
        <v>37</v>
      </c>
      <c r="H132" s="11">
        <v>66</v>
      </c>
      <c r="I132" s="4">
        <f>VLOOKUP($B132&amp;"__wt",'SegEnds_Xtal_BW#'!$A:$Z,9,FALSE)</f>
        <v>49</v>
      </c>
      <c r="J132" s="4">
        <f>VLOOKUP($B132&amp;"__wt",'SegEnds_Xtal_BW#'!$A:$Z,10,FALSE)</f>
        <v>52</v>
      </c>
      <c r="K132" s="11">
        <v>18</v>
      </c>
      <c r="L132" s="4">
        <f>VLOOKUP($B132&amp;"__wt",'SegEnds_Xtal_BW#'!$A:$Z,12,FALSE)</f>
        <v>56</v>
      </c>
      <c r="M132" s="4">
        <f>VLOOKUP($B132&amp;"__wt",'SegEnds_Xtal_BW#'!$A:$Z,13,FALSE)</f>
        <v>50</v>
      </c>
      <c r="N132" s="11">
        <v>55</v>
      </c>
      <c r="O132" s="88">
        <v>38</v>
      </c>
      <c r="P132" s="4">
        <f>VLOOKUP($B132&amp;"__wt",'SegEnds_Xtal_BW#'!$A:$Z,16,FALSE)</f>
        <v>64</v>
      </c>
      <c r="Q132" s="4">
        <f>VLOOKUP($B132&amp;"__wt",'SegEnds_Xtal_BW#'!$A:$Z,17,FALSE)</f>
        <v>50</v>
      </c>
      <c r="R132" s="4">
        <f>VLOOKUP($B132&amp;"__wt",'SegEnds_Xtal_BW#'!$A:$Z,18,FALSE)</f>
        <v>52</v>
      </c>
      <c r="S132" s="4">
        <f>VLOOKUP($B132&amp;"__wt",'SegEnds_Xtal_BW#'!$A:$Z,19,FALSE)</f>
        <v>33</v>
      </c>
      <c r="T132" s="4">
        <f t="array" ref="T132">INDEX(ICL3_classA!$G$2:$G$39,MATCH(MIN(ABS(AI132-ICL3_classA!$F$2:$F$39)),ABS(AI132-ICL3_classA!$F$2:$F$39),0))</f>
        <v>76</v>
      </c>
      <c r="U132" s="4">
        <f t="array" ref="U132">INDEX(ICL3_classA!$H$2:$H$39,MATCH(MIN(ABS(AI132-ICL3_classA!$F$2:$F$39)),ABS(AI132-ICL3_classA!$F$2:$F$39),0))</f>
        <v>24</v>
      </c>
      <c r="V132" s="4">
        <v>61</v>
      </c>
      <c r="W132" s="4">
        <v>31</v>
      </c>
      <c r="X132" s="4">
        <f>VLOOKUP($B132&amp;"__wt",'SegEnds_Xtal_BW#'!$A:$Z,24,FALSE)</f>
        <v>56</v>
      </c>
      <c r="Y132" s="4">
        <f>VLOOKUP($B132&amp;"__wt",'SegEnds_Xtal_BW#'!$A:$Z,25,FALSE)</f>
        <v>47</v>
      </c>
      <c r="Z132" s="4">
        <f>VLOOKUP($B132&amp;"__wt",'SegEnds_Xtal_BW#'!$A:$Z,26,FALSE)</f>
        <v>63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4">
        <f>VLOOKUP(A132,'SegEnds_NonXtal_Prot#'!A:AL,10,FALSE)-VLOOKUP(A132,'SegEnds_NonXtal_Prot#'!A:AL,7,FALSE)</f>
        <v>15</v>
      </c>
      <c r="AD132" s="4">
        <f>VLOOKUP(A132,'SegEnds_NonXtal_Prot#'!A:AL,13,FALSE)-VLOOKUP(A132,'SegEnds_NonXtal_Prot#'!A:AL,10,FALSE)</f>
        <v>18</v>
      </c>
      <c r="AE132" s="4">
        <f>VLOOKUP(A132,'SegEnds_NonXtal_Prot#'!A:AL,16,FALSE)-VLOOKUP(A132,'SegEnds_NonXtal_Prot#'!A:AL,10,FALSE)</f>
        <v>52</v>
      </c>
      <c r="AF132" s="1" t="e">
        <f>VLOOKUP(A132,'SegEnds_NonXtal_Prot#'!A:AL,22,FALSE)-VLOOKUP(A132,'SegEnds_NonXtal_Prot#'!A:AL,19,FALSE)</f>
        <v>#VALUE!</v>
      </c>
      <c r="AG132" s="4">
        <f>VLOOKUP(A132,'SegEnds_NonXtal_Prot#'!A:AL,28,FALSE)-VLOOKUP(A132,'SegEnds_NonXtal_Prot#'!A:AL,25,FALSE)</f>
        <v>25</v>
      </c>
      <c r="AH132" s="1">
        <f>VLOOKUP(A132,'SegEnds_NonXtal_Prot#'!A:AL,28,FALSE)-VLOOKUP(A132,'SegEnds_NonXtal_Prot#'!A:AL,22,FALSE)</f>
        <v>51</v>
      </c>
      <c r="AI132" s="4">
        <f>VLOOKUP(A132,'SegEnds_NonXtal_Prot#'!A:AL,31,FALSE)-VLOOKUP(A132,'SegEnds_NonXtal_Prot#'!A:AL,28,FALSE)</f>
        <v>78</v>
      </c>
      <c r="AJ132" s="4">
        <f>VLOOKUP(A132,'SegEnds_NonXtal_Prot#'!A:AL,34,FALSE)-VLOOKUP(A132,'SegEnds_NonXtal_Prot#'!A:AL,31,FALSE)</f>
        <v>36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364</v>
      </c>
      <c r="B133" s="1" t="str">
        <f>VLOOKUP(A133,Xtal_Templ!A:B,2,FALSE)</f>
        <v>pe2r4_human</v>
      </c>
      <c r="C133" s="5">
        <f>VLOOKUP($B133&amp;"__wt",'SegEnds_Xtal_BW#'!$A:$Z,3,FALSE)</f>
        <v>33</v>
      </c>
      <c r="D133" s="1">
        <f>VLOOKUP($B133&amp;"__wt",'SegEnds_Xtal_BW#'!$A:$Z,4,FALSE)</f>
        <v>58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v>38</v>
      </c>
      <c r="P133" s="1">
        <f>VLOOKUP($B133&amp;"__wt",'SegEnds_Xtal_BW#'!$A:$Z,16,FALSE)</f>
        <v>63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33</v>
      </c>
      <c r="T133" s="1">
        <f t="array" ref="T133">INDEX(ICL3_classA!$G$2:$G$39,MATCH(MIN(ABS(AI133-ICL3_classA!$F$2:$F$39)),ABS(AI133-ICL3_classA!$F$2:$F$39),0))</f>
        <v>76</v>
      </c>
      <c r="U133" s="1">
        <f t="array" ref="U133">INDEX(ICL3_classA!$H$2:$H$39,MATCH(MIN(ABS(AI133-ICL3_classA!$F$2:$F$39)),ABS(AI133-ICL3_classA!$F$2:$F$39),0))</f>
        <v>24</v>
      </c>
      <c r="V133" s="1">
        <v>61</v>
      </c>
      <c r="W133" s="131">
        <f>VLOOKUP($B133&amp;"__wt",'SegEnds_Xtal_BW#'!$A:$Z,23,FALSE)</f>
        <v>33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30</v>
      </c>
      <c r="AC133" s="1" t="e">
        <f>VLOOKUP(A133,'SegEnds_NonXtal_Prot#'!A:AL,10,FALSE)-VLOOKUP(A133,'SegEnds_NonXtal_Prot#'!A:AL,7,FALSE)</f>
        <v>#VALUE!</v>
      </c>
      <c r="AD133" s="1">
        <f>VLOOKUP(A133,'SegEnds_NonXtal_Prot#'!A:AL,13,FALSE)-VLOOKUP(A133,'SegEnds_NonXtal_Prot#'!A:AL,10,FALSE)</f>
        <v>20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25</v>
      </c>
      <c r="AH133" s="1">
        <f>VLOOKUP(A133,'SegEnds_NonXtal_Prot#'!A:AL,28,FALSE)-VLOOKUP(A133,'SegEnds_NonXtal_Prot#'!A:AL,22,FALSE)</f>
        <v>51</v>
      </c>
      <c r="AI133" s="1">
        <f>VLOOKUP(A133,'SegEnds_NonXtal_Prot#'!A:AL,31,FALSE)-VLOOKUP(A133,'SegEnds_NonXtal_Prot#'!A:AL,28,FALSE)</f>
        <v>92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Xtal</v>
      </c>
    </row>
    <row r="134" spans="1:38" x14ac:dyDescent="0.2">
      <c r="A134" s="1" t="s">
        <v>1451</v>
      </c>
      <c r="B134" s="1" t="s">
        <v>1451</v>
      </c>
      <c r="C134" s="5">
        <f>VLOOKUP($B134&amp;"__wt",'SegEnds_Xtal_BW#'!$A:$Z,3,FALSE)</f>
        <v>29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f>VLOOKUP($B134&amp;"__wt",'SegEnds_Xtal_BW#'!$A:$Z,11,FALSE)</f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INDEX(ICL3_classA!$G$2:$G$39,MATCH(MIN(ABS(AI134-ICL3_classA!$F$2:$F$39)),ABS(AI134-ICL3_classA!$F$2:$F$39),0))</f>
        <v>68</v>
      </c>
      <c r="U134" s="1">
        <f t="array" ref="U134">INDEX(ICL3_classA!$H$2:$H$39,MATCH(MIN(ABS(AI134-ICL3_classA!$F$2:$F$39)),ABS(AI134-ICL3_classA!$F$2:$F$39),0))</f>
        <v>30</v>
      </c>
      <c r="V134" s="1">
        <v>64</v>
      </c>
      <c r="W134" s="1">
        <v>24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61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25</v>
      </c>
      <c r="AH134" s="1">
        <f>VLOOKUP(A134,'SegEnds_NonXtal_Prot#'!A:AL,28,FALSE)-VLOOKUP(A134,'SegEnds_NonXtal_Prot#'!A:AL,22,FALSE)</f>
        <v>51</v>
      </c>
      <c r="AI134" s="1">
        <f>VLOOKUP(A134,'SegEnds_NonXtal_Prot#'!A:AL,31,FALSE)-VLOOKUP(A134,'SegEnds_NonXtal_Prot#'!A:AL,28,FALSE)</f>
        <v>43</v>
      </c>
      <c r="AJ134" s="1">
        <f>VLOOKUP(A134,'SegEnds_NonXtal_Prot#'!A:AL,34,FALSE)-VLOOKUP(A134,'SegEnds_NonXtal_Prot#'!A:AL,31,FALSE)</f>
        <v>43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Xtal</v>
      </c>
    </row>
    <row r="135" spans="1:38" x14ac:dyDescent="0.2">
      <c r="A135" s="1" t="s">
        <v>161</v>
      </c>
      <c r="B135" s="1" t="str">
        <f>VLOOKUP(A135,Xtal_Templ!A:B,2,FALSE)</f>
        <v>agtr1_human</v>
      </c>
      <c r="C135" s="5">
        <f>VLOOKUP($B135&amp;"__wt",'SegEnds_Xtal_BW#'!$A:$Z,3,FALSE)</f>
        <v>28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34</v>
      </c>
      <c r="T135" s="1">
        <f t="array" ref="T135">INDEX(ICL3_classA!$G$2:$G$39,MATCH(MIN(ABS(AI135-ICL3_classA!$F$2:$F$39)),ABS(AI135-ICL3_classA!$F$2:$F$39),0))</f>
        <v>68</v>
      </c>
      <c r="U135" s="1">
        <f t="array" ref="U135">INDEX(ICL3_classA!$H$2:$H$39,MATCH(MIN(ABS(AI135-ICL3_classA!$F$2:$F$39)),ABS(AI135-ICL3_classA!$F$2:$F$39),0))</f>
        <v>23</v>
      </c>
      <c r="V135" s="1">
        <v>64</v>
      </c>
      <c r="W135" s="1">
        <v>24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61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25</v>
      </c>
      <c r="AH135" s="1">
        <f>VLOOKUP(A135,'SegEnds_NonXtal_Prot#'!A:AL,28,FALSE)-VLOOKUP(A135,'SegEnds_NonXtal_Prot#'!A:AL,22,FALSE)</f>
        <v>52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44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172</v>
      </c>
      <c r="B136" s="1" t="str">
        <f>VLOOKUP(A136,Xtal_Templ!A:B,2,FALSE)</f>
        <v>ccr5_human</v>
      </c>
      <c r="C136" s="5">
        <f>VLOOKUP($B136&amp;"__wt",'SegEnds_Xtal_BW#'!$A:$Z,3,FALSE)</f>
        <v>24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24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f>VLOOKUP($B136&amp;"__wt",'SegEnds_Xtal_BW#'!$A:$Z,14,FALSE)</f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30</v>
      </c>
      <c r="T136" s="1">
        <f t="array" ref="T136">INDEX(ICL3_classA!$G$2:$G$39,MATCH(MIN(ABS(AI136-ICL3_classA!$F$2:$F$39)),ABS(AI136-ICL3_classA!$F$2:$F$39),0))</f>
        <v>68</v>
      </c>
      <c r="U136" s="1">
        <f t="array" ref="U136">INDEX(ICL3_classA!$H$2:$H$39,MATCH(MIN(ABS(AI136-ICL3_classA!$F$2:$F$39)),ABS(AI136-ICL3_classA!$F$2:$F$39),0))</f>
        <v>30</v>
      </c>
      <c r="V136" s="1">
        <v>65</v>
      </c>
      <c r="W136" s="1">
        <v>24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18</v>
      </c>
      <c r="AE136" s="1">
        <f>VLOOKUP(A136,'SegEnds_NonXtal_Prot#'!A:AL,16,FALSE)-VLOOKUP(A136,'SegEnds_NonXtal_Prot#'!A:AL,10,FALSE)</f>
        <v>50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27</v>
      </c>
      <c r="AH136" s="1">
        <f>VLOOKUP(A136,'SegEnds_NonXtal_Prot#'!A:AL,28,FALSE)-VLOOKUP(A136,'SegEnds_NonXtal_Prot#'!A:AL,22,FALSE)</f>
        <v>52</v>
      </c>
      <c r="AI136" s="1">
        <f>VLOOKUP(A136,'SegEnds_NonXtal_Prot#'!A:AL,31,FALSE)-VLOOKUP(A136,'SegEnds_NonXtal_Prot#'!A:AL,28,FALSE)</f>
        <v>43</v>
      </c>
      <c r="AJ136" s="1">
        <f>VLOOKUP(A136,'SegEnds_NonXtal_Prot#'!A:AL,34,FALSE)-VLOOKUP(A136,'SegEnds_NonXtal_Prot#'!A:AL,31,FALSE)</f>
        <v>44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2" t="s">
        <v>175</v>
      </c>
      <c r="B137" s="12" t="str">
        <f>VLOOKUP(A137,Xtal_Templ!A:B,2,FALSE)</f>
        <v>ccr7_human</v>
      </c>
      <c r="C137" s="13">
        <f>VLOOKUP($B137&amp;"__wt",'SegEnds_Xtal_BW#'!$A:$Z,3,FALSE)</f>
        <v>29</v>
      </c>
      <c r="D137" s="12">
        <f>VLOOKUP($B137&amp;"__wt",'SegEnds_Xtal_BW#'!$A:$Z,4,FALSE)</f>
        <v>60</v>
      </c>
      <c r="E137" s="12">
        <f>VLOOKUP($B137&amp;"__wt",'SegEnds_Xtal_BW#'!$A:$Z,5,FALSE)</f>
        <v>48</v>
      </c>
      <c r="F137" s="12">
        <f>VLOOKUP($B137&amp;"__wt",'SegEnds_Xtal_BW#'!$A:$Z,6,FALSE)</f>
        <v>51</v>
      </c>
      <c r="G137" s="12">
        <v>37</v>
      </c>
      <c r="H137" s="12">
        <v>66</v>
      </c>
      <c r="I137" s="12">
        <f>VLOOKUP($B137&amp;"__wt",'SegEnds_Xtal_BW#'!$A:$Z,9,FALSE)</f>
        <v>49</v>
      </c>
      <c r="J137" s="12">
        <f>VLOOKUP($B137&amp;"__wt",'SegEnds_Xtal_BW#'!$A:$Z,10,FALSE)</f>
        <v>52</v>
      </c>
      <c r="K137" s="12">
        <v>24</v>
      </c>
      <c r="L137" s="12">
        <f>VLOOKUP($B137&amp;"__wt",'SegEnds_Xtal_BW#'!$A:$Z,12,FALSE)</f>
        <v>56</v>
      </c>
      <c r="M137" s="12">
        <f>VLOOKUP($B137&amp;"__wt",'SegEnds_Xtal_BW#'!$A:$Z,13,FALSE)</f>
        <v>50</v>
      </c>
      <c r="N137" s="12">
        <v>58</v>
      </c>
      <c r="O137" s="87">
        <v>38</v>
      </c>
      <c r="P137" s="12">
        <f>VLOOKUP($B137&amp;"__wt",'SegEnds_Xtal_BW#'!$A:$Z,16,FALSE)</f>
        <v>64</v>
      </c>
      <c r="Q137" s="12">
        <f>VLOOKUP($B137&amp;"__wt",'SegEnds_Xtal_BW#'!$A:$Z,17,FALSE)</f>
        <v>50</v>
      </c>
      <c r="R137" s="12">
        <f>VLOOKUP($B137&amp;"__wt",'SegEnds_Xtal_BW#'!$A:$Z,18,FALSE)</f>
        <v>52</v>
      </c>
      <c r="S137" s="12">
        <f>VLOOKUP($B137&amp;"__wt",'SegEnds_Xtal_BW#'!$A:$Z,19,FALSE)</f>
        <v>33</v>
      </c>
      <c r="T137" s="12">
        <f t="array" ref="T137">INDEX(ICL3_classA!$G$2:$G$39,MATCH(MIN(ABS(AI137-ICL3_classA!$F$2:$F$39)),ABS(AI137-ICL3_classA!$F$2:$F$39),0))</f>
        <v>68</v>
      </c>
      <c r="U137" s="12">
        <f t="array" ref="U137">INDEX(ICL3_classA!$H$2:$H$39,MATCH(MIN(ABS(AI137-ICL3_classA!$F$2:$F$39)),ABS(AI137-ICL3_classA!$F$2:$F$39),0))</f>
        <v>30</v>
      </c>
      <c r="V137" s="12">
        <v>65</v>
      </c>
      <c r="W137" s="12">
        <v>24</v>
      </c>
      <c r="X137" s="12">
        <f>VLOOKUP($B137&amp;"__wt",'SegEnds_Xtal_BW#'!$A:$Z,24,FALSE)</f>
        <v>56</v>
      </c>
      <c r="Y137" s="12">
        <f>VLOOKUP($B137&amp;"__wt",'SegEnds_Xtal_BW#'!$A:$Z,25,FALSE)</f>
        <v>47</v>
      </c>
      <c r="Z137" s="12">
        <f>VLOOKUP($B137&amp;"__wt",'SegEnds_Xtal_BW#'!$A:$Z,26,FALSE)</f>
        <v>59</v>
      </c>
      <c r="AA137" s="36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2">
        <f>VLOOKUP(A137,'SegEnds_NonXtal_Prot#'!A:AL,10,FALSE)-VLOOKUP(A137,'SegEnds_NonXtal_Prot#'!A:AL,7,FALSE)</f>
        <v>15</v>
      </c>
      <c r="AD137" s="12">
        <f>VLOOKUP(A137,'SegEnds_NonXtal_Prot#'!A:AL,13,FALSE)-VLOOKUP(A137,'SegEnds_NonXtal_Prot#'!A:AL,10,FALSE)</f>
        <v>18</v>
      </c>
      <c r="AE137" s="12">
        <f>VLOOKUP(A137,'SegEnds_NonXtal_Prot#'!A:AL,16,FALSE)-VLOOKUP(A137,'SegEnds_NonXtal_Prot#'!A:AL,10,FALSE)</f>
        <v>50</v>
      </c>
      <c r="AF137" s="1">
        <f>VLOOKUP(A137,'SegEnds_NonXtal_Prot#'!A:AL,22,FALSE)-VLOOKUP(A137,'SegEnds_NonXtal_Prot#'!A:AL,19,FALSE)</f>
        <v>22</v>
      </c>
      <c r="AG137" s="12">
        <f>VLOOKUP(A137,'SegEnds_NonXtal_Prot#'!A:AL,28,FALSE)-VLOOKUP(A137,'SegEnds_NonXtal_Prot#'!A:AL,25,FALSE)</f>
        <v>25</v>
      </c>
      <c r="AH137" s="1">
        <f>VLOOKUP(A137,'SegEnds_NonXtal_Prot#'!A:AL,28,FALSE)-VLOOKUP(A137,'SegEnds_NonXtal_Prot#'!A:AL,22,FALSE)</f>
        <v>52</v>
      </c>
      <c r="AI137" s="12">
        <f>VLOOKUP(A137,'SegEnds_NonXtal_Prot#'!A:AL,31,FALSE)-VLOOKUP(A137,'SegEnds_NonXtal_Prot#'!A:AL,28,FALSE)</f>
        <v>43</v>
      </c>
      <c r="AJ137" s="12">
        <f>VLOOKUP(A137,'SegEnds_NonXtal_Prot#'!A:AL,34,FALSE)-VLOOKUP(A137,'SegEnds_NonXtal_Prot#'!A:AL,31,FALSE)</f>
        <v>45</v>
      </c>
      <c r="AK137" s="1">
        <f>VLOOKUP(A137,'SegEnds_NonXtal_Prot#'!A:AL,37,FALSE)-VLOOKUP(A137,'SegEnds_NonXtal_Prot#'!A:AL,34,FALSE)</f>
        <v>10</v>
      </c>
      <c r="AL137" s="12" t="str">
        <f>IF(ISERROR(MATCH(A137,'SegEnds_Xtal_Prot#'!B:B, 0)), "NoXtal", "Xtal")</f>
        <v>Xtal</v>
      </c>
    </row>
    <row r="138" spans="1:38" x14ac:dyDescent="0.2">
      <c r="A138" s="1" t="s">
        <v>176</v>
      </c>
      <c r="B138" s="1" t="str">
        <f>VLOOKUP(A138,Xtal_Templ!A:B,2,FALSE)</f>
        <v>ccr5_human</v>
      </c>
      <c r="C138" s="5">
        <f>VLOOKUP($B138&amp;"__wt",'SegEnds_Xtal_BW#'!$A:$Z,3,FALSE)</f>
        <v>24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24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30</v>
      </c>
      <c r="T138" s="1">
        <f t="array" ref="T138">INDEX(ICL3_classA!$G$2:$G$39,MATCH(MIN(ABS(AI138-ICL3_classA!$F$2:$F$39)),ABS(AI138-ICL3_classA!$F$2:$F$39),0))</f>
        <v>68</v>
      </c>
      <c r="U138" s="1">
        <f t="array" ref="U138">INDEX(ICL3_classA!$H$2:$H$39,MATCH(MIN(ABS(AI138-ICL3_classA!$F$2:$F$39)),ABS(AI138-ICL3_classA!$F$2:$F$39),0))</f>
        <v>30</v>
      </c>
      <c r="V138" s="1">
        <v>65</v>
      </c>
      <c r="W138" s="1">
        <v>24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18</v>
      </c>
      <c r="AE138" s="1">
        <f>VLOOKUP(A138,'SegEnds_NonXtal_Prot#'!A:AL,16,FALSE)-VLOOKUP(A138,'SegEnds_NonXtal_Prot#'!A:AL,10,FALSE)</f>
        <v>50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43</v>
      </c>
      <c r="AJ138" s="1">
        <f>VLOOKUP(A138,'SegEnds_NonXtal_Prot#'!A:AL,34,FALSE)-VLOOKUP(A138,'SegEnds_NonXtal_Prot#'!A:AL,31,FALSE)</f>
        <v>44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205</v>
      </c>
      <c r="B139" s="1" t="str">
        <f>VLOOKUP(A139,Xtal_Templ!A:B,2,FALSE)</f>
        <v>oprk_human</v>
      </c>
      <c r="C139" s="5">
        <f>VLOOKUP($B139&amp;"__wt",'SegEnds_Xtal_BW#'!$A:$Z,3,FALSE)</f>
        <v>30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f>VLOOKUP($B139&amp;"__wt",'SegEnds_Xtal_BW#'!$A:$Z,8,FALSE)</f>
        <v>67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7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30</v>
      </c>
      <c r="T139" s="1">
        <f t="array" ref="T139">INDEX(ICL3_classA!$G$2:$G$39,MATCH(MIN(ABS(AI139-ICL3_classA!$F$2:$F$39)),ABS(AI139-ICL3_classA!$F$2:$F$39),0))</f>
        <v>72</v>
      </c>
      <c r="U139" s="1">
        <f t="array" ref="U139">INDEX(ICL3_classA!$H$2:$H$39,MATCH(MIN(ABS(AI139-ICL3_classA!$F$2:$F$39)),ABS(AI139-ICL3_classA!$F$2:$F$39),0))</f>
        <v>29</v>
      </c>
      <c r="V139" s="1">
        <v>61</v>
      </c>
      <c r="W139" s="131">
        <f>VLOOKUP($B139&amp;"__wt",'SegEnds_Xtal_BW#'!$A:$Z,23,FALSE)</f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30</v>
      </c>
      <c r="AC139" s="1" t="e">
        <f>VLOOKUP(A139,'SegEnds_NonXtal_Prot#'!A:AL,10,FALSE)-VLOOKUP(A139,'SegEnds_NonXtal_Prot#'!A:AL,7,FALSE)</f>
        <v>#VALUE!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25</v>
      </c>
      <c r="AH139" s="1">
        <f>VLOOKUP(A139,'SegEnds_NonXtal_Prot#'!A:AL,28,FALSE)-VLOOKUP(A139,'SegEnds_NonXtal_Prot#'!A:AL,22,FALSE)</f>
        <v>52</v>
      </c>
      <c r="AI139" s="1">
        <f>VLOOKUP(A139,'SegEnds_NonXtal_Prot#'!A:AL,31,FALSE)-VLOOKUP(A139,'SegEnds_NonXtal_Prot#'!A:AL,28,FALSE)</f>
        <v>50</v>
      </c>
      <c r="AJ139" s="1">
        <f>VLOOKUP(A139,'SegEnds_NonXtal_Prot#'!A:AL,34,FALSE)-VLOOKUP(A139,'SegEnds_NonXtal_Prot#'!A:AL,31,FALSE)</f>
        <v>38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223</v>
      </c>
      <c r="B140" s="1" t="str">
        <f>VLOOKUP(A140,Xtal_Templ!A:B,2,FALSE)</f>
        <v>agtr2_human</v>
      </c>
      <c r="C140" s="5">
        <f>VLOOKUP($B140&amp;"__wt",'SegEnds_Xtal_BW#'!$A:$Z,3,FALSE)</f>
        <v>33</v>
      </c>
      <c r="D140" s="1">
        <f>VLOOKUP($B140&amp;"__wt",'SegEnds_Xtal_BW#'!$A:$Z,4,FALSE)</f>
        <v>60</v>
      </c>
      <c r="E140" s="1" t="str">
        <f>VLOOKUP($B140&amp;"__wt",'SegEnds_Xtal_BW#'!$A:$Z,5,FALSE)</f>
        <v>-</v>
      </c>
      <c r="F140" s="1" t="str">
        <f>VLOOKUP($B140&amp;"__wt",'SegEnds_Xtal_BW#'!$A:$Z,6,FALSE)</f>
        <v>-</v>
      </c>
      <c r="G140" s="1">
        <v>37</v>
      </c>
      <c r="H140" s="12">
        <f>VLOOKUP($B140&amp;"__wt",'SegEnds_Xtal_BW#'!$A:$Z,8,FALSE)</f>
        <v>66</v>
      </c>
      <c r="I140" s="1">
        <f>VLOOKUP($B140&amp;"__wt",'SegEnds_Xtal_BW#'!$A:$Z,9,FALSE)</f>
        <v>47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56</v>
      </c>
      <c r="O140" s="87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30</v>
      </c>
      <c r="T140" s="1">
        <f t="array" ref="T140">INDEX(ICL3_classA!$G$2:$G$39,MATCH(MIN(ABS(AI140-ICL3_classA!$F$2:$F$39)),ABS(AI140-ICL3_classA!$F$2:$F$39),0))</f>
        <v>68</v>
      </c>
      <c r="U140" s="1">
        <f t="array" ref="U140">INDEX(ICL3_classA!$H$2:$H$39,MATCH(MIN(ABS(AI140-ICL3_classA!$F$2:$F$39)),ABS(AI140-ICL3_classA!$F$2:$F$39),0))</f>
        <v>23</v>
      </c>
      <c r="V140" s="1">
        <v>61</v>
      </c>
      <c r="W140" s="108">
        <v>25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61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30</v>
      </c>
      <c r="AC140" s="1" t="e">
        <f>VLOOKUP(A140,'SegEnds_NonXtal_Prot#'!A:AL,10,FALSE)-VLOOKUP(A140,'SegEnds_NonXtal_Prot#'!A:AL,7,FALSE)</f>
        <v>#VALUE!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19</v>
      </c>
      <c r="AG140" s="1">
        <f>VLOOKUP(A140,'SegEnds_NonXtal_Prot#'!A:AL,28,FALSE)-VLOOKUP(A140,'SegEnds_NonXtal_Prot#'!A:AL,25,FALSE)</f>
        <v>27</v>
      </c>
      <c r="AH140" s="1">
        <f>VLOOKUP(A140,'SegEnds_NonXtal_Prot#'!A:AL,28,FALSE)-VLOOKUP(A140,'SegEnds_NonXtal_Prot#'!A:AL,22,FALSE)</f>
        <v>52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229</v>
      </c>
      <c r="B141" s="1" t="str">
        <f>VLOOKUP(A141,Xtal_Templ!A:B,2,FALSE)</f>
        <v>p2y12_human</v>
      </c>
      <c r="C141" s="5">
        <f>VLOOKUP($B141&amp;"__wt",'SegEnds_Xtal_BW#'!$A:$Z,3,FALSE)</f>
        <v>28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 t="str">
        <f>VLOOKUP($B141&amp;"__wt",'SegEnds_Xtal_BW#'!$A:$Z,9,FALSE)</f>
        <v>-</v>
      </c>
      <c r="J141" s="1" t="str">
        <f>VLOOKUP($B141&amp;"__wt",'SegEnds_Xtal_BW#'!$A:$Z,10,FALSE)</f>
        <v>-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INDEX(ICL3_classA!$G$2:$G$39,MATCH(MIN(ABS(AI141-ICL3_classA!$F$2:$F$39)),ABS(AI141-ICL3_classA!$F$2:$F$39),0))</f>
        <v>67</v>
      </c>
      <c r="U141" s="1">
        <f t="array" ref="U141">INDEX(ICL3_classA!$H$2:$H$39,MATCH(MIN(ABS(AI141-ICL3_classA!$F$2:$F$39)),ABS(AI141-ICL3_classA!$F$2:$F$39),0))</f>
        <v>26</v>
      </c>
      <c r="V141" s="1">
        <v>64</v>
      </c>
      <c r="W141" s="1">
        <v>24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57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 t="e">
        <f>VLOOKUP(A141,'SegEnds_NonXtal_Prot#'!A:AL,10,FALSE)-VLOOKUP(A141,'SegEnds_NonXtal_Prot#'!A:AL,7,FALSE)</f>
        <v>#VALUE!</v>
      </c>
      <c r="AD141" s="1" t="e">
        <f>VLOOKUP(A141,'SegEnds_NonXtal_Prot#'!A:AL,13,FALSE)-VLOOKUP(A141,'SegEnds_NonXtal_Prot#'!A:AL,10,FALSE)</f>
        <v>#VALUE!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26</v>
      </c>
      <c r="AH141" s="1">
        <f>VLOOKUP(A141,'SegEnds_NonXtal_Prot#'!A:AL,28,FALSE)-VLOOKUP(A141,'SegEnds_NonXtal_Prot#'!A:AL,22,FALSE)</f>
        <v>52</v>
      </c>
      <c r="AI141" s="1">
        <f>VLOOKUP(A141,'SegEnds_NonXtal_Prot#'!A:AL,31,FALSE)-VLOOKUP(A141,'SegEnds_NonXtal_Prot#'!A:AL,28,FALSE)</f>
        <v>47</v>
      </c>
      <c r="AJ141" s="1">
        <f>VLOOKUP(A141,'SegEnds_NonXtal_Prot#'!A:AL,34,FALSE)-VLOOKUP(A141,'SegEnds_NonXtal_Prot#'!A:AL,31,FALSE)</f>
        <v>44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233</v>
      </c>
      <c r="B142" s="1" t="str">
        <f>VLOOKUP(A142,Xtal_Templ!A:B,2,FALSE)</f>
        <v>apj_human</v>
      </c>
      <c r="C142" s="5">
        <f>VLOOKUP($B142&amp;"__wt",'SegEnds_Xtal_BW#'!$A:$Z,3,FALSE)</f>
        <v>33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52</v>
      </c>
      <c r="G142" s="1">
        <v>37</v>
      </c>
      <c r="H142" s="12">
        <f>VLOOKUP($B142&amp;"__wt",'SegEnds_Xtal_BW#'!$A:$Z,8,FALSE)</f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30</v>
      </c>
      <c r="T142" s="1">
        <f t="array" ref="T142">INDEX(ICL3_classA!$G$2:$G$39,MATCH(MIN(ABS(AI142-ICL3_classA!$F$2:$F$39)),ABS(AI142-ICL3_classA!$F$2:$F$39),0))</f>
        <v>68</v>
      </c>
      <c r="U142" s="1">
        <f t="array" ref="U142">INDEX(ICL3_classA!$H$2:$H$39,MATCH(MIN(ABS(AI142-ICL3_classA!$F$2:$F$39)),ABS(AI142-ICL3_classA!$F$2:$F$39),0))</f>
        <v>30</v>
      </c>
      <c r="V142" s="1">
        <v>64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61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28</v>
      </c>
      <c r="AH142" s="1">
        <f>VLOOKUP(A142,'SegEnds_NonXtal_Prot#'!A:AL,28,FALSE)-VLOOKUP(A142,'SegEnds_NonXtal_Prot#'!A:AL,22,FALSE)</f>
        <v>52</v>
      </c>
      <c r="AI142" s="1">
        <f>VLOOKUP(A142,'SegEnds_NonXtal_Prot#'!A:AL,31,FALSE)-VLOOKUP(A142,'SegEnds_NonXtal_Prot#'!A:AL,28,FALSE)</f>
        <v>43</v>
      </c>
      <c r="AJ142" s="1">
        <f>VLOOKUP(A142,'SegEnds_NonXtal_Prot#'!A:AL,34,FALSE)-VLOOKUP(A142,'SegEnds_NonXtal_Prot#'!A:AL,31,FALSE)</f>
        <v>44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234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INDEX(ICL3_classA!$G$2:$G$39,MATCH(MIN(ABS(AI143-ICL3_classA!$F$2:$F$39)),ABS(AI143-ICL3_classA!$F$2:$F$39),0))</f>
        <v>68</v>
      </c>
      <c r="U143" s="1">
        <f t="array" ref="U143">INDEX(ICL3_classA!$H$2:$H$39,MATCH(MIN(ABS(AI143-ICL3_classA!$F$2:$F$39)),ABS(AI143-ICL3_classA!$F$2:$F$39),0))</f>
        <v>23</v>
      </c>
      <c r="V143" s="1">
        <v>64</v>
      </c>
      <c r="W143" s="1">
        <v>24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46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272</v>
      </c>
      <c r="B144" s="1" t="str">
        <f>VLOOKUP(A144,Xtal_Templ!A:B,2,FALSE)</f>
        <v>p2y12_human</v>
      </c>
      <c r="C144" s="5">
        <f>VLOOKUP($B144&amp;"__wt",'SegEnds_Xtal_BW#'!$A:$Z,3,FALSE)</f>
        <v>28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 t="str">
        <f>VLOOKUP($B144&amp;"__wt",'SegEnds_Xtal_BW#'!$A:$Z,9,FALSE)</f>
        <v>-</v>
      </c>
      <c r="J144" s="1" t="str">
        <f>VLOOKUP($B144&amp;"__wt",'SegEnds_Xtal_BW#'!$A:$Z,10,FALSE)</f>
        <v>-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INDEX(ICL3_classA!$G$2:$G$39,MATCH(MIN(ABS(AI144-ICL3_classA!$F$2:$F$39)),ABS(AI144-ICL3_classA!$F$2:$F$39),0))</f>
        <v>68</v>
      </c>
      <c r="U144" s="1">
        <f t="array" ref="U144">INDEX(ICL3_classA!$H$2:$H$39,MATCH(MIN(ABS(AI144-ICL3_classA!$F$2:$F$39)),ABS(AI144-ICL3_classA!$F$2:$F$39),0))</f>
        <v>24</v>
      </c>
      <c r="V144" s="1">
        <v>64</v>
      </c>
      <c r="W144" s="1">
        <v>24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57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27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26</v>
      </c>
      <c r="AH144" s="1">
        <f>VLOOKUP(A144,'SegEnds_NonXtal_Prot#'!A:AL,28,FALSE)-VLOOKUP(A144,'SegEnds_NonXtal_Prot#'!A:AL,22,FALSE)</f>
        <v>52</v>
      </c>
      <c r="AI144" s="1">
        <f>VLOOKUP(A144,'SegEnds_NonXtal_Prot#'!A:AL,31,FALSE)-VLOOKUP(A144,'SegEnds_NonXtal_Prot#'!A:AL,28,FALSE)</f>
        <v>49</v>
      </c>
      <c r="AJ144" s="1">
        <f>VLOOKUP(A144,'SegEnds_NonXtal_Prot#'!A:AL,34,FALSE)-VLOOKUP(A144,'SegEnds_NonXtal_Prot#'!A:AL,31,FALSE)</f>
        <v>44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299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INDEX(ICL3_classA!$G$2:$G$39,MATCH(MIN(ABS(AI145-ICL3_classA!$F$2:$F$39)),ABS(AI145-ICL3_classA!$F$2:$F$39),0))</f>
        <v>68</v>
      </c>
      <c r="U145" s="1">
        <f t="array" ref="U145">INDEX(ICL3_classA!$H$2:$H$39,MATCH(MIN(ABS(AI145-ICL3_classA!$F$2:$F$39)),ABS(AI145-ICL3_classA!$F$2:$F$39),0))</f>
        <v>23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31</v>
      </c>
      <c r="AC145" s="1">
        <f>VLOOKUP(A145,'SegEnds_NonXtal_Prot#'!A:AL,10,FALSE)-VLOOKUP(A145,'SegEnds_NonXtal_Prot#'!A:AL,7,FALSE)</f>
        <v>18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26</v>
      </c>
      <c r="AH145" s="1">
        <f>VLOOKUP(A145,'SegEnds_NonXtal_Prot#'!A:AL,28,FALSE)-VLOOKUP(A145,'SegEnds_NonXtal_Prot#'!A:AL,22,FALSE)</f>
        <v>52</v>
      </c>
      <c r="AI145" s="1">
        <f>VLOOKUP(A145,'SegEnds_NonXtal_Prot#'!A:AL,31,FALSE)-VLOOKUP(A145,'SegEnds_NonXtal_Prot#'!A:AL,28,FALSE)</f>
        <v>51</v>
      </c>
      <c r="AJ145" s="1">
        <f>VLOOKUP(A145,'SegEnds_NonXtal_Prot#'!A:AL,34,FALSE)-VLOOKUP(A145,'SegEnds_NonXtal_Prot#'!A:AL,31,FALSE)</f>
        <v>37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320</v>
      </c>
      <c r="B146" s="1" t="str">
        <f>VLOOKUP(A146,Xtal_Templ!A:B,2,FALSE)</f>
        <v>oprd_human</v>
      </c>
      <c r="C146" s="5">
        <f>VLOOKUP($B146&amp;"__wt",'SegEnds_Xtal_BW#'!$A:$Z,3,FALSE)</f>
        <v>22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21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f>VLOOKUP($B146&amp;"__wt",'SegEnds_Xtal_BW#'!$A:$Z,14,FALSE)</f>
        <v>57</v>
      </c>
      <c r="O146" s="87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31</v>
      </c>
      <c r="T146" s="1">
        <f t="array" ref="T146">INDEX(ICL3_classA!$G$2:$G$39,MATCH(MIN(ABS(AI146-ICL3_classA!$F$2:$F$39)),ABS(AI146-ICL3_classA!$F$2:$F$39),0))</f>
        <v>68</v>
      </c>
      <c r="U146" s="1">
        <f t="array" ref="U146">INDEX(ICL3_classA!$H$2:$H$39,MATCH(MIN(ABS(AI146-ICL3_classA!$F$2:$F$39)),ABS(AI146-ICL3_classA!$F$2:$F$39),0))</f>
        <v>23</v>
      </c>
      <c r="V146" s="1">
        <v>61</v>
      </c>
      <c r="W146" s="131">
        <f>VLOOKUP($B146&amp;"__wt",'SegEnds_Xtal_BW#'!$A:$Z,23,FALSE)</f>
        <v>28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60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19</v>
      </c>
      <c r="AE146" s="1">
        <f>VLOOKUP(A146,'SegEnds_NonXtal_Prot#'!A:AL,16,FALSE)-VLOOKUP(A146,'SegEnds_NonXtal_Prot#'!A:AL,10,FALSE)</f>
        <v>51</v>
      </c>
      <c r="AF146" s="1" t="e">
        <f>VLOOKUP(A146,'SegEnds_NonXtal_Prot#'!A:AL,22,FALSE)-VLOOKUP(A146,'SegEnds_NonXtal_Prot#'!A:AL,19,FALSE)</f>
        <v>#VALUE!</v>
      </c>
      <c r="AG146" s="1">
        <f>VLOOKUP(A146,'SegEnds_NonXtal_Prot#'!A:AL,28,FALSE)-VLOOKUP(A146,'SegEnds_NonXtal_Prot#'!A:AL,25,FALSE)</f>
        <v>27</v>
      </c>
      <c r="AH146" s="1">
        <f>VLOOKUP(A146,'SegEnds_NonXtal_Prot#'!A:AL,28,FALSE)-VLOOKUP(A146,'SegEnds_NonXtal_Prot#'!A:AL,22,FALSE)</f>
        <v>52</v>
      </c>
      <c r="AI146" s="1">
        <f>VLOOKUP(A146,'SegEnds_NonXtal_Prot#'!A:AL,31,FALSE)-VLOOKUP(A146,'SegEnds_NonXtal_Prot#'!A:AL,28,FALSE)</f>
        <v>51</v>
      </c>
      <c r="AJ146" s="1">
        <f>VLOOKUP(A146,'SegEnds_NonXtal_Prot#'!A:AL,34,FALSE)-VLOOKUP(A146,'SegEnds_NonXtal_Prot#'!A:AL,31,FALSE)</f>
        <v>38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332</v>
      </c>
      <c r="B147" s="1" t="str">
        <f>VLOOKUP(A147,Xtal_Templ!A:B,2,FALSE)</f>
        <v>opsd_bovin</v>
      </c>
      <c r="C147" s="5">
        <f>VLOOKUP($B147&amp;"__wt",'SegEnds_Xtal_BW#'!$A:$Z,3,FALSE)</f>
        <v>28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f>VLOOKUP($B147&amp;"__wt",'SegEnds_Xtal_BW#'!$A:$Z,14,FALSE)</f>
        <v>56</v>
      </c>
      <c r="O147" s="87">
        <f>VLOOKUP($B147&amp;"__wt",'SegEnds_Xtal_BW#'!$A:$Z,15,FALSE)</f>
        <v>38</v>
      </c>
      <c r="P147" s="1">
        <f>VLOOKUP($B147&amp;"__wt",'SegEnds_Xtal_BW#'!$A:$Z,16,FALSE)</f>
        <v>62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34</v>
      </c>
      <c r="T147" s="1">
        <f t="array" ref="T147">INDEX(ICL3_classA!$G$2:$G$39,MATCH(MIN(ABS(AI147-ICL3_classA!$F$2:$F$39)),ABS(AI147-ICL3_classA!$F$2:$F$39),0))</f>
        <v>73</v>
      </c>
      <c r="U147" s="1">
        <f t="array" ref="U147">INDEX(ICL3_classA!$H$2:$H$39,MATCH(MIN(ABS(AI147-ICL3_classA!$F$2:$F$39)),ABS(AI147-ICL3_classA!$F$2:$F$39),0))</f>
        <v>22</v>
      </c>
      <c r="V147" s="1">
        <v>61</v>
      </c>
      <c r="W147" s="1">
        <v>31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 t="e">
        <f>VLOOKUP(A147,'SegEnds_NonXtal_Prot#'!A:AL,22,FALSE)-VLOOKUP(A147,'SegEnds_NonXtal_Prot#'!A:AL,19,FALSE)</f>
        <v>#VALUE!</v>
      </c>
      <c r="AG147" s="1">
        <f>VLOOKUP(A147,'SegEnds_NonXtal_Prot#'!A:AL,28,FALSE)-VLOOKUP(A147,'SegEnds_NonXtal_Prot#'!A:AL,25,FALSE)</f>
        <v>26</v>
      </c>
      <c r="AH147" s="1">
        <f>VLOOKUP(A147,'SegEnds_NonXtal_Prot#'!A:AL,28,FALSE)-VLOOKUP(A147,'SegEnds_NonXtal_Prot#'!A:AL,22,FALSE)</f>
        <v>52</v>
      </c>
      <c r="AI147" s="1">
        <f>VLOOKUP(A147,'SegEnds_NonXtal_Prot#'!A:AL,31,FALSE)-VLOOKUP(A147,'SegEnds_NonXtal_Prot#'!A:AL,28,FALSE)</f>
        <v>56</v>
      </c>
      <c r="AJ147" s="1">
        <f>VLOOKUP(A147,'SegEnds_NonXtal_Prot#'!A:AL,34,FALSE)-VLOOKUP(A147,'SegEnds_NonXtal_Prot#'!A:AL,31,FALSE)</f>
        <v>36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333</v>
      </c>
      <c r="B148" s="1" t="str">
        <f>VLOOKUP(A148,Xtal_Templ!A:B,2,FALSE)</f>
        <v>opsd_bovin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62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34</v>
      </c>
      <c r="T148" s="1">
        <f t="array" ref="T148">INDEX(ICL3_classA!$G$2:$G$39,MATCH(MIN(ABS(AI148-ICL3_classA!$F$2:$F$39)),ABS(AI148-ICL3_classA!$F$2:$F$39),0))</f>
        <v>74</v>
      </c>
      <c r="U148" s="1">
        <f t="array" ref="U148">INDEX(ICL3_classA!$H$2:$H$39,MATCH(MIN(ABS(AI148-ICL3_classA!$F$2:$F$39)),ABS(AI148-ICL3_classA!$F$2:$F$39),0))</f>
        <v>21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26</v>
      </c>
      <c r="AH148" s="1">
        <f>VLOOKUP(A148,'SegEnds_NonXtal_Prot#'!A:AL,28,FALSE)-VLOOKUP(A148,'SegEnds_NonXtal_Prot#'!A:AL,22,FALSE)</f>
        <v>52</v>
      </c>
      <c r="AI148" s="1">
        <f>VLOOKUP(A148,'SegEnds_NonXtal_Prot#'!A:AL,31,FALSE)-VLOOKUP(A148,'SegEnds_NonXtal_Prot#'!A:AL,28,FALSE)</f>
        <v>64</v>
      </c>
      <c r="AJ148" s="1">
        <f>VLOOKUP(A148,'SegEnds_NonXtal_Prot#'!A:AL,34,FALSE)-VLOOKUP(A148,'SegEnds_NonXtal_Prot#'!A:AL,31,FALSE)</f>
        <v>36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335</v>
      </c>
      <c r="B149" s="1" t="str">
        <f>VLOOKUP(A149,Xtal_Templ!A:B,2,FALSE)</f>
        <v>oprd_human</v>
      </c>
      <c r="C149" s="5">
        <f>VLOOKUP($B149&amp;"__wt",'SegEnds_Xtal_BW#'!$A:$Z,3,FALSE)</f>
        <v>22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66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f>VLOOKUP($B149&amp;"__wt",'SegEnds_Xtal_BW#'!$A:$Z,11,FALSE)</f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f>VLOOKUP($B149&amp;"__wt",'SegEnds_Xtal_BW#'!$A:$Z,14,FALSE)</f>
        <v>57</v>
      </c>
      <c r="O149" s="87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31</v>
      </c>
      <c r="T149" s="1">
        <f t="array" ref="T149">INDEX(ICL3_classA!$G$2:$G$39,MATCH(MIN(ABS(AI149-ICL3_classA!$F$2:$F$39)),ABS(AI149-ICL3_classA!$F$2:$F$39),0))</f>
        <v>68</v>
      </c>
      <c r="U149" s="1">
        <f t="array" ref="U149">INDEX(ICL3_classA!$H$2:$H$39,MATCH(MIN(ABS(AI149-ICL3_classA!$F$2:$F$39)),ABS(AI149-ICL3_classA!$F$2:$F$39),0))</f>
        <v>23</v>
      </c>
      <c r="V149" s="1">
        <v>61</v>
      </c>
      <c r="W149" s="131">
        <f>VLOOKUP($B149&amp;"__wt",'SegEnds_Xtal_BW#'!$A:$Z,23,FALSE)</f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60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19</v>
      </c>
      <c r="AE149" s="1">
        <f>VLOOKUP(A149,'SegEnds_NonXtal_Prot#'!A:AL,16,FALSE)-VLOOKUP(A149,'SegEnds_NonXtal_Prot#'!A:AL,10,FALSE)</f>
        <v>51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27</v>
      </c>
      <c r="AH149" s="1">
        <f>VLOOKUP(A149,'SegEnds_NonXtal_Prot#'!A:AL,28,FALSE)-VLOOKUP(A149,'SegEnds_NonXtal_Prot#'!A:AL,22,FALSE)</f>
        <v>52</v>
      </c>
      <c r="AI149" s="1">
        <f>VLOOKUP(A149,'SegEnds_NonXtal_Prot#'!A:AL,31,FALSE)-VLOOKUP(A149,'SegEnds_NonXtal_Prot#'!A:AL,28,FALSE)</f>
        <v>51</v>
      </c>
      <c r="AJ149" s="1">
        <f>VLOOKUP(A149,'SegEnds_NonXtal_Prot#'!A:AL,34,FALSE)-VLOOKUP(A149,'SegEnds_NonXtal_Prot#'!A:AL,31,FALSE)</f>
        <v>39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Xtal</v>
      </c>
    </row>
    <row r="150" spans="1:38" x14ac:dyDescent="0.2">
      <c r="A150" s="1" t="s">
        <v>915</v>
      </c>
      <c r="B150" s="1" t="str">
        <f>VLOOKUP(A150,Xtal_Templ!A:B,2,FALSE)</f>
        <v>oprd_mouse</v>
      </c>
      <c r="C150" s="5">
        <f>VLOOKUP($B150&amp;"__wt",'SegEnds_Xtal_BW#'!$A:$Z,3,FALSE)</f>
        <v>24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v>66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f>VLOOKUP($B150&amp;"__wt",'SegEnds_Xtal_BW#'!$A:$Z,11,FALSE)</f>
        <v>21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INDEX(ICL3_classA!$G$2:$G$39,MATCH(MIN(ABS(AI150-ICL3_classA!$F$2:$F$39)),ABS(AI150-ICL3_classA!$F$2:$F$39),0))</f>
        <v>68</v>
      </c>
      <c r="U150" s="1">
        <f t="array" ref="U150">INDEX(ICL3_classA!$H$2:$H$39,MATCH(MIN(ABS(AI150-ICL3_classA!$F$2:$F$39)),ABS(AI150-ICL3_classA!$F$2:$F$39),0))</f>
        <v>23</v>
      </c>
      <c r="V150" s="1">
        <v>61</v>
      </c>
      <c r="W150" s="131">
        <f>VLOOKUP($B150&amp;"__wt",'SegEnds_Xtal_BW#'!$A:$Z,23,FALSE)</f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60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19</v>
      </c>
      <c r="AE150" s="1">
        <f>VLOOKUP(A150,'SegEnds_NonXtal_Prot#'!A:AL,16,FALSE)-VLOOKUP(A150,'SegEnds_NonXtal_Prot#'!A:AL,10,FALSE)</f>
        <v>51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27</v>
      </c>
      <c r="AH150" s="1">
        <f>VLOOKUP(A150,'SegEnds_NonXtal_Prot#'!A:AL,28,FALSE)-VLOOKUP(A150,'SegEnds_NonXtal_Prot#'!A:AL,22,FALSE)</f>
        <v>52</v>
      </c>
      <c r="AI150" s="1">
        <f>VLOOKUP(A150,'SegEnds_NonXtal_Prot#'!A:AL,31,FALSE)-VLOOKUP(A150,'SegEnds_NonXtal_Prot#'!A:AL,28,FALSE)</f>
        <v>51</v>
      </c>
      <c r="AJ150" s="1">
        <f>VLOOKUP(A150,'SegEnds_NonXtal_Prot#'!A:AL,34,FALSE)-VLOOKUP(A150,'SegEnds_NonXtal_Prot#'!A:AL,31,FALSE)</f>
        <v>39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Xtal</v>
      </c>
    </row>
    <row r="151" spans="1:38" x14ac:dyDescent="0.2">
      <c r="A151" s="1" t="s">
        <v>337</v>
      </c>
      <c r="B151" s="1" t="str">
        <f>VLOOKUP(A151,Xtal_Templ!A:B,2,FALSE)</f>
        <v>oprm_mouse</v>
      </c>
      <c r="C151" s="5">
        <f>VLOOKUP($B151&amp;"__wt",'SegEnds_Xtal_BW#'!$A:$Z,3,FALSE)</f>
        <v>29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v>66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21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31</v>
      </c>
      <c r="T151" s="1">
        <f t="array" ref="T151">INDEX(ICL3_classA!$G$2:$G$39,MATCH(MIN(ABS(AI151-ICL3_classA!$F$2:$F$39)),ABS(AI151-ICL3_classA!$F$2:$F$39),0))</f>
        <v>68</v>
      </c>
      <c r="U151" s="1">
        <f t="array" ref="U151">INDEX(ICL3_classA!$H$2:$H$39,MATCH(MIN(ABS(AI151-ICL3_classA!$F$2:$F$39)),ABS(AI151-ICL3_classA!$F$2:$F$39),0))</f>
        <v>23</v>
      </c>
      <c r="V151" s="1">
        <v>61</v>
      </c>
      <c r="W151" s="131">
        <f>VLOOKUP($B151&amp;"__wt",'SegEnds_Xtal_BW#'!$A:$Z,23,FALSE)</f>
        <v>28</v>
      </c>
      <c r="X151" s="124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59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>
        <f>VLOOKUP(A151,'SegEnds_NonXtal_Prot#'!A:AL,13,FALSE)-VLOOKUP(A151,'SegEnds_NonXtal_Prot#'!A:AL,10,FALSE)</f>
        <v>19</v>
      </c>
      <c r="AE151" s="1">
        <f>VLOOKUP(A151,'SegEnds_NonXtal_Prot#'!A:AL,16,FALSE)-VLOOKUP(A151,'SegEnds_NonXtal_Prot#'!A:AL,10,FALSE)</f>
        <v>51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27</v>
      </c>
      <c r="AH151" s="1">
        <f>VLOOKUP(A151,'SegEnds_NonXtal_Prot#'!A:AL,28,FALSE)-VLOOKUP(A151,'SegEnds_NonXtal_Prot#'!A:AL,22,FALSE)</f>
        <v>52</v>
      </c>
      <c r="AI151" s="1">
        <f>VLOOKUP(A151,'SegEnds_NonXtal_Prot#'!A:AL,31,FALSE)-VLOOKUP(A151,'SegEnds_NonXtal_Prot#'!A:AL,28,FALSE)</f>
        <v>51</v>
      </c>
      <c r="AJ151" s="1">
        <f>VLOOKUP(A151,'SegEnds_NonXtal_Prot#'!A:AL,34,FALSE)-VLOOKUP(A151,'SegEnds_NonXtal_Prot#'!A:AL,31,FALSE)</f>
        <v>38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917</v>
      </c>
      <c r="B152" s="1" t="str">
        <f>VLOOKUP(A152,Xtal_Templ!A:B,2,FALSE)</f>
        <v>oprm_mouse</v>
      </c>
      <c r="C152" s="5">
        <f>VLOOKUP($B152&amp;"__wt",'SegEnds_Xtal_BW#'!$A:$Z,3,FALSE)</f>
        <v>29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v>66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f>VLOOKUP($B152&amp;"__wt",'SegEnds_Xtal_BW#'!$A:$Z,11,FALSE)</f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f>VLOOKUP($B152&amp;"__wt",'SegEnds_Xtal_BW#'!$A:$Z,14,FALSE)</f>
        <v>57</v>
      </c>
      <c r="O152" s="87">
        <f>VLOOKUP($B152&amp;"__wt",'SegEnds_Xtal_BW#'!$A:$Z,15,FALSE)</f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31</v>
      </c>
      <c r="T152" s="1">
        <f t="array" ref="T152">INDEX(ICL3_classA!$G$2:$G$39,MATCH(MIN(ABS(AI152-ICL3_classA!$F$2:$F$39)),ABS(AI152-ICL3_classA!$F$2:$F$39),0))</f>
        <v>68</v>
      </c>
      <c r="U152" s="1">
        <f t="array" ref="U152">INDEX(ICL3_classA!$H$2:$H$39,MATCH(MIN(ABS(AI152-ICL3_classA!$F$2:$F$39)),ABS(AI152-ICL3_classA!$F$2:$F$39),0))</f>
        <v>23</v>
      </c>
      <c r="V152" s="1">
        <v>61</v>
      </c>
      <c r="W152" s="131">
        <f>VLOOKUP($B152&amp;"__wt",'SegEnds_Xtal_BW#'!$A:$Z,23,FALSE)</f>
        <v>28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>
        <f>VLOOKUP(A152,'SegEnds_NonXtal_Prot#'!A:AL,13,FALSE)-VLOOKUP(A152,'SegEnds_NonXtal_Prot#'!A:AL,10,FALSE)</f>
        <v>19</v>
      </c>
      <c r="AE152" s="1">
        <f>VLOOKUP(A152,'SegEnds_NonXtal_Prot#'!A:AL,16,FALSE)-VLOOKUP(A152,'SegEnds_NonXtal_Prot#'!A:AL,10,FALSE)</f>
        <v>51</v>
      </c>
      <c r="AF152" s="1">
        <f>VLOOKUP(A152,'SegEnds_NonXtal_Prot#'!A:AL,22,FALSE)-VLOOKUP(A152,'SegEnds_NonXtal_Prot#'!A:AL,19,FALSE)</f>
        <v>20</v>
      </c>
      <c r="AG152" s="1">
        <f>VLOOKUP(A152,'SegEnds_NonXtal_Prot#'!A:AL,28,FALSE)-VLOOKUP(A152,'SegEnds_NonXtal_Prot#'!A:AL,25,FALSE)</f>
        <v>27</v>
      </c>
      <c r="AH152" s="1">
        <f>VLOOKUP(A152,'SegEnds_NonXtal_Prot#'!A:AL,28,FALSE)-VLOOKUP(A152,'SegEnds_NonXtal_Prot#'!A:AL,22,FALSE)</f>
        <v>52</v>
      </c>
      <c r="AI152" s="1">
        <f>VLOOKUP(A152,'SegEnds_NonXtal_Prot#'!A:AL,31,FALSE)-VLOOKUP(A152,'SegEnds_NonXtal_Prot#'!A:AL,28,FALSE)</f>
        <v>51</v>
      </c>
      <c r="AJ152" s="1">
        <f>VLOOKUP(A152,'SegEnds_NonXtal_Prot#'!A:AL,34,FALSE)-VLOOKUP(A152,'SegEnds_NonXtal_Prot#'!A:AL,31,FALSE)</f>
        <v>38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Xtal</v>
      </c>
    </row>
    <row r="153" spans="1:38" x14ac:dyDescent="0.2">
      <c r="A153" s="1" t="s">
        <v>1173</v>
      </c>
      <c r="B153" s="1" t="str">
        <f>VLOOKUP(A153,Xtal_Templ!A:B,2,FALSE)</f>
        <v>oprx_human</v>
      </c>
      <c r="C153" s="5">
        <f>VLOOKUP($B153&amp;"__wt",'SegEnds_Xtal_BW#'!$A:$Z,3,FALSE)</f>
        <v>29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v>66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f>VLOOKUP($B153&amp;"__wt",'SegEnds_Xtal_BW#'!$A:$Z,11,FALSE)</f>
        <v>21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f>VLOOKUP($B153&amp;"__wt",'SegEnds_Xtal_BW#'!$A:$Z,14,FALSE)</f>
        <v>57</v>
      </c>
      <c r="O153" s="87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31</v>
      </c>
      <c r="T153" s="1">
        <f t="array" ref="T153">INDEX(ICL3_classA!$G$2:$G$39,MATCH(MIN(ABS(AI153-ICL3_classA!$F$2:$F$39)),ABS(AI153-ICL3_classA!$F$2:$F$39),0))</f>
        <v>68</v>
      </c>
      <c r="U153" s="1">
        <f t="array" ref="U153">INDEX(ICL3_classA!$H$2:$H$39,MATCH(MIN(ABS(AI153-ICL3_classA!$F$2:$F$39)),ABS(AI153-ICL3_classA!$F$2:$F$39),0))</f>
        <v>23</v>
      </c>
      <c r="V153" s="1">
        <v>61</v>
      </c>
      <c r="W153" s="131">
        <f>VLOOKUP($B153&amp;"__wt",'SegEnds_Xtal_BW#'!$A:$Z,23,FALSE)</f>
        <v>28</v>
      </c>
      <c r="X153" s="124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59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19</v>
      </c>
      <c r="AE153" s="1">
        <f>VLOOKUP(A153,'SegEnds_NonXtal_Prot#'!A:AL,16,FALSE)-VLOOKUP(A153,'SegEnds_NonXtal_Prot#'!A:AL,10,FALSE)</f>
        <v>51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27</v>
      </c>
      <c r="AH153" s="1">
        <f>VLOOKUP(A153,'SegEnds_NonXtal_Prot#'!A:AL,28,FALSE)-VLOOKUP(A153,'SegEnds_NonXtal_Prot#'!A:AL,22,FALSE)</f>
        <v>52</v>
      </c>
      <c r="AI153" s="1">
        <f>VLOOKUP(A153,'SegEnds_NonXtal_Prot#'!A:AL,31,FALSE)-VLOOKUP(A153,'SegEnds_NonXtal_Prot#'!A:AL,28,FALSE)</f>
        <v>51</v>
      </c>
      <c r="AJ153" s="1">
        <f>VLOOKUP(A153,'SegEnds_NonXtal_Prot#'!A:AL,34,FALSE)-VLOOKUP(A153,'SegEnds_NonXtal_Prot#'!A:AL,31,FALSE)</f>
        <v>38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Xtal</v>
      </c>
    </row>
    <row r="154" spans="1:38" x14ac:dyDescent="0.2">
      <c r="A154" s="1" t="s">
        <v>921</v>
      </c>
      <c r="B154" s="1" t="str">
        <f>VLOOKUP(A154,Xtal_Templ!A:B,2,FALSE)</f>
        <v>opsd_todpa</v>
      </c>
      <c r="C154" s="5">
        <f>VLOOKUP($B154&amp;"__wt",'SegEnds_Xtal_BW#'!$A:$Z,3,FALSE)</f>
        <v>29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69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f>VLOOKUP($B154&amp;"__wt",'SegEnds_Xtal_BW#'!$A:$Z,14,FALSE)</f>
        <v>57</v>
      </c>
      <c r="O154" s="87">
        <f>VLOOKUP($B154&amp;"__wt",'SegEnds_Xtal_BW#'!$A:$Z,15,FALSE)</f>
        <v>38</v>
      </c>
      <c r="P154" s="1">
        <f>VLOOKUP($B154&amp;"__wt",'SegEnds_Xtal_BW#'!$A:$Z,16,FALSE)</f>
        <v>62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32</v>
      </c>
      <c r="T154" s="1">
        <f t="array" ref="T154">INDEX(ICL3_classA!$G$2:$G$39,MATCH(MIN(ABS(AI154-ICL3_classA!$F$2:$F$39)),ABS(AI154-ICL3_classA!$F$2:$F$39),0))</f>
        <v>74</v>
      </c>
      <c r="U154" s="1">
        <f t="array" ref="U154">INDEX(ICL3_classA!$H$2:$H$39,MATCH(MIN(ABS(AI154-ICL3_classA!$F$2:$F$39)),ABS(AI154-ICL3_classA!$F$2:$F$39),0))</f>
        <v>21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21</v>
      </c>
      <c r="AE154" s="1">
        <f>VLOOKUP(A154,'SegEnds_NonXtal_Prot#'!A:AL,16,FALSE)-VLOOKUP(A154,'SegEnds_NonXtal_Prot#'!A:AL,10,FALSE)</f>
        <v>53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26</v>
      </c>
      <c r="AH154" s="1">
        <f>VLOOKUP(A154,'SegEnds_NonXtal_Prot#'!A:AL,28,FALSE)-VLOOKUP(A154,'SegEnds_NonXtal_Prot#'!A:AL,22,FALSE)</f>
        <v>52</v>
      </c>
      <c r="AI154" s="1">
        <f>VLOOKUP(A154,'SegEnds_NonXtal_Prot#'!A:AL,31,FALSE)-VLOOKUP(A154,'SegEnds_NonXtal_Prot#'!A:AL,28,FALSE)</f>
        <v>64</v>
      </c>
      <c r="AJ154" s="1">
        <f>VLOOKUP(A154,'SegEnds_NonXtal_Prot#'!A:AL,34,FALSE)-VLOOKUP(A154,'SegEnds_NonXtal_Prot#'!A:AL,31,FALSE)</f>
        <v>36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Xtal</v>
      </c>
    </row>
    <row r="155" spans="1:38" x14ac:dyDescent="0.2">
      <c r="A155" s="1" t="s">
        <v>343</v>
      </c>
      <c r="B155" s="1" t="str">
        <f>VLOOKUP(A155,Xtal_Templ!A:B,2,FALSE)</f>
        <v>p2ry1_human</v>
      </c>
      <c r="C155" s="5">
        <f>VLOOKUP($B155&amp;"__wt",'SegEnds_Xtal_BW#'!$A:$Z,3,FALSE)</f>
        <v>30</v>
      </c>
      <c r="D155" s="1">
        <f>VLOOKUP($B155&amp;"__wt",'SegEnds_Xtal_BW#'!$A:$Z,4,FALSE)</f>
        <v>60</v>
      </c>
      <c r="E155" s="1" t="str">
        <f>VLOOKUP($B155&amp;"__wt",'SegEnds_Xtal_BW#'!$A:$Z,5,FALSE)</f>
        <v>-</v>
      </c>
      <c r="F155" s="1" t="str">
        <f>VLOOKUP($B155&amp;"__wt",'SegEnds_Xtal_BW#'!$A:$Z,6,FALSE)</f>
        <v>-</v>
      </c>
      <c r="G155" s="1">
        <v>37</v>
      </c>
      <c r="H155" s="12">
        <f>VLOOKUP($B155&amp;"__wt",'SegEnds_Xtal_BW#'!$A:$Z,8,FALSE)</f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f>VLOOKUP($B155&amp;"__wt",'SegEnds_Xtal_BW#'!$A:$Z,14,FALSE)</f>
        <v>57</v>
      </c>
      <c r="O155" s="87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32</v>
      </c>
      <c r="T155" s="1">
        <f t="array" ref="T155">INDEX(ICL3_classA!$G$2:$G$39,MATCH(MIN(ABS(AI155-ICL3_classA!$F$2:$F$39)),ABS(AI155-ICL3_classA!$F$2:$F$39),0))</f>
        <v>67</v>
      </c>
      <c r="U155" s="1">
        <f t="array" ref="U155">INDEX(ICL3_classA!$H$2:$H$39,MATCH(MIN(ABS(AI155-ICL3_classA!$F$2:$F$39)),ABS(AI155-ICL3_classA!$F$2:$F$39),0))</f>
        <v>26</v>
      </c>
      <c r="V155" s="1">
        <v>61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 t="e">
        <f>VLOOKUP(A155,'SegEnds_NonXtal_Prot#'!A:AL,10,FALSE)-VLOOKUP(A155,'SegEnds_NonXtal_Prot#'!A:AL,7,FALSE)</f>
        <v>#VALUE!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27</v>
      </c>
      <c r="AH155" s="1">
        <f>VLOOKUP(A155,'SegEnds_NonXtal_Prot#'!A:AL,28,FALSE)-VLOOKUP(A155,'SegEnds_NonXtal_Prot#'!A:AL,22,FALSE)</f>
        <v>52</v>
      </c>
      <c r="AI155" s="1">
        <f>VLOOKUP(A155,'SegEnds_NonXtal_Prot#'!A:AL,31,FALSE)-VLOOKUP(A155,'SegEnds_NonXtal_Prot#'!A:AL,28,FALSE)</f>
        <v>46</v>
      </c>
      <c r="AJ155" s="1">
        <f>VLOOKUP(A155,'SegEnds_NonXtal_Prot#'!A:AL,34,FALSE)-VLOOKUP(A155,'SegEnds_NonXtal_Prot#'!A:AL,31,FALSE)</f>
        <v>43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346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f>VLOOKUP($B156&amp;"__wt",'SegEnds_Xtal_BW#'!$A:$Z,14,FALSE)</f>
        <v>57</v>
      </c>
      <c r="O156" s="87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INDEX(ICL3_classA!$G$2:$G$39,MATCH(MIN(ABS(AI156-ICL3_classA!$F$2:$F$39)),ABS(AI156-ICL3_classA!$F$2:$F$39),0))</f>
        <v>72</v>
      </c>
      <c r="U156" s="1">
        <f t="array" ref="U156">INDEX(ICL3_classA!$H$2:$H$39,MATCH(MIN(ABS(AI156-ICL3_classA!$F$2:$F$39)),ABS(AI156-ICL3_classA!$F$2:$F$39),0))</f>
        <v>29</v>
      </c>
      <c r="V156" s="1">
        <v>61</v>
      </c>
      <c r="W156" s="1"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 t="e">
        <f>VLOOKUP(A156,'SegEnds_NonXtal_Prot#'!A:AL,10,FALSE)-VLOOKUP(A156,'SegEnds_NonXtal_Prot#'!A:AL,7,FALSE)</f>
        <v>#VALUE!</v>
      </c>
      <c r="AD156" s="1">
        <f>VLOOKUP(A156,'SegEnds_NonXtal_Prot#'!A:AL,13,FALSE)-VLOOKUP(A156,'SegEnds_NonXtal_Prot#'!A:AL,10,FALSE)</f>
        <v>20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27</v>
      </c>
      <c r="AH156" s="1">
        <f>VLOOKUP(A156,'SegEnds_NonXtal_Prot#'!A:AL,28,FALSE)-VLOOKUP(A156,'SegEnds_NonXtal_Prot#'!A:AL,22,FALSE)</f>
        <v>52</v>
      </c>
      <c r="AI156" s="1">
        <f>VLOOKUP(A156,'SegEnds_NonXtal_Prot#'!A:AL,31,FALSE)-VLOOKUP(A156,'SegEnds_NonXtal_Prot#'!A:AL,28,FALSE)</f>
        <v>50</v>
      </c>
      <c r="AJ156" s="1">
        <f>VLOOKUP(A156,'SegEnds_NonXtal_Prot#'!A:AL,34,FALSE)-VLOOKUP(A156,'SegEnds_NonXtal_Prot#'!A:AL,31,FALSE)</f>
        <v>43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347</v>
      </c>
      <c r="B157" s="1" t="str">
        <f>VLOOKUP(A157,Xtal_Templ!A:B,2,FALSE)</f>
        <v>p2ry1_human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32</v>
      </c>
      <c r="T157" s="1">
        <f t="array" ref="T157">INDEX(ICL3_classA!$G$2:$G$39,MATCH(MIN(ABS(AI157-ICL3_classA!$F$2:$F$39)),ABS(AI157-ICL3_classA!$F$2:$F$39),0))</f>
        <v>68</v>
      </c>
      <c r="U157" s="1">
        <f t="array" ref="U157">INDEX(ICL3_classA!$H$2:$H$39,MATCH(MIN(ABS(AI157-ICL3_classA!$F$2:$F$39)),ABS(AI157-ICL3_classA!$F$2:$F$39),0))</f>
        <v>24</v>
      </c>
      <c r="V157" s="1">
        <v>61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 t="e">
        <f>VLOOKUP(A157,'SegEnds_NonXtal_Prot#'!A:AL,10,FALSE)-VLOOKUP(A157,'SegEnds_NonXtal_Prot#'!A:AL,7,FALSE)</f>
        <v>#VALUE!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52</v>
      </c>
      <c r="AI157" s="1">
        <f>VLOOKUP(A157,'SegEnds_NonXtal_Prot#'!A:AL,31,FALSE)-VLOOKUP(A157,'SegEnds_NonXtal_Prot#'!A:AL,28,FALSE)</f>
        <v>48</v>
      </c>
      <c r="AJ157" s="1">
        <f>VLOOKUP(A157,'SegEnds_NonXtal_Prot#'!A:AL,34,FALSE)-VLOOKUP(A157,'SegEnds_NonXtal_Prot#'!A:AL,31,FALSE)</f>
        <v>43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348</v>
      </c>
      <c r="B158" s="1" t="str">
        <f>VLOOKUP(A158,Xtal_Templ!A:B,2,FALSE)</f>
        <v>p2ry1_human</v>
      </c>
      <c r="C158" s="5">
        <f>VLOOKUP($B158&amp;"__wt",'SegEnds_Xtal_BW#'!$A:$Z,3,FALSE)</f>
        <v>30</v>
      </c>
      <c r="D158" s="1">
        <f>VLOOKUP($B158&amp;"__wt",'SegEnds_Xtal_BW#'!$A:$Z,4,FALSE)</f>
        <v>60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66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58</v>
      </c>
      <c r="O158" s="87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32</v>
      </c>
      <c r="T158" s="1">
        <f t="array" ref="T158">INDEX(ICL3_classA!$G$2:$G$39,MATCH(MIN(ABS(AI158-ICL3_classA!$F$2:$F$39)),ABS(AI158-ICL3_classA!$F$2:$F$39),0))</f>
        <v>72</v>
      </c>
      <c r="U158" s="1">
        <f t="array" ref="U158">INDEX(ICL3_classA!$H$2:$H$39,MATCH(MIN(ABS(AI158-ICL3_classA!$F$2:$F$39)),ABS(AI158-ICL3_classA!$F$2:$F$39),0))</f>
        <v>29</v>
      </c>
      <c r="V158" s="1">
        <v>64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21</v>
      </c>
      <c r="AG158" s="1">
        <f>VLOOKUP(A158,'SegEnds_NonXtal_Prot#'!A:AL,28,FALSE)-VLOOKUP(A158,'SegEnds_NonXtal_Prot#'!A:AL,25,FALSE)</f>
        <v>27</v>
      </c>
      <c r="AH158" s="1">
        <f>VLOOKUP(A158,'SegEnds_NonXtal_Prot#'!A:AL,28,FALSE)-VLOOKUP(A158,'SegEnds_NonXtal_Prot#'!A:AL,22,FALSE)</f>
        <v>52</v>
      </c>
      <c r="AI158" s="1">
        <f>VLOOKUP(A158,'SegEnds_NonXtal_Prot#'!A:AL,31,FALSE)-VLOOKUP(A158,'SegEnds_NonXtal_Prot#'!A:AL,28,FALSE)</f>
        <v>50</v>
      </c>
      <c r="AJ158" s="1">
        <f>VLOOKUP(A158,'SegEnds_NonXtal_Prot#'!A:AL,34,FALSE)-VLOOKUP(A158,'SegEnds_NonXtal_Prot#'!A:AL,31,FALSE)</f>
        <v>44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352</v>
      </c>
      <c r="B159" s="1" t="str">
        <f>VLOOKUP(A159,Xtal_Templ!A:B,2,FALSE)</f>
        <v>p2y12_human</v>
      </c>
      <c r="C159" s="5">
        <f>VLOOKUP($B159&amp;"__wt",'SegEnds_Xtal_BW#'!$A:$Z,3,FALSE)</f>
        <v>28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66</v>
      </c>
      <c r="I159" s="1" t="str">
        <f>VLOOKUP($B159&amp;"__wt",'SegEnds_Xtal_BW#'!$A:$Z,9,FALSE)</f>
        <v>-</v>
      </c>
      <c r="J159" s="1" t="str">
        <f>VLOOKUP($B159&amp;"__wt",'SegEnds_Xtal_BW#'!$A:$Z,10,FALSE)</f>
        <v>-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f>VLOOKUP($B159&amp;"__wt",'SegEnds_Xtal_BW#'!$A:$Z,15,FALSE)</f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30</v>
      </c>
      <c r="T159" s="1">
        <f t="array" ref="T159">INDEX(ICL3_classA!$G$2:$G$39,MATCH(MIN(ABS(AI159-ICL3_classA!$F$2:$F$39)),ABS(AI159-ICL3_classA!$F$2:$F$39),0))</f>
        <v>72</v>
      </c>
      <c r="U159" s="1">
        <f t="array" ref="U159">INDEX(ICL3_classA!$H$2:$H$39,MATCH(MIN(ABS(AI159-ICL3_classA!$F$2:$F$39)),ABS(AI159-ICL3_classA!$F$2:$F$39),0))</f>
        <v>29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57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27</v>
      </c>
      <c r="AC159" s="1" t="e">
        <f>VLOOKUP(A159,'SegEnds_NonXtal_Prot#'!A:AL,10,FALSE)-VLOOKUP(A159,'SegEnds_NonXtal_Prot#'!A:AL,7,FALSE)</f>
        <v>#VALUE!</v>
      </c>
      <c r="AD159" s="1" t="e">
        <f>VLOOKUP(A159,'SegEnds_NonXtal_Prot#'!A:AL,13,FALSE)-VLOOKUP(A159,'SegEnds_NonXtal_Prot#'!A:AL,10,FALSE)</f>
        <v>#VALUE!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26</v>
      </c>
      <c r="AH159" s="1">
        <f>VLOOKUP(A159,'SegEnds_NonXtal_Prot#'!A:AL,28,FALSE)-VLOOKUP(A159,'SegEnds_NonXtal_Prot#'!A:AL,22,FALSE)</f>
        <v>52</v>
      </c>
      <c r="AI159" s="1">
        <f>VLOOKUP(A159,'SegEnds_NonXtal_Prot#'!A:AL,31,FALSE)-VLOOKUP(A159,'SegEnds_NonXtal_Prot#'!A:AL,28,FALSE)</f>
        <v>50</v>
      </c>
      <c r="AJ159" s="1">
        <f>VLOOKUP(A159,'SegEnds_NonXtal_Prot#'!A:AL,34,FALSE)-VLOOKUP(A159,'SegEnds_NonXtal_Prot#'!A:AL,31,FALSE)</f>
        <v>44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Xtal</v>
      </c>
    </row>
    <row r="160" spans="1:38" x14ac:dyDescent="0.2">
      <c r="A160" s="1" t="s">
        <v>353</v>
      </c>
      <c r="B160" s="1" t="str">
        <f>VLOOKUP(A160,Xtal_Templ!A:B,2,FALSE)</f>
        <v>p2y12_human</v>
      </c>
      <c r="C160" s="5">
        <f>VLOOKUP($B160&amp;"__wt",'SegEnds_Xtal_BW#'!$A:$Z,3,FALSE)</f>
        <v>28</v>
      </c>
      <c r="D160" s="1">
        <f>VLOOKUP($B160&amp;"__wt",'SegEnds_Xtal_BW#'!$A:$Z,4,FALSE)</f>
        <v>60</v>
      </c>
      <c r="E160" s="1" t="str">
        <f>VLOOKUP($B160&amp;"__wt",'SegEnds_Xtal_BW#'!$A:$Z,5,FALSE)</f>
        <v>-</v>
      </c>
      <c r="F160" s="1" t="str">
        <f>VLOOKUP($B160&amp;"__wt",'SegEnds_Xtal_BW#'!$A:$Z,6,FALSE)</f>
        <v>-</v>
      </c>
      <c r="G160" s="1">
        <v>37</v>
      </c>
      <c r="H160" s="12">
        <f>VLOOKUP($B160&amp;"__wt",'SegEnds_Xtal_BW#'!$A:$Z,8,FALSE)</f>
        <v>66</v>
      </c>
      <c r="I160" s="1" t="str">
        <f>VLOOKUP($B160&amp;"__wt",'SegEnds_Xtal_BW#'!$A:$Z,9,FALSE)</f>
        <v>-</v>
      </c>
      <c r="J160" s="1" t="str">
        <f>VLOOKUP($B160&amp;"__wt",'SegEnds_Xtal_BW#'!$A:$Z,10,FALSE)</f>
        <v>-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30</v>
      </c>
      <c r="T160" s="1">
        <f t="array" ref="T160">INDEX(ICL3_classA!$G$2:$G$39,MATCH(MIN(ABS(AI160-ICL3_classA!$F$2:$F$39)),ABS(AI160-ICL3_classA!$F$2:$F$39),0))</f>
        <v>72</v>
      </c>
      <c r="U160" s="1">
        <f t="array" ref="U160">INDEX(ICL3_classA!$H$2:$H$39,MATCH(MIN(ABS(AI160-ICL3_classA!$F$2:$F$39)),ABS(AI160-ICL3_classA!$F$2:$F$39),0))</f>
        <v>29</v>
      </c>
      <c r="V160" s="1">
        <v>64</v>
      </c>
      <c r="W160" s="1"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57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27</v>
      </c>
      <c r="AC160" s="1" t="e">
        <f>VLOOKUP(A160,'SegEnds_NonXtal_Prot#'!A:AL,10,FALSE)-VLOOKUP(A160,'SegEnds_NonXtal_Prot#'!A:AL,7,FALSE)</f>
        <v>#VALUE!</v>
      </c>
      <c r="AD160" s="1" t="e">
        <f>VLOOKUP(A160,'SegEnds_NonXtal_Prot#'!A:AL,13,FALSE)-VLOOKUP(A160,'SegEnds_NonXtal_Prot#'!A:AL,10,FALSE)</f>
        <v>#VALUE!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26</v>
      </c>
      <c r="AH160" s="1">
        <f>VLOOKUP(A160,'SegEnds_NonXtal_Prot#'!A:AL,28,FALSE)-VLOOKUP(A160,'SegEnds_NonXtal_Prot#'!A:AL,22,FALSE)</f>
        <v>52</v>
      </c>
      <c r="AI160" s="1">
        <f>VLOOKUP(A160,'SegEnds_NonXtal_Prot#'!A:AL,31,FALSE)-VLOOKUP(A160,'SegEnds_NonXtal_Prot#'!A:AL,28,FALSE)</f>
        <v>50</v>
      </c>
      <c r="AJ160" s="1">
        <f>VLOOKUP(A160,'SegEnds_NonXtal_Prot#'!A:AL,34,FALSE)-VLOOKUP(A160,'SegEnds_NonXtal_Prot#'!A:AL,31,FALSE)</f>
        <v>44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354</v>
      </c>
      <c r="B161" s="1" t="str">
        <f>VLOOKUP(A161,Xtal_Templ!A:B,2,FALSE)</f>
        <v>p2y12_human</v>
      </c>
      <c r="C161" s="5">
        <f>VLOOKUP($B161&amp;"__wt",'SegEnds_Xtal_BW#'!$A:$Z,3,FALSE)</f>
        <v>28</v>
      </c>
      <c r="D161" s="1">
        <f>VLOOKUP($B161&amp;"__wt",'SegEnds_Xtal_BW#'!$A:$Z,4,FALSE)</f>
        <v>60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f>VLOOKUP($B161&amp;"__wt",'SegEnds_Xtal_BW#'!$A:$Z,8,FALSE)</f>
        <v>66</v>
      </c>
      <c r="I161" s="1" t="str">
        <f>VLOOKUP($B161&amp;"__wt",'SegEnds_Xtal_BW#'!$A:$Z,9,FALSE)</f>
        <v>-</v>
      </c>
      <c r="J161" s="1" t="str">
        <f>VLOOKUP($B161&amp;"__wt",'SegEnds_Xtal_BW#'!$A:$Z,10,FALSE)</f>
        <v>-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30</v>
      </c>
      <c r="T161" s="1">
        <f t="array" ref="T161">INDEX(ICL3_classA!$G$2:$G$39,MATCH(MIN(ABS(AI161-ICL3_classA!$F$2:$F$39)),ABS(AI161-ICL3_classA!$F$2:$F$39),0))</f>
        <v>72</v>
      </c>
      <c r="U161" s="1">
        <f t="array" ref="U161">INDEX(ICL3_classA!$H$2:$H$39,MATCH(MIN(ABS(AI161-ICL3_classA!$F$2:$F$39)),ABS(AI161-ICL3_classA!$F$2:$F$39),0))</f>
        <v>29</v>
      </c>
      <c r="V161" s="1">
        <v>64</v>
      </c>
      <c r="W161" s="1">
        <v>24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57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27</v>
      </c>
      <c r="AC161" s="1" t="e">
        <f>VLOOKUP(A161,'SegEnds_NonXtal_Prot#'!A:AL,10,FALSE)-VLOOKUP(A161,'SegEnds_NonXtal_Prot#'!A:AL,7,FALSE)</f>
        <v>#VALUE!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26</v>
      </c>
      <c r="AH161" s="1">
        <f>VLOOKUP(A161,'SegEnds_NonXtal_Prot#'!A:AL,28,FALSE)-VLOOKUP(A161,'SegEnds_NonXtal_Prot#'!A:AL,22,FALSE)</f>
        <v>52</v>
      </c>
      <c r="AI161" s="1">
        <f>VLOOKUP(A161,'SegEnds_NonXtal_Prot#'!A:AL,31,FALSE)-VLOOKUP(A161,'SegEnds_NonXtal_Prot#'!A:AL,28,FALSE)</f>
        <v>50</v>
      </c>
      <c r="AJ161" s="1">
        <f>VLOOKUP(A161,'SegEnds_NonXtal_Prot#'!A:AL,34,FALSE)-VLOOKUP(A161,'SegEnds_NonXtal_Prot#'!A:AL,31,FALSE)</f>
        <v>44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384</v>
      </c>
      <c r="B162" s="1" t="str">
        <f>VLOOKUP(A162,Xtal_Templ!A:B,2,FALSE)</f>
        <v>oprk_human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21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30</v>
      </c>
      <c r="T162" s="1">
        <f t="array" ref="T162">INDEX(ICL3_classA!$G$2:$G$39,MATCH(MIN(ABS(AI162-ICL3_classA!$F$2:$F$39)),ABS(AI162-ICL3_classA!$F$2:$F$39),0))</f>
        <v>68</v>
      </c>
      <c r="U162" s="1">
        <f t="array" ref="U162">INDEX(ICL3_classA!$H$2:$H$39,MATCH(MIN(ABS(AI162-ICL3_classA!$F$2:$F$39)),ABS(AI162-ICL3_classA!$F$2:$F$39),0))</f>
        <v>23</v>
      </c>
      <c r="V162" s="1">
        <v>61</v>
      </c>
      <c r="W162" s="1">
        <v>32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>
        <f>VLOOKUP(A162,'SegEnds_NonXtal_Prot#'!A:AL,13,FALSE)-VLOOKUP(A162,'SegEnds_NonXtal_Prot#'!A:AL,10,FALSE)</f>
        <v>19</v>
      </c>
      <c r="AE162" s="1">
        <f>VLOOKUP(A162,'SegEnds_NonXtal_Prot#'!A:AL,16,FALSE)-VLOOKUP(A162,'SegEnds_NonXtal_Prot#'!A:AL,10,FALSE)</f>
        <v>51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25</v>
      </c>
      <c r="AH162" s="1">
        <f>VLOOKUP(A162,'SegEnds_NonXtal_Prot#'!A:AL,28,FALSE)-VLOOKUP(A162,'SegEnds_NonXtal_Prot#'!A:AL,22,FALSE)</f>
        <v>52</v>
      </c>
      <c r="AI162" s="1">
        <f>VLOOKUP(A162,'SegEnds_NonXtal_Prot#'!A:AL,31,FALSE)-VLOOKUP(A162,'SegEnds_NonXtal_Prot#'!A:AL,28,FALSE)</f>
        <v>51</v>
      </c>
      <c r="AJ162" s="1">
        <f>VLOOKUP(A162,'SegEnds_NonXtal_Prot#'!A:AL,34,FALSE)-VLOOKUP(A162,'SegEnds_NonXtal_Prot#'!A:AL,31,FALSE)</f>
        <v>34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386</v>
      </c>
      <c r="B163" s="1" t="str">
        <f>VLOOKUP(A163,Xtal_Templ!A:B,2,FALSE)</f>
        <v>sucr1_rat</v>
      </c>
      <c r="C163" s="5">
        <f>VLOOKUP($B163&amp;"__wt",'SegEnds_Xtal_BW#'!$A:$Z,3,FALSE)</f>
        <v>20</v>
      </c>
      <c r="D163" s="1">
        <f>VLOOKUP($B163&amp;"__wt",'SegEnds_Xtal_BW#'!$A:$Z,4,FALSE)</f>
        <v>61</v>
      </c>
      <c r="E163" s="1" t="str">
        <f>VLOOKUP($B163&amp;"__wt",'SegEnds_Xtal_BW#'!$A:$Z,5,FALSE)</f>
        <v>-</v>
      </c>
      <c r="F163" s="1" t="str">
        <f>VLOOKUP($B163&amp;"__wt",'SegEnds_Xtal_BW#'!$A:$Z,6,FALSE)</f>
        <v>-</v>
      </c>
      <c r="G163" s="1">
        <v>37</v>
      </c>
      <c r="H163" s="12">
        <v>66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21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67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31</v>
      </c>
      <c r="T163" s="1">
        <f t="array" ref="T163">INDEX(ICL3_classA!$G$2:$G$39,MATCH(MIN(ABS(AI163-ICL3_classA!$F$2:$F$39)),ABS(AI163-ICL3_classA!$F$2:$F$39),0))</f>
        <v>68</v>
      </c>
      <c r="U163" s="1">
        <f t="array" ref="U163">INDEX(ICL3_classA!$H$2:$H$39,MATCH(MIN(ABS(AI163-ICL3_classA!$F$2:$F$39)),ABS(AI163-ICL3_classA!$F$2:$F$39),0))</f>
        <v>24</v>
      </c>
      <c r="V163" s="1">
        <v>64</v>
      </c>
      <c r="W163" s="1">
        <v>24</v>
      </c>
      <c r="X163" s="124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65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 t="e">
        <f>VLOOKUP(A163,'SegEnds_NonXtal_Prot#'!A:AL,10,FALSE)-VLOOKUP(A163,'SegEnds_NonXtal_Prot#'!A:AL,7,FALSE)</f>
        <v>#VALUE!</v>
      </c>
      <c r="AD163" s="1">
        <f>VLOOKUP(A163,'SegEnds_NonXtal_Prot#'!A:AL,13,FALSE)-VLOOKUP(A163,'SegEnds_NonXtal_Prot#'!A:AL,10,FALSE)</f>
        <v>19</v>
      </c>
      <c r="AE163" s="1">
        <f>VLOOKUP(A163,'SegEnds_NonXtal_Prot#'!A:AL,16,FALSE)-VLOOKUP(A163,'SegEnds_NonXtal_Prot#'!A:AL,10,FALSE)</f>
        <v>51</v>
      </c>
      <c r="AF163" s="1">
        <f>VLOOKUP(A163,'SegEnds_NonXtal_Prot#'!A:AL,22,FALSE)-VLOOKUP(A163,'SegEnds_NonXtal_Prot#'!A:AL,19,FALSE)</f>
        <v>20</v>
      </c>
      <c r="AG163" s="1">
        <f>VLOOKUP(A163,'SegEnds_NonXtal_Prot#'!A:AL,28,FALSE)-VLOOKUP(A163,'SegEnds_NonXtal_Prot#'!A:AL,25,FALSE)</f>
        <v>27</v>
      </c>
      <c r="AH163" s="1">
        <f>VLOOKUP(A163,'SegEnds_NonXtal_Prot#'!A:AL,28,FALSE)-VLOOKUP(A163,'SegEnds_NonXtal_Prot#'!A:AL,22,FALSE)</f>
        <v>52</v>
      </c>
      <c r="AI163" s="1">
        <f>VLOOKUP(A163,'SegEnds_NonXtal_Prot#'!A:AL,31,FALSE)-VLOOKUP(A163,'SegEnds_NonXtal_Prot#'!A:AL,28,FALSE)</f>
        <v>48</v>
      </c>
      <c r="AJ163" s="1">
        <f>VLOOKUP(A163,'SegEnds_NonXtal_Prot#'!A:AL,34,FALSE)-VLOOKUP(A163,'SegEnds_NonXtal_Prot#'!A:AL,31,FALSE)</f>
        <v>45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4" t="s">
        <v>1597</v>
      </c>
      <c r="B164" s="4" t="str">
        <f>VLOOKUP(A164,Xtal_Templ!A:B,2,FALSE)</f>
        <v>sucr1_rat</v>
      </c>
      <c r="C164" s="5">
        <f>VLOOKUP($B164&amp;"__wt",'SegEnds_Xtal_BW#'!$A:$Z,3,FALSE)</f>
        <v>20</v>
      </c>
      <c r="D164" s="4">
        <f>VLOOKUP($B164&amp;"__wt",'SegEnds_Xtal_BW#'!$A:$Z,4,FALSE)</f>
        <v>61</v>
      </c>
      <c r="E164" s="4" t="str">
        <f>VLOOKUP($B164&amp;"__wt",'SegEnds_Xtal_BW#'!$A:$Z,5,FALSE)</f>
        <v>-</v>
      </c>
      <c r="F164" s="4" t="str">
        <f>VLOOKUP($B164&amp;"__wt",'SegEnds_Xtal_BW#'!$A:$Z,6,FALSE)</f>
        <v>-</v>
      </c>
      <c r="G164" s="4">
        <v>37</v>
      </c>
      <c r="H164" s="11">
        <f>VLOOKUP($B164&amp;"__wt",'SegEnds_Xtal_BW#'!$A:$Z,8,FALSE)</f>
        <v>67</v>
      </c>
      <c r="I164" s="4">
        <f>VLOOKUP($B164&amp;"__wt",'SegEnds_Xtal_BW#'!$A:$Z,9,FALSE)</f>
        <v>49</v>
      </c>
      <c r="J164" s="4">
        <f>VLOOKUP($B164&amp;"__wt",'SegEnds_Xtal_BW#'!$A:$Z,10,FALSE)</f>
        <v>52</v>
      </c>
      <c r="K164" s="11">
        <v>21</v>
      </c>
      <c r="L164" s="4">
        <f>VLOOKUP($B164&amp;"__wt",'SegEnds_Xtal_BW#'!$A:$Z,12,FALSE)</f>
        <v>56</v>
      </c>
      <c r="M164" s="4">
        <f>VLOOKUP($B164&amp;"__wt",'SegEnds_Xtal_BW#'!$A:$Z,13,FALSE)</f>
        <v>50</v>
      </c>
      <c r="N164" s="12">
        <f>VLOOKUP($B164&amp;"__wt",'SegEnds_Xtal_BW#'!$A:$Z,14,FALSE)</f>
        <v>57</v>
      </c>
      <c r="O164" s="87">
        <f>VLOOKUP($B164&amp;"__wt",'SegEnds_Xtal_BW#'!$A:$Z,15,FALSE)</f>
        <v>38</v>
      </c>
      <c r="P164" s="115">
        <f>VLOOKUP($B164&amp;"__wt",'SegEnds_Xtal_BW#'!$A:$Z,16,FALSE)</f>
        <v>67</v>
      </c>
      <c r="Q164" s="4">
        <f>VLOOKUP($B164&amp;"__wt",'SegEnds_Xtal_BW#'!$A:$Z,17,FALSE)</f>
        <v>50</v>
      </c>
      <c r="R164" s="4">
        <f>VLOOKUP($B164&amp;"__wt",'SegEnds_Xtal_BW#'!$A:$Z,18,FALSE)</f>
        <v>52</v>
      </c>
      <c r="S164" s="1">
        <f>VLOOKUP($B164&amp;"__wt",'SegEnds_Xtal_BW#'!$A:$Z,19,FALSE)</f>
        <v>31</v>
      </c>
      <c r="T164" s="4">
        <f t="array" ref="T164">INDEX(ICL3_classA!$G$2:$G$39,MATCH(MIN(ABS(AI164-ICL3_classA!$F$2:$F$39)),ABS(AI164-ICL3_classA!$F$2:$F$39),0))</f>
        <v>68</v>
      </c>
      <c r="U164" s="4">
        <f t="array" ref="U164">INDEX(ICL3_classA!$H$2:$H$39,MATCH(MIN(ABS(AI164-ICL3_classA!$F$2:$F$39)),ABS(AI164-ICL3_classA!$F$2:$F$39),0))</f>
        <v>24</v>
      </c>
      <c r="V164" s="115">
        <v>63</v>
      </c>
      <c r="W164" s="115">
        <v>26</v>
      </c>
      <c r="X164" s="4">
        <f>VLOOKUP($B164&amp;"__wt",'SegEnds_Xtal_BW#'!$A:$Z,24,FALSE)</f>
        <v>56</v>
      </c>
      <c r="Y164" s="4">
        <f>VLOOKUP($B164&amp;"__wt",'SegEnds_Xtal_BW#'!$A:$Z,25,FALSE)</f>
        <v>47</v>
      </c>
      <c r="Z164" s="4">
        <f>VLOOKUP($B164&amp;"__wt",'SegEnds_Xtal_BW#'!$A:$Z,26,FALSE)</f>
        <v>65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4" t="e">
        <f>VLOOKUP(A164,'SegEnds_NonXtal_Prot#'!A:AL,10,FALSE)-VLOOKUP(A164,'SegEnds_NonXtal_Prot#'!A:AL,7,FALSE)</f>
        <v>#VALUE!</v>
      </c>
      <c r="AD164" s="4">
        <f>VLOOKUP(A164,'SegEnds_NonXtal_Prot#'!A:AL,13,FALSE)-VLOOKUP(A164,'SegEnds_NonXtal_Prot#'!A:AL,10,FALSE)</f>
        <v>19</v>
      </c>
      <c r="AE164" s="4">
        <f>VLOOKUP(A164,'SegEnds_NonXtal_Prot#'!A:AL,16,FALSE)-VLOOKUP(A164,'SegEnds_NonXtal_Prot#'!A:AL,10,FALSE)</f>
        <v>51</v>
      </c>
      <c r="AF164" s="1">
        <f>VLOOKUP(A164,'SegEnds_NonXtal_Prot#'!A:AL,22,FALSE)-VLOOKUP(A164,'SegEnds_NonXtal_Prot#'!A:AL,19,FALSE)</f>
        <v>20</v>
      </c>
      <c r="AG164" s="4">
        <f>VLOOKUP(A164,'SegEnds_NonXtal_Prot#'!A:AL,28,FALSE)-VLOOKUP(A164,'SegEnds_NonXtal_Prot#'!A:AL,25,FALSE)</f>
        <v>27</v>
      </c>
      <c r="AH164" s="1">
        <f>VLOOKUP(A164,'SegEnds_NonXtal_Prot#'!A:AL,28,FALSE)-VLOOKUP(A164,'SegEnds_NonXtal_Prot#'!A:AL,22,FALSE)</f>
        <v>52</v>
      </c>
      <c r="AI164" s="4">
        <f>VLOOKUP(A164,'SegEnds_NonXtal_Prot#'!A:AL,31,FALSE)-VLOOKUP(A164,'SegEnds_NonXtal_Prot#'!A:AL,28,FALSE)</f>
        <v>48</v>
      </c>
      <c r="AJ164" s="4">
        <f>VLOOKUP(A164,'SegEnds_NonXtal_Prot#'!A:AL,34,FALSE)-VLOOKUP(A164,'SegEnds_NonXtal_Prot#'!A:AL,31,FALSE)</f>
        <v>44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Xtal</v>
      </c>
    </row>
    <row r="165" spans="1:38" x14ac:dyDescent="0.2">
      <c r="A165" s="1" t="s">
        <v>390</v>
      </c>
      <c r="B165" s="1" t="str">
        <f>VLOOKUP(A165,Xtal_Templ!A:B,2,FALSE)</f>
        <v>5ht1b_human</v>
      </c>
      <c r="C165" s="5">
        <f>VLOOKUP($B165&amp;"__wt",'SegEnds_Xtal_BW#'!$A:$Z,3,FALSE)</f>
        <v>28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v>38</v>
      </c>
      <c r="P165" s="1">
        <f>VLOOKUP($B165&amp;"__wt",'SegEnds_Xtal_BW#'!$A:$Z,16,FALSE)</f>
        <v>63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INDEX(ICL3_classA!$G$2:$G$39,MATCH(MIN(ABS(AI165-ICL3_classA!$F$2:$F$39)),ABS(AI165-ICL3_classA!$F$2:$F$39),0))</f>
        <v>73</v>
      </c>
      <c r="U165" s="1">
        <f t="array" ref="U165">INDEX(ICL3_classA!$H$2:$H$39,MATCH(MIN(ABS(AI165-ICL3_classA!$F$2:$F$39)),ABS(AI165-ICL3_classA!$F$2:$F$39),0))</f>
        <v>22</v>
      </c>
      <c r="V165" s="1">
        <v>61</v>
      </c>
      <c r="W165" s="1">
        <v>31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19</v>
      </c>
      <c r="AH165" s="1">
        <f>VLOOKUP(A165,'SegEnds_NonXtal_Prot#'!A:AL,28,FALSE)-VLOOKUP(A165,'SegEnds_NonXtal_Prot#'!A:AL,22,FALSE)</f>
        <v>52</v>
      </c>
      <c r="AI165" s="1">
        <f>VLOOKUP(A165,'SegEnds_NonXtal_Prot#'!A:AL,31,FALSE)-VLOOKUP(A165,'SegEnds_NonXtal_Prot#'!A:AL,28,FALSE)</f>
        <v>56</v>
      </c>
      <c r="AJ165" s="1">
        <f>VLOOKUP(A165,'SegEnds_NonXtal_Prot#'!A:AL,34,FALSE)-VLOOKUP(A165,'SegEnds_NonXtal_Prot#'!A:AL,31,FALSE)</f>
        <v>35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391</v>
      </c>
      <c r="B166" s="1" t="str">
        <f>VLOOKUP(A166,Xtal_Templ!A:B,2,FALSE)</f>
        <v>5ht1b_human</v>
      </c>
      <c r="C166" s="5">
        <f>VLOOKUP($B166&amp;"__wt",'SegEnds_Xtal_BW#'!$A:$Z,3,FALSE)</f>
        <v>28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63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INDEX(ICL3_classA!$G$2:$G$39,MATCH(MIN(ABS(AI166-ICL3_classA!$F$2:$F$39)),ABS(AI166-ICL3_classA!$F$2:$F$39),0))</f>
        <v>74</v>
      </c>
      <c r="U166" s="1">
        <f t="array" ref="U166">INDEX(ICL3_classA!$H$2:$H$39,MATCH(MIN(ABS(AI166-ICL3_classA!$F$2:$F$39)),ABS(AI166-ICL3_classA!$F$2:$F$39),0))</f>
        <v>21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19</v>
      </c>
      <c r="AH166" s="1">
        <f>VLOOKUP(A166,'SegEnds_NonXtal_Prot#'!A:AL,28,FALSE)-VLOOKUP(A166,'SegEnds_NonXtal_Prot#'!A:AL,22,FALSE)</f>
        <v>52</v>
      </c>
      <c r="AI166" s="1">
        <f>VLOOKUP(A166,'SegEnds_NonXtal_Prot#'!A:AL,31,FALSE)-VLOOKUP(A166,'SegEnds_NonXtal_Prot#'!A:AL,28,FALSE)</f>
        <v>64</v>
      </c>
      <c r="AJ166" s="1">
        <f>VLOOKUP(A166,'SegEnds_NonXtal_Prot#'!A:AL,34,FALSE)-VLOOKUP(A166,'SegEnds_NonXtal_Prot#'!A:AL,31,FALSE)</f>
        <v>35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392</v>
      </c>
      <c r="B167" s="1" t="str">
        <f>VLOOKUP(A167,Xtal_Templ!A:B,2,FALSE)</f>
        <v>5ht1b_human</v>
      </c>
      <c r="C167" s="5">
        <f>VLOOKUP($B167&amp;"__wt",'SegEnds_Xtal_BW#'!$A:$Z,3,FALSE)</f>
        <v>28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v>38</v>
      </c>
      <c r="P167" s="1">
        <f>VLOOKUP($B167&amp;"__wt",'SegEnds_Xtal_BW#'!$A:$Z,16,FALSE)</f>
        <v>63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INDEX(ICL3_classA!$G$2:$G$39,MATCH(MIN(ABS(AI167-ICL3_classA!$F$2:$F$39)),ABS(AI167-ICL3_classA!$F$2:$F$39),0))</f>
        <v>74</v>
      </c>
      <c r="U167" s="1">
        <f t="array" ref="U167">INDEX(ICL3_classA!$H$2:$H$39,MATCH(MIN(ABS(AI167-ICL3_classA!$F$2:$F$39)),ABS(AI167-ICL3_classA!$F$2:$F$39),0))</f>
        <v>21</v>
      </c>
      <c r="V167" s="1">
        <v>61</v>
      </c>
      <c r="W167" s="1"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19</v>
      </c>
      <c r="AH167" s="1">
        <f>VLOOKUP(A167,'SegEnds_NonXtal_Prot#'!A:AL,28,FALSE)-VLOOKUP(A167,'SegEnds_NonXtal_Prot#'!A:AL,22,FALSE)</f>
        <v>52</v>
      </c>
      <c r="AI167" s="1">
        <f>VLOOKUP(A167,'SegEnds_NonXtal_Prot#'!A:AL,31,FALSE)-VLOOKUP(A167,'SegEnds_NonXtal_Prot#'!A:AL,28,FALSE)</f>
        <v>64</v>
      </c>
      <c r="AJ167" s="1">
        <f>VLOOKUP(A167,'SegEnds_NonXtal_Prot#'!A:AL,34,FALSE)-VLOOKUP(A167,'SegEnds_NonXtal_Prot#'!A:AL,31,FALSE)</f>
        <v>35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393</v>
      </c>
      <c r="B168" s="1" t="str">
        <f>VLOOKUP(A168,Xtal_Templ!A:B,2,FALSE)</f>
        <v>5ht1b_human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v>38</v>
      </c>
      <c r="P168" s="1">
        <f>VLOOKUP($B168&amp;"__wt",'SegEnds_Xtal_BW#'!$A:$Z,16,FALSE)</f>
        <v>63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INDEX(ICL3_classA!$G$2:$G$39,MATCH(MIN(ABS(AI168-ICL3_classA!$F$2:$F$39)),ABS(AI168-ICL3_classA!$F$2:$F$39),0))</f>
        <v>74</v>
      </c>
      <c r="U168" s="1">
        <f t="array" ref="U168">INDEX(ICL3_classA!$H$2:$H$39,MATCH(MIN(ABS(AI168-ICL3_classA!$F$2:$F$39)),ABS(AI168-ICL3_classA!$F$2:$F$39),0))</f>
        <v>21</v>
      </c>
      <c r="V168" s="1">
        <v>61</v>
      </c>
      <c r="W168" s="1"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19</v>
      </c>
      <c r="AH168" s="1">
        <f>VLOOKUP(A168,'SegEnds_NonXtal_Prot#'!A:AL,28,FALSE)-VLOOKUP(A168,'SegEnds_NonXtal_Prot#'!A:AL,22,FALSE)</f>
        <v>52</v>
      </c>
      <c r="AI168" s="1">
        <f>VLOOKUP(A168,'SegEnds_NonXtal_Prot#'!A:AL,31,FALSE)-VLOOKUP(A168,'SegEnds_NonXtal_Prot#'!A:AL,28,FALSE)</f>
        <v>64</v>
      </c>
      <c r="AJ168" s="1">
        <f>VLOOKUP(A168,'SegEnds_NonXtal_Prot#'!A:AL,34,FALSE)-VLOOKUP(A168,'SegEnds_NonXtal_Prot#'!A:AL,31,FALSE)</f>
        <v>35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143</v>
      </c>
      <c r="B169" s="1" t="str">
        <f>VLOOKUP(A169,Xtal_Templ!A:B,2,FALSE)</f>
        <v>ccr2_human</v>
      </c>
      <c r="C169" s="5">
        <f>VLOOKUP($B169&amp;"__wt",'SegEnds_Xtal_BW#'!$A:$Z,3,FALSE)</f>
        <v>27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08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f>VLOOKUP($B169&amp;"__wt",'SegEnds_Xtal_BW#'!$A:$Z,14,FALSE)</f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31</v>
      </c>
      <c r="T169" s="1">
        <f t="array" ref="T169">INDEX(ICL3_classA!$G$2:$G$39,MATCH(MIN(ABS(AI169-ICL3_classA!$F$2:$F$39)),ABS(AI169-ICL3_classA!$F$2:$F$39),0))</f>
        <v>68</v>
      </c>
      <c r="U169" s="1">
        <f t="array" ref="U169">INDEX(ICL3_classA!$H$2:$H$39,MATCH(MIN(ABS(AI169-ICL3_classA!$F$2:$F$39)),ABS(AI169-ICL3_classA!$F$2:$F$39),0))</f>
        <v>30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18</v>
      </c>
      <c r="AE169" s="1">
        <f>VLOOKUP(A169,'SegEnds_NonXtal_Prot#'!A:AL,16,FALSE)-VLOOKUP(A169,'SegEnds_NonXtal_Prot#'!A:AL,10,FALSE)</f>
        <v>50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27</v>
      </c>
      <c r="AH169" s="1">
        <f>VLOOKUP(A169,'SegEnds_NonXtal_Prot#'!A:AL,28,FALSE)-VLOOKUP(A169,'SegEnds_NonXtal_Prot#'!A:AL,22,FALSE)</f>
        <v>53</v>
      </c>
      <c r="AI169" s="1">
        <f>VLOOKUP(A169,'SegEnds_NonXtal_Prot#'!A:AL,31,FALSE)-VLOOKUP(A169,'SegEnds_NonXtal_Prot#'!A:AL,28,FALSE)</f>
        <v>43</v>
      </c>
      <c r="AJ169" s="1">
        <f>VLOOKUP(A169,'SegEnds_NonXtal_Prot#'!A:AL,34,FALSE)-VLOOKUP(A169,'SegEnds_NonXtal_Prot#'!A:AL,31,FALSE)</f>
        <v>44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125</v>
      </c>
      <c r="B170" s="1" t="str">
        <f>VLOOKUP(A170,Xtal_Templ!A:B,2,FALSE)</f>
        <v>adrb2_human</v>
      </c>
      <c r="C170" s="5">
        <f>VLOOKUP($B170&amp;"__wt",'SegEnds_Xtal_BW#'!$A:$Z,3,FALSE)</f>
        <v>25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35</v>
      </c>
      <c r="T170" s="1">
        <f t="array" ref="T170">INDEX(ICL3_classA!$G$2:$G$39,MATCH(MIN(ABS(AI170-ICL3_classA!$F$2:$F$39)),ABS(AI170-ICL3_classA!$F$2:$F$39),0))</f>
        <v>74</v>
      </c>
      <c r="U170" s="1">
        <f t="array" ref="U170">INDEX(ICL3_classA!$H$2:$H$39,MATCH(MIN(ABS(AI170-ICL3_classA!$F$2:$F$39)),ABS(AI170-ICL3_classA!$F$2:$F$39),0))</f>
        <v>24</v>
      </c>
      <c r="V170" s="1">
        <v>61</v>
      </c>
      <c r="W170" s="1">
        <v>31</v>
      </c>
      <c r="X170" s="1">
        <f>VLOOKUP($B170&amp;"__wt",'SegEnds_Xtal_BW#'!$A:$Z,24,FALSE)</f>
        <v>55</v>
      </c>
      <c r="Y170" s="1">
        <f>VLOOKUP($B170&amp;"__wt",'SegEnds_Xtal_BW#'!$A:$Z,25,FALSE)</f>
        <v>47</v>
      </c>
      <c r="Z170" s="1">
        <f>VLOOKUP($B170&amp;"__wt",'SegEnds_Xtal_BW#'!$A:$Z,26,FALSE)</f>
        <v>59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20</v>
      </c>
      <c r="AH170" s="1">
        <f>VLOOKUP(A170,'SegEnds_NonXtal_Prot#'!A:AL,28,FALSE)-VLOOKUP(A170,'SegEnds_NonXtal_Prot#'!A:AL,22,FALSE)</f>
        <v>53</v>
      </c>
      <c r="AI170" s="1">
        <f>VLOOKUP(A170,'SegEnds_NonXtal_Prot#'!A:AL,31,FALSE)-VLOOKUP(A170,'SegEnds_NonXtal_Prot#'!A:AL,28,FALSE)</f>
        <v>103</v>
      </c>
      <c r="AJ170" s="1">
        <f>VLOOKUP(A170,'SegEnds_NonXtal_Prot#'!A:AL,34,FALSE)-VLOOKUP(A170,'SegEnds_NonXtal_Prot#'!A:AL,31,FALSE)</f>
        <v>35</v>
      </c>
      <c r="AK170" s="1">
        <f>VLOOKUP(A170,'SegEnds_NonXtal_Prot#'!A:AL,37,FALSE)-VLOOKUP(A170,'SegEnds_NonXtal_Prot#'!A:AL,34,FALSE)</f>
        <v>9</v>
      </c>
      <c r="AL170" s="1" t="str">
        <f>IF(ISERROR(MATCH(A170,'SegEnds_Xtal_Prot#'!B:B, 0)), "NoXtal", "Xtal")</f>
        <v>NoXtal</v>
      </c>
    </row>
    <row r="171" spans="1:38" x14ac:dyDescent="0.2">
      <c r="A171" s="1" t="s">
        <v>911</v>
      </c>
      <c r="B171" s="1" t="str">
        <f>VLOOKUP(A171,Xtal_Templ!A:B,2,FALSE)</f>
        <v>adrb1_melga</v>
      </c>
      <c r="C171" s="5">
        <f>VLOOKUP($B171&amp;"__wt",'SegEnds_Xtal_BW#'!$A:$Z,3,FALSE)</f>
        <v>24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f>VLOOKUP($B171&amp;"__wt",'SegEnds_Xtal_BW#'!$A:$Z,14,FALSE)</f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35</v>
      </c>
      <c r="T171" s="1">
        <f t="array" ref="T171">INDEX(ICL3_classA!$G$2:$G$39,MATCH(MIN(ABS(AI171-ICL3_classA!$F$2:$F$39)),ABS(AI171-ICL3_classA!$F$2:$F$39),0))</f>
        <v>76</v>
      </c>
      <c r="U171" s="1">
        <v>20</v>
      </c>
      <c r="V171" s="1">
        <v>61</v>
      </c>
      <c r="W171" s="1">
        <v>31</v>
      </c>
      <c r="X171" s="1">
        <f>VLOOKUP($B171&amp;"__wt",'SegEnds_Xtal_BW#'!$A:$Z,24,FALSE)</f>
        <v>55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20</v>
      </c>
      <c r="AH171" s="1">
        <f>VLOOKUP(A171,'SegEnds_NonXtal_Prot#'!A:AL,28,FALSE)-VLOOKUP(A171,'SegEnds_NonXtal_Prot#'!A:AL,22,FALSE)</f>
        <v>53</v>
      </c>
      <c r="AI171" s="1">
        <f>VLOOKUP(A171,'SegEnds_NonXtal_Prot#'!A:AL,31,FALSE)-VLOOKUP(A171,'SegEnds_NonXtal_Prot#'!A:AL,28,FALSE)</f>
        <v>86</v>
      </c>
      <c r="AJ171" s="1">
        <f>VLOOKUP(A171,'SegEnds_NonXtal_Prot#'!A:AL,34,FALSE)-VLOOKUP(A171,'SegEnds_NonXtal_Prot#'!A:AL,31,FALSE)</f>
        <v>35</v>
      </c>
      <c r="AK171" s="1">
        <f>VLOOKUP(A171,'SegEnds_NonXtal_Prot#'!A:AL,37,FALSE)-VLOOKUP(A171,'SegEnds_NonXtal_Prot#'!A:AL,34,FALSE)</f>
        <v>9</v>
      </c>
      <c r="AL171" s="1" t="str">
        <f>IF(ISERROR(MATCH(A171,'SegEnds_Xtal_Prot#'!B:B, 0)), "NoXtal", "Xtal")</f>
        <v>Xtal</v>
      </c>
    </row>
    <row r="172" spans="1:38" x14ac:dyDescent="0.2">
      <c r="A172" s="1" t="s">
        <v>126</v>
      </c>
      <c r="B172" s="1" t="str">
        <f>VLOOKUP(A172,Xtal_Templ!A:B,2,FALSE)</f>
        <v>adrb2_human</v>
      </c>
      <c r="C172" s="5">
        <f>VLOOKUP($B172&amp;"__wt",'SegEnds_Xtal_BW#'!$A:$Z,3,FALSE)</f>
        <v>25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f>VLOOKUP($B172&amp;"__wt",'SegEnds_Xtal_BW#'!$A:$Z,14,FALSE)</f>
        <v>57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35</v>
      </c>
      <c r="T172" s="1">
        <f t="array" ref="T172">INDEX(ICL3_classA!$G$2:$G$39,MATCH(MIN(ABS(AI172-ICL3_classA!$F$2:$F$39)),ABS(AI172-ICL3_classA!$F$2:$F$39),0))</f>
        <v>76</v>
      </c>
      <c r="U172" s="1">
        <f t="array" ref="U172">INDEX(ICL3_classA!$H$2:$H$39,MATCH(MIN(ABS(AI172-ICL3_classA!$F$2:$F$39)),ABS(AI172-ICL3_classA!$F$2:$F$39),0))</f>
        <v>24</v>
      </c>
      <c r="V172" s="1">
        <v>61</v>
      </c>
      <c r="W172" s="1">
        <v>31</v>
      </c>
      <c r="X172" s="1">
        <f>VLOOKUP($B172&amp;"__wt",'SegEnds_Xtal_BW#'!$A:$Z,24,FALSE)</f>
        <v>55</v>
      </c>
      <c r="Y172" s="1">
        <f>VLOOKUP($B172&amp;"__wt",'SegEnds_Xtal_BW#'!$A:$Z,25,FALSE)</f>
        <v>47</v>
      </c>
      <c r="Z172" s="1">
        <f>VLOOKUP($B172&amp;"__wt",'SegEnds_Xtal_BW#'!$A:$Z,26,FALSE)</f>
        <v>59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20</v>
      </c>
      <c r="AH172" s="1">
        <f>VLOOKUP(A172,'SegEnds_NonXtal_Prot#'!A:AL,28,FALSE)-VLOOKUP(A172,'SegEnds_NonXtal_Prot#'!A:AL,22,FALSE)</f>
        <v>53</v>
      </c>
      <c r="AI172" s="1">
        <f>VLOOKUP(A172,'SegEnds_NonXtal_Prot#'!A:AL,31,FALSE)-VLOOKUP(A172,'SegEnds_NonXtal_Prot#'!A:AL,28,FALSE)</f>
        <v>77</v>
      </c>
      <c r="AJ172" s="1">
        <f>VLOOKUP(A172,'SegEnds_NonXtal_Prot#'!A:AL,34,FALSE)-VLOOKUP(A172,'SegEnds_NonXtal_Prot#'!A:AL,31,FALSE)</f>
        <v>35</v>
      </c>
      <c r="AK172" s="1">
        <f>VLOOKUP(A172,'SegEnds_NonXtal_Prot#'!A:AL,37,FALSE)-VLOOKUP(A172,'SegEnds_NonXtal_Prot#'!A:AL,34,FALSE)</f>
        <v>9</v>
      </c>
      <c r="AL172" s="1" t="str">
        <f>IF(ISERROR(MATCH(A172,'SegEnds_Xtal_Prot#'!B:B, 0)), "NoXtal", "Xtal")</f>
        <v>Xtal</v>
      </c>
    </row>
    <row r="173" spans="1:38" x14ac:dyDescent="0.2">
      <c r="A173" s="1" t="s">
        <v>165</v>
      </c>
      <c r="B173" s="1" t="str">
        <f>VLOOKUP(A173,Xtal_Templ!A:B,2,FALSE)</f>
        <v>c5ar1_human</v>
      </c>
      <c r="C173" s="5">
        <f>VLOOKUP($B173&amp;"__wt",'SegEnds_Xtal_BW#'!$A:$Z,3,FALSE)</f>
        <v>29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31</v>
      </c>
      <c r="T173" s="1">
        <f t="array" ref="T173">INDEX(ICL3_classA!$G$2:$G$39,MATCH(MIN(ABS(AI173-ICL3_classA!$F$2:$F$39)),ABS(AI173-ICL3_classA!$F$2:$F$39),0))</f>
        <v>68</v>
      </c>
      <c r="U173" s="108">
        <v>31</v>
      </c>
      <c r="V173" s="1">
        <v>61</v>
      </c>
      <c r="W173" s="108">
        <v>25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56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27</v>
      </c>
      <c r="AC173" s="1" t="e">
        <f>VLOOKUP(A173,'SegEnds_NonXtal_Prot#'!A:AL,10,FALSE)-VLOOKUP(A173,'SegEnds_NonXtal_Prot#'!A:AL,7,FALSE)</f>
        <v>#VALUE!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26</v>
      </c>
      <c r="AH173" s="1">
        <f>VLOOKUP(A173,'SegEnds_NonXtal_Prot#'!A:AL,28,FALSE)-VLOOKUP(A173,'SegEnds_NonXtal_Prot#'!A:AL,22,FALSE)</f>
        <v>53</v>
      </c>
      <c r="AI173" s="1">
        <f>VLOOKUP(A173,'SegEnds_NonXtal_Prot#'!A:AL,31,FALSE)-VLOOKUP(A173,'SegEnds_NonXtal_Prot#'!A:AL,28,FALSE)</f>
        <v>43</v>
      </c>
      <c r="AJ173" s="1">
        <f>VLOOKUP(A173,'SegEnds_NonXtal_Prot#'!A:AL,34,FALSE)-VLOOKUP(A173,'SegEnds_NonXtal_Prot#'!A:AL,31,FALSE)</f>
        <v>40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Xtal</v>
      </c>
    </row>
    <row r="174" spans="1:38" x14ac:dyDescent="0.2">
      <c r="A174" s="1" t="s">
        <v>166</v>
      </c>
      <c r="B174" s="1" t="str">
        <f>VLOOKUP(A174,Xtal_Templ!A:B,2,FALSE)</f>
        <v>c5ar1_human</v>
      </c>
      <c r="C174" s="5">
        <f>VLOOKUP($B174&amp;"__wt",'SegEnds_Xtal_BW#'!$A:$Z,3,FALSE)</f>
        <v>29</v>
      </c>
      <c r="D174" s="1">
        <f>VLOOKUP($B174&amp;"__wt",'SegEnds_Xtal_BW#'!$A:$Z,4,FALSE)</f>
        <v>60</v>
      </c>
      <c r="E174" s="1" t="str">
        <f>VLOOKUP($B174&amp;"__wt",'SegEnds_Xtal_BW#'!$A:$Z,5,FALSE)</f>
        <v>-</v>
      </c>
      <c r="F174" s="1" t="str">
        <f>VLOOKUP($B174&amp;"__wt",'SegEnds_Xtal_BW#'!$A:$Z,6,FALSE)</f>
        <v>-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7"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INDEX(ICL3_classA!$G$2:$G$39,MATCH(MIN(ABS(AI174-ICL3_classA!$F$2:$F$39)),ABS(AI174-ICL3_classA!$F$2:$F$39),0))</f>
        <v>64</v>
      </c>
      <c r="U174" s="108">
        <v>31</v>
      </c>
      <c r="V174" s="1">
        <v>61</v>
      </c>
      <c r="W174" s="108">
        <v>25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56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27</v>
      </c>
      <c r="AC174" s="1" t="e">
        <f>VLOOKUP(A174,'SegEnds_NonXtal_Prot#'!A:AL,10,FALSE)-VLOOKUP(A174,'SegEnds_NonXtal_Prot#'!A:AL,7,FALSE)</f>
        <v>#VALUE!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26</v>
      </c>
      <c r="AH174" s="1">
        <f>VLOOKUP(A174,'SegEnds_NonXtal_Prot#'!A:AL,28,FALSE)-VLOOKUP(A174,'SegEnds_NonXtal_Prot#'!A:AL,22,FALSE)</f>
        <v>53</v>
      </c>
      <c r="AI174" s="1">
        <f>VLOOKUP(A174,'SegEnds_NonXtal_Prot#'!A:AL,31,FALSE)-VLOOKUP(A174,'SegEnds_NonXtal_Prot#'!A:AL,28,FALSE)</f>
        <v>36</v>
      </c>
      <c r="AJ174" s="1">
        <f>VLOOKUP(A174,'SegEnds_NonXtal_Prot#'!A:AL,34,FALSE)-VLOOKUP(A174,'SegEnds_NonXtal_Prot#'!A:AL,31,FALSE)</f>
        <v>40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168</v>
      </c>
      <c r="B175" s="1" t="str">
        <f>VLOOKUP(A175,Xtal_Templ!A:B,2,FALSE)</f>
        <v>ccr5_human</v>
      </c>
      <c r="C175" s="5">
        <f>VLOOKUP($B175&amp;"__wt",'SegEnds_Xtal_BW#'!$A:$Z,3,FALSE)</f>
        <v>24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21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f>VLOOKUP($B175&amp;"__wt",'SegEnds_Xtal_BW#'!$A:$Z,14,FALSE)</f>
        <v>57</v>
      </c>
      <c r="O175" s="87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30</v>
      </c>
      <c r="T175" s="1">
        <f t="array" ref="T175">INDEX(ICL3_classA!$G$2:$G$39,MATCH(MIN(ABS(AI175-ICL3_classA!$F$2:$F$39)),ABS(AI175-ICL3_classA!$F$2:$F$39),0))</f>
        <v>68</v>
      </c>
      <c r="U175" s="1">
        <f t="array" ref="U175">INDEX(ICL3_classA!$H$2:$H$39,MATCH(MIN(ABS(AI175-ICL3_classA!$F$2:$F$39)),ABS(AI175-ICL3_classA!$F$2:$F$39),0))</f>
        <v>30</v>
      </c>
      <c r="V175" s="1">
        <v>65</v>
      </c>
      <c r="W175" s="1">
        <v>24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19</v>
      </c>
      <c r="AE175" s="1">
        <f>VLOOKUP(A175,'SegEnds_NonXtal_Prot#'!A:AL,16,FALSE)-VLOOKUP(A175,'SegEnds_NonXtal_Prot#'!A:AL,10,FALSE)</f>
        <v>51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28</v>
      </c>
      <c r="AH175" s="1">
        <f>VLOOKUP(A175,'SegEnds_NonXtal_Prot#'!A:AL,28,FALSE)-VLOOKUP(A175,'SegEnds_NonXtal_Prot#'!A:AL,22,FALSE)</f>
        <v>53</v>
      </c>
      <c r="AI175" s="1">
        <f>VLOOKUP(A175,'SegEnds_NonXtal_Prot#'!A:AL,31,FALSE)-VLOOKUP(A175,'SegEnds_NonXtal_Prot#'!A:AL,28,FALSE)</f>
        <v>43</v>
      </c>
      <c r="AJ175" s="1">
        <f>VLOOKUP(A175,'SegEnds_NonXtal_Prot#'!A:AL,34,FALSE)-VLOOKUP(A175,'SegEnds_NonXtal_Prot#'!A:AL,31,FALSE)</f>
        <v>44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169</v>
      </c>
      <c r="B176" s="1" t="str">
        <f>VLOOKUP(A176,Xtal_Templ!A:B,2,FALSE)</f>
        <v>ccr7_human</v>
      </c>
      <c r="C176" s="5">
        <f>VLOOKUP($B176&amp;"__wt",'SegEnds_Xtal_BW#'!$A:$Z,3,FALSE)</f>
        <v>29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24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58</v>
      </c>
      <c r="O176" s="87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33</v>
      </c>
      <c r="T176" s="1">
        <f t="array" ref="T176">INDEX(ICL3_classA!$G$2:$G$39,MATCH(MIN(ABS(AI176-ICL3_classA!$F$2:$F$39)),ABS(AI176-ICL3_classA!$F$2:$F$39),0))</f>
        <v>68</v>
      </c>
      <c r="U176" s="1">
        <f t="array" ref="U176">INDEX(ICL3_classA!$H$2:$H$39,MATCH(MIN(ABS(AI176-ICL3_classA!$F$2:$F$39)),ABS(AI176-ICL3_classA!$F$2:$F$39),0))</f>
        <v>30</v>
      </c>
      <c r="V176" s="1">
        <v>65</v>
      </c>
      <c r="W176" s="1">
        <v>24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29</v>
      </c>
      <c r="AC176" s="1">
        <f>VLOOKUP(A176,'SegEnds_NonXtal_Prot#'!A:AL,10,FALSE)-VLOOKUP(A176,'SegEnds_NonXtal_Prot#'!A:AL,7,FALSE)</f>
        <v>16</v>
      </c>
      <c r="AD176" s="1">
        <f>VLOOKUP(A176,'SegEnds_NonXtal_Prot#'!A:AL,13,FALSE)-VLOOKUP(A176,'SegEnds_NonXtal_Prot#'!A:AL,10,FALSE)</f>
        <v>18</v>
      </c>
      <c r="AE176" s="1">
        <f>VLOOKUP(A176,'SegEnds_NonXtal_Prot#'!A:AL,16,FALSE)-VLOOKUP(A176,'SegEnds_NonXtal_Prot#'!A:AL,10,FALSE)</f>
        <v>50</v>
      </c>
      <c r="AF176" s="1" t="e">
        <f>VLOOKUP(A176,'SegEnds_NonXtal_Prot#'!A:AL,22,FALSE)-VLOOKUP(A176,'SegEnds_NonXtal_Prot#'!A:AL,19,FALSE)</f>
        <v>#VALUE!</v>
      </c>
      <c r="AG176" s="1">
        <f>VLOOKUP(A176,'SegEnds_NonXtal_Prot#'!A:AL,28,FALSE)-VLOOKUP(A176,'SegEnds_NonXtal_Prot#'!A:AL,25,FALSE)</f>
        <v>28</v>
      </c>
      <c r="AH176" s="1">
        <f>VLOOKUP(A176,'SegEnds_NonXtal_Prot#'!A:AL,28,FALSE)-VLOOKUP(A176,'SegEnds_NonXtal_Prot#'!A:AL,22,FALSE)</f>
        <v>53</v>
      </c>
      <c r="AI176" s="1">
        <f>VLOOKUP(A176,'SegEnds_NonXtal_Prot#'!A:AL,31,FALSE)-VLOOKUP(A176,'SegEnds_NonXtal_Prot#'!A:AL,28,FALSE)</f>
        <v>43</v>
      </c>
      <c r="AJ176" s="1">
        <f>VLOOKUP(A176,'SegEnds_NonXtal_Prot#'!A:AL,34,FALSE)-VLOOKUP(A176,'SegEnds_NonXtal_Prot#'!A:AL,31,FALSE)</f>
        <v>45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171</v>
      </c>
      <c r="B177" s="1" t="str">
        <f>VLOOKUP(A177,Xtal_Templ!A:B,2,FALSE)</f>
        <v>ccr5_human</v>
      </c>
      <c r="C177" s="5">
        <f>VLOOKUP($B177&amp;"__wt",'SegEnds_Xtal_BW#'!$A:$Z,3,FALSE)</f>
        <v>24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INDEX(ICL3_classA!$G$2:$G$39,MATCH(MIN(ABS(AI177-ICL3_classA!$F$2:$F$39)),ABS(AI177-ICL3_classA!$F$2:$F$39),0))</f>
        <v>68</v>
      </c>
      <c r="U177" s="1">
        <f t="array" ref="U177">INDEX(ICL3_classA!$H$2:$H$39,MATCH(MIN(ABS(AI177-ICL3_classA!$F$2:$F$39)),ABS(AI177-ICL3_classA!$F$2:$F$39),0))</f>
        <v>30</v>
      </c>
      <c r="V177" s="1">
        <v>65</v>
      </c>
      <c r="W177" s="1">
        <v>24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19</v>
      </c>
      <c r="AE177" s="1">
        <f>VLOOKUP(A177,'SegEnds_NonXtal_Prot#'!A:AL,16,FALSE)-VLOOKUP(A177,'SegEnds_NonXtal_Prot#'!A:AL,10,FALSE)</f>
        <v>51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28</v>
      </c>
      <c r="AH177" s="1">
        <f>VLOOKUP(A177,'SegEnds_NonXtal_Prot#'!A:AL,28,FALSE)-VLOOKUP(A177,'SegEnds_NonXtal_Prot#'!A:AL,22,FALSE)</f>
        <v>53</v>
      </c>
      <c r="AI177" s="1">
        <f>VLOOKUP(A177,'SegEnds_NonXtal_Prot#'!A:AL,31,FALSE)-VLOOKUP(A177,'SegEnds_NonXtal_Prot#'!A:AL,28,FALSE)</f>
        <v>43</v>
      </c>
      <c r="AJ177" s="1">
        <f>VLOOKUP(A177,'SegEnds_NonXtal_Prot#'!A:AL,34,FALSE)-VLOOKUP(A177,'SegEnds_NonXtal_Prot#'!A:AL,31,FALSE)</f>
        <v>44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173</v>
      </c>
      <c r="B178" s="1" t="str">
        <f>VLOOKUP(A178,Xtal_Templ!A:B,2,FALSE)</f>
        <v>ccr5_human</v>
      </c>
      <c r="C178" s="5">
        <f>VLOOKUP($B178&amp;"__wt",'SegEnds_Xtal_BW#'!$A:$Z,3,FALSE)</f>
        <v>24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24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57</v>
      </c>
      <c r="O178" s="87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30</v>
      </c>
      <c r="T178" s="1">
        <f t="array" ref="T178">INDEX(ICL3_classA!$G$2:$G$39,MATCH(MIN(ABS(AI178-ICL3_classA!$F$2:$F$39)),ABS(AI178-ICL3_classA!$F$2:$F$39),0))</f>
        <v>68</v>
      </c>
      <c r="U178" s="1">
        <f t="array" ref="U178">INDEX(ICL3_classA!$H$2:$H$39,MATCH(MIN(ABS(AI178-ICL3_classA!$F$2:$F$39)),ABS(AI178-ICL3_classA!$F$2:$F$39),0))</f>
        <v>28</v>
      </c>
      <c r="V178" s="1">
        <v>65</v>
      </c>
      <c r="W178" s="1">
        <v>24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59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18</v>
      </c>
      <c r="AE178" s="1">
        <f>VLOOKUP(A178,'SegEnds_NonXtal_Prot#'!A:AL,16,FALSE)-VLOOKUP(A178,'SegEnds_NonXtal_Prot#'!A:AL,10,FALSE)</f>
        <v>50</v>
      </c>
      <c r="AF178" s="1">
        <f>VLOOKUP(A178,'SegEnds_NonXtal_Prot#'!A:AL,22,FALSE)-VLOOKUP(A178,'SegEnds_NonXtal_Prot#'!A:AL,19,FALSE)</f>
        <v>20</v>
      </c>
      <c r="AG178" s="1">
        <f>VLOOKUP(A178,'SegEnds_NonXtal_Prot#'!A:AL,28,FALSE)-VLOOKUP(A178,'SegEnds_NonXtal_Prot#'!A:AL,25,FALSE)</f>
        <v>28</v>
      </c>
      <c r="AH178" s="1">
        <f>VLOOKUP(A178,'SegEnds_NonXtal_Prot#'!A:AL,28,FALSE)-VLOOKUP(A178,'SegEnds_NonXtal_Prot#'!A:AL,22,FALSE)</f>
        <v>53</v>
      </c>
      <c r="AI178" s="1">
        <f>VLOOKUP(A178,'SegEnds_NonXtal_Prot#'!A:AL,31,FALSE)-VLOOKUP(A178,'SegEnds_NonXtal_Prot#'!A:AL,28,FALSE)</f>
        <v>44</v>
      </c>
      <c r="AJ178" s="1">
        <f>VLOOKUP(A178,'SegEnds_NonXtal_Prot#'!A:AL,34,FALSE)-VLOOKUP(A178,'SegEnds_NonXtal_Prot#'!A:AL,31,FALSE)</f>
        <v>44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2" t="s">
        <v>177</v>
      </c>
      <c r="B179" s="12" t="str">
        <f>VLOOKUP(A179,Xtal_Templ!A:B,2,FALSE)</f>
        <v>ccr9_human</v>
      </c>
      <c r="C179" s="13">
        <f>VLOOKUP($B179&amp;"__wt",'SegEnds_Xtal_BW#'!$A:$Z,3,FALSE)</f>
        <v>27</v>
      </c>
      <c r="D179" s="12">
        <f>VLOOKUP($B179&amp;"__wt",'SegEnds_Xtal_BW#'!$A:$Z,4,FALSE)</f>
        <v>60</v>
      </c>
      <c r="E179" s="12">
        <f>VLOOKUP($B179&amp;"__wt",'SegEnds_Xtal_BW#'!$A:$Z,5,FALSE)</f>
        <v>48</v>
      </c>
      <c r="F179" s="12">
        <f>VLOOKUP($B179&amp;"__wt",'SegEnds_Xtal_BW#'!$A:$Z,6,FALSE)</f>
        <v>51</v>
      </c>
      <c r="G179" s="12">
        <v>37</v>
      </c>
      <c r="H179" s="12">
        <v>66</v>
      </c>
      <c r="I179" s="12">
        <f>VLOOKUP($B179&amp;"__wt",'SegEnds_Xtal_BW#'!$A:$Z,9,FALSE)</f>
        <v>49</v>
      </c>
      <c r="J179" s="12">
        <f>VLOOKUP($B179&amp;"__wt",'SegEnds_Xtal_BW#'!$A:$Z,10,FALSE)</f>
        <v>52</v>
      </c>
      <c r="K179" s="12">
        <v>24</v>
      </c>
      <c r="L179" s="12">
        <f>VLOOKUP($B179&amp;"__wt",'SegEnds_Xtal_BW#'!$A:$Z,12,FALSE)</f>
        <v>56</v>
      </c>
      <c r="M179" s="12">
        <f>VLOOKUP($B179&amp;"__wt",'SegEnds_Xtal_BW#'!$A:$Z,13,FALSE)</f>
        <v>50</v>
      </c>
      <c r="N179" s="12">
        <f>VLOOKUP($B179&amp;"__wt",'SegEnds_Xtal_BW#'!$A:$Z,14,FALSE)</f>
        <v>56</v>
      </c>
      <c r="O179" s="87">
        <f>VLOOKUP($B179&amp;"__wt",'SegEnds_Xtal_BW#'!$A:$Z,15,FALSE)</f>
        <v>35</v>
      </c>
      <c r="P179" s="12">
        <f>VLOOKUP($B179&amp;"__wt",'SegEnds_Xtal_BW#'!$A:$Z,16,FALSE)</f>
        <v>64</v>
      </c>
      <c r="Q179" s="12">
        <f>VLOOKUP($B179&amp;"__wt",'SegEnds_Xtal_BW#'!$A:$Z,17,FALSE)</f>
        <v>50</v>
      </c>
      <c r="R179" s="12">
        <f>VLOOKUP($B179&amp;"__wt",'SegEnds_Xtal_BW#'!$A:$Z,18,FALSE)</f>
        <v>52</v>
      </c>
      <c r="S179" s="12">
        <f>VLOOKUP($B179&amp;"__wt",'SegEnds_Xtal_BW#'!$A:$Z,19,FALSE)</f>
        <v>33</v>
      </c>
      <c r="T179" s="12">
        <f t="array" ref="T179">INDEX(ICL3_classA!$G$2:$G$39,MATCH(MIN(ABS(AI179-ICL3_classA!$F$2:$F$39)),ABS(AI179-ICL3_classA!$F$2:$F$39),0))</f>
        <v>68</v>
      </c>
      <c r="U179" s="12">
        <f t="array" ref="U179">INDEX(ICL3_classA!$H$2:$H$39,MATCH(MIN(ABS(AI179-ICL3_classA!$F$2:$F$39)),ABS(AI179-ICL3_classA!$F$2:$F$39),0))</f>
        <v>30</v>
      </c>
      <c r="V179" s="12">
        <v>65</v>
      </c>
      <c r="W179" s="12">
        <v>24</v>
      </c>
      <c r="X179" s="12">
        <f>VLOOKUP($B179&amp;"__wt",'SegEnds_Xtal_BW#'!$A:$Z,24,FALSE)</f>
        <v>56</v>
      </c>
      <c r="Y179" s="12">
        <f>VLOOKUP($B179&amp;"__wt",'SegEnds_Xtal_BW#'!$A:$Z,25,FALSE)</f>
        <v>47</v>
      </c>
      <c r="Z179" s="12">
        <f>VLOOKUP($B179&amp;"__wt",'SegEnds_Xtal_BW#'!$A:$Z,26,FALSE)</f>
        <v>67</v>
      </c>
      <c r="AA179" s="36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2">
        <f>VLOOKUP(A179,'SegEnds_NonXtal_Prot#'!A:AL,10,FALSE)-VLOOKUP(A179,'SegEnds_NonXtal_Prot#'!A:AL,7,FALSE)</f>
        <v>15</v>
      </c>
      <c r="AD179" s="12">
        <f>VLOOKUP(A179,'SegEnds_NonXtal_Prot#'!A:AL,13,FALSE)-VLOOKUP(A179,'SegEnds_NonXtal_Prot#'!A:AL,10,FALSE)</f>
        <v>18</v>
      </c>
      <c r="AE179" s="12">
        <f>VLOOKUP(A179,'SegEnds_NonXtal_Prot#'!A:AL,16,FALSE)-VLOOKUP(A179,'SegEnds_NonXtal_Prot#'!A:AL,10,FALSE)</f>
        <v>50</v>
      </c>
      <c r="AF179" s="1">
        <f>VLOOKUP(A179,'SegEnds_NonXtal_Prot#'!A:AL,22,FALSE)-VLOOKUP(A179,'SegEnds_NonXtal_Prot#'!A:AL,19,FALSE)</f>
        <v>22</v>
      </c>
      <c r="AG179" s="12">
        <f>VLOOKUP(A179,'SegEnds_NonXtal_Prot#'!A:AL,28,FALSE)-VLOOKUP(A179,'SegEnds_NonXtal_Prot#'!A:AL,25,FALSE)</f>
        <v>28</v>
      </c>
      <c r="AH179" s="1">
        <f>VLOOKUP(A179,'SegEnds_NonXtal_Prot#'!A:AL,28,FALSE)-VLOOKUP(A179,'SegEnds_NonXtal_Prot#'!A:AL,22,FALSE)</f>
        <v>53</v>
      </c>
      <c r="AI179" s="12">
        <f>VLOOKUP(A179,'SegEnds_NonXtal_Prot#'!A:AL,31,FALSE)-VLOOKUP(A179,'SegEnds_NonXtal_Prot#'!A:AL,28,FALSE)</f>
        <v>43</v>
      </c>
      <c r="AJ179" s="12">
        <f>VLOOKUP(A179,'SegEnds_NonXtal_Prot#'!A:AL,34,FALSE)-VLOOKUP(A179,'SegEnds_NonXtal_Prot#'!A:AL,31,FALSE)</f>
        <v>45</v>
      </c>
      <c r="AK179" s="1">
        <f>VLOOKUP(A179,'SegEnds_NonXtal_Prot#'!A:AL,37,FALSE)-VLOOKUP(A179,'SegEnds_NonXtal_Prot#'!A:AL,34,FALSE)</f>
        <v>10</v>
      </c>
      <c r="AL179" s="12" t="str">
        <f>IF(ISERROR(MATCH(A179,'SegEnds_Xtal_Prot#'!B:B, 0)), "NoXtal", "Xtal")</f>
        <v>Xtal</v>
      </c>
    </row>
    <row r="180" spans="1:38" x14ac:dyDescent="0.2">
      <c r="A180" s="1" t="s">
        <v>179</v>
      </c>
      <c r="B180" s="1" t="str">
        <f>VLOOKUP(A180,Xtal_Templ!A:B,2,FALSE)</f>
        <v>cltr1_human</v>
      </c>
      <c r="C180" s="5">
        <f>VLOOKUP($B180&amp;"__wt",'SegEnds_Xtal_BW#'!$A:$Z,3,FALSE)</f>
        <v>20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63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28</v>
      </c>
      <c r="T180" s="1">
        <f t="array" ref="T180">INDEX(ICL3_classA!$G$2:$G$39,MATCH(MIN(ABS(AI180-ICL3_classA!$F$2:$F$39)),ABS(AI180-ICL3_classA!$F$2:$F$39),0))</f>
        <v>67</v>
      </c>
      <c r="U180" s="1">
        <f t="array" ref="U180">INDEX(ICL3_classA!$H$2:$H$39,MATCH(MIN(ABS(AI180-ICL3_classA!$F$2:$F$39)),ABS(AI180-ICL3_classA!$F$2:$F$39),0))</f>
        <v>26</v>
      </c>
      <c r="V180" s="1">
        <v>64</v>
      </c>
      <c r="W180" s="1">
        <v>24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28</v>
      </c>
      <c r="AH180" s="1">
        <f>VLOOKUP(A180,'SegEnds_NonXtal_Prot#'!A:AL,28,FALSE)-VLOOKUP(A180,'SegEnds_NonXtal_Prot#'!A:AL,22,FALSE)</f>
        <v>53</v>
      </c>
      <c r="AI180" s="1">
        <f>VLOOKUP(A180,'SegEnds_NonXtal_Prot#'!A:AL,31,FALSE)-VLOOKUP(A180,'SegEnds_NonXtal_Prot#'!A:AL,28,FALSE)</f>
        <v>47</v>
      </c>
      <c r="AJ180" s="1">
        <f>VLOOKUP(A180,'SegEnds_NonXtal_Prot#'!A:AL,34,FALSE)-VLOOKUP(A180,'SegEnds_NonXtal_Prot#'!A:AL,31,FALSE)</f>
        <v>44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Xtal</v>
      </c>
    </row>
    <row r="181" spans="1:38" x14ac:dyDescent="0.2">
      <c r="A181" s="1" t="s">
        <v>185</v>
      </c>
      <c r="B181" s="1" t="str">
        <f>VLOOKUP(A181,Xtal_Templ!A:B,2,FALSE)</f>
        <v>ccr7_human</v>
      </c>
      <c r="C181" s="5">
        <f>VLOOKUP($B181&amp;"__wt",'SegEnds_Xtal_BW#'!$A:$Z,3,FALSE)</f>
        <v>29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24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08">
        <v>56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33</v>
      </c>
      <c r="T181" s="1">
        <f t="array" ref="T181">INDEX(ICL3_classA!$G$2:$G$39,MATCH(MIN(ABS(AI181-ICL3_classA!$F$2:$F$39)),ABS(AI181-ICL3_classA!$F$2:$F$39),0))</f>
        <v>68</v>
      </c>
      <c r="U181" s="1">
        <f t="array" ref="U181">INDEX(ICL3_classA!$H$2:$H$39,MATCH(MIN(ABS(AI181-ICL3_classA!$F$2:$F$39)),ABS(AI181-ICL3_classA!$F$2:$F$39),0))</f>
        <v>30</v>
      </c>
      <c r="V181" s="1">
        <v>64</v>
      </c>
      <c r="W181" s="1">
        <v>24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59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18</v>
      </c>
      <c r="AE181" s="1">
        <f>VLOOKUP(A181,'SegEnds_NonXtal_Prot#'!A:AL,16,FALSE)-VLOOKUP(A181,'SegEnds_NonXtal_Prot#'!A:AL,10,FALSE)</f>
        <v>50</v>
      </c>
      <c r="AF181" s="1">
        <f>VLOOKUP(A181,'SegEnds_NonXtal_Prot#'!A:AL,22,FALSE)-VLOOKUP(A181,'SegEnds_NonXtal_Prot#'!A:AL,19,FALSE)</f>
        <v>19</v>
      </c>
      <c r="AG181" s="1">
        <f>VLOOKUP(A181,'SegEnds_NonXtal_Prot#'!A:AL,28,FALSE)-VLOOKUP(A181,'SegEnds_NonXtal_Prot#'!A:AL,25,FALSE)</f>
        <v>27</v>
      </c>
      <c r="AH181" s="1">
        <f>VLOOKUP(A181,'SegEnds_NonXtal_Prot#'!A:AL,28,FALSE)-VLOOKUP(A181,'SegEnds_NonXtal_Prot#'!A:AL,22,FALSE)</f>
        <v>53</v>
      </c>
      <c r="AI181" s="1">
        <f>VLOOKUP(A181,'SegEnds_NonXtal_Prot#'!A:AL,31,FALSE)-VLOOKUP(A181,'SegEnds_NonXtal_Prot#'!A:AL,28,FALSE)</f>
        <v>43</v>
      </c>
      <c r="AJ181" s="1">
        <f>VLOOKUP(A181,'SegEnds_NonXtal_Prot#'!A:AL,34,FALSE)-VLOOKUP(A181,'SegEnds_NonXtal_Prot#'!A:AL,31,FALSE)</f>
        <v>45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186</v>
      </c>
      <c r="B182" s="1" t="str">
        <f>VLOOKUP(A182,Xtal_Templ!A:B,2,FALSE)</f>
        <v>ccr7_human</v>
      </c>
      <c r="C182" s="5">
        <f>VLOOKUP($B182&amp;"__wt",'SegEnds_Xtal_BW#'!$A:$Z,3,FALSE)</f>
        <v>29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24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08">
        <v>56</v>
      </c>
      <c r="O182" s="108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33</v>
      </c>
      <c r="T182" s="1">
        <f t="array" ref="T182">INDEX(ICL3_classA!$G$2:$G$39,MATCH(MIN(ABS(AI182-ICL3_classA!$F$2:$F$39)),ABS(AI182-ICL3_classA!$F$2:$F$39),0))</f>
        <v>68</v>
      </c>
      <c r="U182" s="1">
        <f t="array" ref="U182">INDEX(ICL3_classA!$H$2:$H$39,MATCH(MIN(ABS(AI182-ICL3_classA!$F$2:$F$39)),ABS(AI182-ICL3_classA!$F$2:$F$39),0))</f>
        <v>30</v>
      </c>
      <c r="V182" s="1">
        <v>64</v>
      </c>
      <c r="W182" s="1">
        <v>24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59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18</v>
      </c>
      <c r="AE182" s="1">
        <f>VLOOKUP(A182,'SegEnds_NonXtal_Prot#'!A:AL,16,FALSE)-VLOOKUP(A182,'SegEnds_NonXtal_Prot#'!A:AL,10,FALSE)</f>
        <v>50</v>
      </c>
      <c r="AF182" s="1">
        <f>VLOOKUP(A182,'SegEnds_NonXtal_Prot#'!A:AL,22,FALSE)-VLOOKUP(A182,'SegEnds_NonXtal_Prot#'!A:AL,19,FALSE)</f>
        <v>19</v>
      </c>
      <c r="AG182" s="1">
        <f>VLOOKUP(A182,'SegEnds_NonXtal_Prot#'!A:AL,28,FALSE)-VLOOKUP(A182,'SegEnds_NonXtal_Prot#'!A:AL,25,FALSE)</f>
        <v>27</v>
      </c>
      <c r="AH182" s="1">
        <f>VLOOKUP(A182,'SegEnds_NonXtal_Prot#'!A:AL,28,FALSE)-VLOOKUP(A182,'SegEnds_NonXtal_Prot#'!A:AL,22,FALSE)</f>
        <v>53</v>
      </c>
      <c r="AI182" s="1">
        <f>VLOOKUP(A182,'SegEnds_NonXtal_Prot#'!A:AL,31,FALSE)-VLOOKUP(A182,'SegEnds_NonXtal_Prot#'!A:AL,28,FALSE)</f>
        <v>43</v>
      </c>
      <c r="AJ182" s="1">
        <f>VLOOKUP(A182,'SegEnds_NonXtal_Prot#'!A:AL,34,FALSE)-VLOOKUP(A182,'SegEnds_NonXtal_Prot#'!A:AL,31,FALSE)</f>
        <v>45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221</v>
      </c>
      <c r="B183" s="1" t="str">
        <f>VLOOKUP(A183,Xtal_Templ!A:B,2,FALSE)</f>
        <v>s1pr1_human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67</v>
      </c>
      <c r="I183" s="1">
        <f>VLOOKUP($B183&amp;"__wt",'SegEnds_Xtal_BW#'!$A:$Z,9,FALSE)</f>
        <v>47</v>
      </c>
      <c r="J183" s="1">
        <f>VLOOKUP($B183&amp;"__wt",'SegEnds_Xtal_BW#'!$A:$Z,10,FALSE)</f>
        <v>53</v>
      </c>
      <c r="K183" s="12">
        <v>18</v>
      </c>
      <c r="L183" s="1">
        <f>VLOOKUP($B183&amp;"__wt",'SegEnds_Xtal_BW#'!$A:$Z,12,FALSE)</f>
        <v>56</v>
      </c>
      <c r="M183" s="108" t="s">
        <v>23</v>
      </c>
      <c r="N183" s="12" t="s">
        <v>23</v>
      </c>
      <c r="O183" s="87">
        <f>VLOOKUP($B183&amp;"__wt",'SegEnds_Xtal_BW#'!$A:$Z,15,FALSE)</f>
        <v>38</v>
      </c>
      <c r="P183" s="1">
        <f>VLOOKUP($B183&amp;"__wt",'SegEnds_Xtal_BW#'!$A:$Z,16,FALSE)</f>
        <v>63</v>
      </c>
      <c r="Q183" s="1" t="str">
        <f>VLOOKUP($B183&amp;"__wt",'SegEnds_Xtal_BW#'!$A:$Z,17,FALSE)</f>
        <v>-</v>
      </c>
      <c r="R183" s="1" t="str">
        <f>VLOOKUP($B183&amp;"__wt",'SegEnds_Xtal_BW#'!$A:$Z,18,FALSE)</f>
        <v>-</v>
      </c>
      <c r="S183" s="1">
        <f>VLOOKUP($B183&amp;"__wt",'SegEnds_Xtal_BW#'!$A:$Z,19,FALSE)</f>
        <v>36</v>
      </c>
      <c r="T183" s="1">
        <f t="array" ref="T183">INDEX(ICL3_classA!$G$2:$G$39,MATCH(MIN(ABS(AI183-ICL3_classA!$F$2:$F$39)),ABS(AI183-ICL3_classA!$F$2:$F$39),0))</f>
        <v>76</v>
      </c>
      <c r="U183" s="1">
        <f t="array" ref="U183">INDEX(ICL3_classA!$H$2:$H$39,MATCH(MIN(ABS(AI183-ICL3_classA!$F$2:$F$39)),ABS(AI183-ICL3_classA!$F$2:$F$39),0))</f>
        <v>24</v>
      </c>
      <c r="V183" s="1">
        <v>61</v>
      </c>
      <c r="W183" s="1">
        <v>32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29</v>
      </c>
      <c r="AC183" s="1" t="e">
        <f>VLOOKUP(A183,'SegEnds_NonXtal_Prot#'!A:AL,10,FALSE)-VLOOKUP(A183,'SegEnds_NonXtal_Prot#'!A:AL,7,FALSE)</f>
        <v>#VALUE!</v>
      </c>
      <c r="AD183" s="1">
        <f>VLOOKUP(A183,'SegEnds_NonXtal_Prot#'!A:AL,13,FALSE)-VLOOKUP(A183,'SegEnds_NonXtal_Prot#'!A:AL,10,FALSE)</f>
        <v>26</v>
      </c>
      <c r="AE183" s="1">
        <f>VLOOKUP(A183,'SegEnds_NonXtal_Prot#'!A:AL,16,FALSE)-VLOOKUP(A183,'SegEnds_NonXtal_Prot#'!A:AL,10,FALSE)</f>
        <v>69</v>
      </c>
      <c r="AF183" s="1" t="e">
        <f>VLOOKUP(A183,'SegEnds_NonXtal_Prot#'!A:AL,22,FALSE)-VLOOKUP(A183,'SegEnds_NonXtal_Prot#'!A:AL,19,FALSE)</f>
        <v>#VALUE!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53</v>
      </c>
      <c r="AI183" s="1">
        <f>VLOOKUP(A183,'SegEnds_NonXtal_Prot#'!A:AL,31,FALSE)-VLOOKUP(A183,'SegEnds_NonXtal_Prot#'!A:AL,28,FALSE)</f>
        <v>114</v>
      </c>
      <c r="AJ183" s="1">
        <f>VLOOKUP(A183,'SegEnds_NonXtal_Prot#'!A:AL,34,FALSE)-VLOOKUP(A183,'SegEnds_NonXtal_Prot#'!A:AL,31,FALSE)</f>
        <v>34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241</v>
      </c>
      <c r="B184" s="1" t="str">
        <f>VLOOKUP(A184,Xtal_Templ!A:B,2,FALSE)</f>
        <v>ccr7_human</v>
      </c>
      <c r="C184" s="5">
        <f>VLOOKUP($B184&amp;"__wt",'SegEnds_Xtal_BW#'!$A:$Z,3,FALSE)</f>
        <v>29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21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33</v>
      </c>
      <c r="T184" s="1">
        <f t="array" ref="T184">INDEX(ICL3_classA!$G$2:$G$39,MATCH(MIN(ABS(AI184-ICL3_classA!$F$2:$F$39)),ABS(AI184-ICL3_classA!$F$2:$F$39),0))</f>
        <v>68</v>
      </c>
      <c r="U184" s="1">
        <f t="array" ref="U184">INDEX(ICL3_classA!$H$2:$H$39,MATCH(MIN(ABS(AI184-ICL3_classA!$F$2:$F$39)),ABS(AI184-ICL3_classA!$F$2:$F$39),0))</f>
        <v>24</v>
      </c>
      <c r="V184" s="1">
        <v>61</v>
      </c>
      <c r="W184" s="1">
        <v>31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59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19</v>
      </c>
      <c r="AE184" s="1">
        <f>VLOOKUP(A184,'SegEnds_NonXtal_Prot#'!A:AL,16,FALSE)-VLOOKUP(A184,'SegEnds_NonXtal_Prot#'!A:AL,10,FALSE)</f>
        <v>51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27</v>
      </c>
      <c r="AH184" s="1">
        <f>VLOOKUP(A184,'SegEnds_NonXtal_Prot#'!A:AL,28,FALSE)-VLOOKUP(A184,'SegEnds_NonXtal_Prot#'!A:AL,22,FALSE)</f>
        <v>53</v>
      </c>
      <c r="AI184" s="1">
        <f>VLOOKUP(A184,'SegEnds_NonXtal_Prot#'!A:AL,31,FALSE)-VLOOKUP(A184,'SegEnds_NonXtal_Prot#'!A:AL,28,FALSE)</f>
        <v>48</v>
      </c>
      <c r="AJ184" s="1">
        <f>VLOOKUP(A184,'SegEnds_NonXtal_Prot#'!A:AL,34,FALSE)-VLOOKUP(A184,'SegEnds_NonXtal_Prot#'!A:AL,31,FALSE)</f>
        <v>36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247</v>
      </c>
      <c r="B185" s="1" t="str">
        <f>VLOOKUP(A185,Xtal_Templ!A:B,2,FALSE)</f>
        <v>drd2_human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21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v>38</v>
      </c>
      <c r="P185" s="1">
        <f>VLOOKUP($B185&amp;"__wt",'SegEnds_Xtal_BW#'!$A:$Z,16,FALSE)</f>
        <v>62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v>35</v>
      </c>
      <c r="T185" s="1">
        <f t="array" ref="T185">INDEX(ICL3_classA!$G$2:$G$39,MATCH(MIN(ABS(AI185-ICL3_classA!$F$2:$F$39)),ABS(AI185-ICL3_classA!$F$2:$F$39),0))</f>
        <v>76</v>
      </c>
      <c r="U185" s="1">
        <f t="array" ref="U185">INDEX(ICL3_classA!$H$2:$H$39,MATCH(MIN(ABS(AI185-ICL3_classA!$F$2:$F$39)),ABS(AI185-ICL3_classA!$F$2:$F$39),0))</f>
        <v>24</v>
      </c>
      <c r="V185" s="1">
        <v>61</v>
      </c>
      <c r="W185" s="1"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29</v>
      </c>
      <c r="AC185" s="1">
        <f>VLOOKUP(A185,'SegEnds_NonXtal_Prot#'!A:AL,10,FALSE)-VLOOKUP(A185,'SegEnds_NonXtal_Prot#'!A:AL,7,FALSE)</f>
        <v>16</v>
      </c>
      <c r="AD185" s="1" t="e">
        <f>VLOOKUP(A185,'SegEnds_NonXtal_Prot#'!A:AL,13,FALSE)-VLOOKUP(A185,'SegEnds_NonXtal_Prot#'!A:AL,10,FALSE)</f>
        <v>#VALUE!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25</v>
      </c>
      <c r="AH185" s="1">
        <f>VLOOKUP(A185,'SegEnds_NonXtal_Prot#'!A:AL,28,FALSE)-VLOOKUP(A185,'SegEnds_NonXtal_Prot#'!A:AL,22,FALSE)</f>
        <v>53</v>
      </c>
      <c r="AI185" s="1">
        <f>VLOOKUP(A185,'SegEnds_NonXtal_Prot#'!A:AL,31,FALSE)-VLOOKUP(A185,'SegEnds_NonXtal_Prot#'!A:AL,28,FALSE)</f>
        <v>72</v>
      </c>
      <c r="AJ185" s="1">
        <f>VLOOKUP(A185,'SegEnds_NonXtal_Prot#'!A:AL,34,FALSE)-VLOOKUP(A185,'SegEnds_NonXtal_Prot#'!A:AL,31,FALSE)</f>
        <v>35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263</v>
      </c>
      <c r="B186" s="1" t="str">
        <f>VLOOKUP(A186,Xtal_Templ!A:B,2,FALSE)</f>
        <v>ox2r_human</v>
      </c>
      <c r="C186" s="5">
        <f>VLOOKUP($B186&amp;"__wt",'SegEnds_Xtal_BW#'!$A:$Z,3,FALSE)</f>
        <v>31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INDEX(ICL3_classA!$G$2:$G$39,MATCH(MIN(ABS(AI186-ICL3_classA!$F$2:$F$39)),ABS(AI186-ICL3_classA!$F$2:$F$39),0))</f>
        <v>76</v>
      </c>
      <c r="U186" s="1">
        <f t="array" ref="U186">INDEX(ICL3_classA!$H$2:$H$39,MATCH(MIN(ABS(AI186-ICL3_classA!$F$2:$F$39)),ABS(AI186-ICL3_classA!$F$2:$F$39),0))</f>
        <v>24</v>
      </c>
      <c r="V186" s="1">
        <v>61</v>
      </c>
      <c r="W186" s="1">
        <v>31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63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26</v>
      </c>
      <c r="AC186" s="1" t="e">
        <f>VLOOKUP(A186,'SegEnds_NonXtal_Prot#'!A:AL,10,FALSE)-VLOOKUP(A186,'SegEnds_NonXtal_Prot#'!A:AL,7,FALSE)</f>
        <v>#VALUE!</v>
      </c>
      <c r="AD186" s="1">
        <f>VLOOKUP(A186,'SegEnds_NonXtal_Prot#'!A:AL,13,FALSE)-VLOOKUP(A186,'SegEnds_NonXtal_Prot#'!A:AL,10,FALSE)</f>
        <v>21</v>
      </c>
      <c r="AE186" s="1">
        <f>VLOOKUP(A186,'SegEnds_NonXtal_Prot#'!A:AL,16,FALSE)-VLOOKUP(A186,'SegEnds_NonXtal_Prot#'!A:AL,10,FALSE)</f>
        <v>54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25</v>
      </c>
      <c r="AH186" s="1">
        <f>VLOOKUP(A186,'SegEnds_NonXtal_Prot#'!A:AL,28,FALSE)-VLOOKUP(A186,'SegEnds_NonXtal_Prot#'!A:AL,22,FALSE)</f>
        <v>53</v>
      </c>
      <c r="AI186" s="1">
        <f>VLOOKUP(A186,'SegEnds_NonXtal_Prot#'!A:AL,31,FALSE)-VLOOKUP(A186,'SegEnds_NonXtal_Prot#'!A:AL,28,FALSE)</f>
        <v>82</v>
      </c>
      <c r="AJ186" s="1">
        <f>VLOOKUP(A186,'SegEnds_NonXtal_Prot#'!A:AL,34,FALSE)-VLOOKUP(A186,'SegEnds_NonXtal_Prot#'!A:AL,31,FALSE)</f>
        <v>36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267</v>
      </c>
      <c r="B187" s="1" t="str">
        <f>VLOOKUP(A187,Xtal_Templ!A:B,2,FALSE)</f>
        <v>drd2_human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21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62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35</v>
      </c>
      <c r="T187" s="1">
        <f t="array" ref="T187">INDEX(ICL3_classA!$G$2:$G$39,MATCH(MIN(ABS(AI187-ICL3_classA!$F$2:$F$39)),ABS(AI187-ICL3_classA!$F$2:$F$39),0))</f>
        <v>76</v>
      </c>
      <c r="U187" s="1">
        <f t="array" ref="U187">INDEX(ICL3_classA!$H$2:$H$39,MATCH(MIN(ABS(AI187-ICL3_classA!$F$2:$F$39)),ABS(AI187-ICL3_classA!$F$2:$F$39),0))</f>
        <v>24</v>
      </c>
      <c r="V187" s="1">
        <v>61</v>
      </c>
      <c r="W187" s="1"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59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29</v>
      </c>
      <c r="AC187" s="1">
        <f>VLOOKUP(A187,'SegEnds_NonXtal_Prot#'!A:AL,10,FALSE)-VLOOKUP(A187,'SegEnds_NonXtal_Prot#'!A:AL,7,FALSE)</f>
        <v>16</v>
      </c>
      <c r="AD187" s="1" t="e">
        <f>VLOOKUP(A187,'SegEnds_NonXtal_Prot#'!A:AL,13,FALSE)-VLOOKUP(A187,'SegEnds_NonXtal_Prot#'!A:AL,10,FALSE)</f>
        <v>#VALUE!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28</v>
      </c>
      <c r="AH187" s="1">
        <f>VLOOKUP(A187,'SegEnds_NonXtal_Prot#'!A:AL,28,FALSE)-VLOOKUP(A187,'SegEnds_NonXtal_Prot#'!A:AL,22,FALSE)</f>
        <v>53</v>
      </c>
      <c r="AI187" s="1">
        <f>VLOOKUP(A187,'SegEnds_NonXtal_Prot#'!A:AL,31,FALSE)-VLOOKUP(A187,'SegEnds_NonXtal_Prot#'!A:AL,28,FALSE)</f>
        <v>72</v>
      </c>
      <c r="AJ187" s="1">
        <f>VLOOKUP(A187,'SegEnds_NonXtal_Prot#'!A:AL,34,FALSE)-VLOOKUP(A187,'SegEnds_NonXtal_Prot#'!A:AL,31,FALSE)</f>
        <v>35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268</v>
      </c>
      <c r="B188" s="1" t="str">
        <f>VLOOKUP(A188,Xtal_Templ!A:B,2,FALSE)</f>
        <v>oprd_human</v>
      </c>
      <c r="C188" s="5">
        <f>VLOOKUP($B188&amp;"__wt",'SegEnds_Xtal_BW#'!$A:$Z,3,FALSE)</f>
        <v>22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INDEX(ICL3_classA!$G$2:$G$39,MATCH(MIN(ABS(AI188-ICL3_classA!$F$2:$F$39)),ABS(AI188-ICL3_classA!$F$2:$F$39),0))</f>
        <v>68</v>
      </c>
      <c r="U188" s="1">
        <f t="array" ref="U188">INDEX(ICL3_classA!$H$2:$H$39,MATCH(MIN(ABS(AI188-ICL3_classA!$F$2:$F$39)),ABS(AI188-ICL3_classA!$F$2:$F$39),0))</f>
        <v>23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60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 t="e">
        <f>VLOOKUP(A188,'SegEnds_NonXtal_Prot#'!A:AL,10,FALSE)-VLOOKUP(A188,'SegEnds_NonXtal_Prot#'!A:AL,7,FALSE)</f>
        <v>#VALUE!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56</v>
      </c>
      <c r="AF188" s="1">
        <f>VLOOKUP(A188,'SegEnds_NonXtal_Prot#'!A:AL,22,FALSE)-VLOOKUP(A188,'SegEnds_NonXtal_Prot#'!A:AL,19,FALSE)</f>
        <v>20</v>
      </c>
      <c r="AG188" s="1" t="e">
        <f>VLOOKUP(A188,'SegEnds_NonXtal_Prot#'!A:AL,28,FALSE)-VLOOKUP(A188,'SegEnds_NonXtal_Prot#'!A:AL,25,FALSE)</f>
        <v>#VALUE!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51</v>
      </c>
      <c r="AJ188" s="1">
        <f>VLOOKUP(A188,'SegEnds_NonXtal_Prot#'!A:AL,34,FALSE)-VLOOKUP(A188,'SegEnds_NonXtal_Prot#'!A:AL,31,FALSE)</f>
        <v>42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288</v>
      </c>
      <c r="B189" s="1" t="str">
        <f>VLOOKUP(A189,Xtal_Templ!A:B,2,FALSE)</f>
        <v>oprk_human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21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30</v>
      </c>
      <c r="T189" s="1">
        <f t="array" ref="T189">INDEX(ICL3_classA!$G$2:$G$39,MATCH(MIN(ABS(AI189-ICL3_classA!$F$2:$F$39)),ABS(AI189-ICL3_classA!$F$2:$F$39),0))</f>
        <v>68</v>
      </c>
      <c r="U189" s="1">
        <f t="array" ref="U189">INDEX(ICL3_classA!$H$2:$H$39,MATCH(MIN(ABS(AI189-ICL3_classA!$F$2:$F$39)),ABS(AI189-ICL3_classA!$F$2:$F$39),0))</f>
        <v>24</v>
      </c>
      <c r="V189" s="1">
        <v>64</v>
      </c>
      <c r="W189" s="1">
        <v>24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19</v>
      </c>
      <c r="AE189" s="1">
        <f>VLOOKUP(A189,'SegEnds_NonXtal_Prot#'!A:AL,16,FALSE)-VLOOKUP(A189,'SegEnds_NonXtal_Prot#'!A:AL,10,FALSE)</f>
        <v>51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28</v>
      </c>
      <c r="AH189" s="1">
        <f>VLOOKUP(A189,'SegEnds_NonXtal_Prot#'!A:AL,28,FALSE)-VLOOKUP(A189,'SegEnds_NonXtal_Prot#'!A:AL,22,FALSE)</f>
        <v>53</v>
      </c>
      <c r="AI189" s="1">
        <f>VLOOKUP(A189,'SegEnds_NonXtal_Prot#'!A:AL,31,FALSE)-VLOOKUP(A189,'SegEnds_NonXtal_Prot#'!A:AL,28,FALSE)</f>
        <v>48</v>
      </c>
      <c r="AJ189" s="1">
        <f>VLOOKUP(A189,'SegEnds_NonXtal_Prot#'!A:AL,34,FALSE)-VLOOKUP(A189,'SegEnds_NonXtal_Prot#'!A:AL,31,FALSE)</f>
        <v>44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314</v>
      </c>
      <c r="B190" s="1" t="str">
        <f>VLOOKUP(A190,Xtal_Templ!A:B,2,FALSE)</f>
        <v>nk1r_human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 t="str">
        <f>VLOOKUP($B190&amp;"__wt",'SegEnds_Xtal_BW#'!$A:$Z,13,FALSE)</f>
        <v>-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30</v>
      </c>
      <c r="T190" s="1">
        <f t="array" ref="T190">INDEX(ICL3_classA!$G$2:$G$39,MATCH(MIN(ABS(AI190-ICL3_classA!$F$2:$F$39)),ABS(AI190-ICL3_classA!$F$2:$F$39),0))</f>
        <v>73</v>
      </c>
      <c r="U190" s="1">
        <f t="array" ref="U190">INDEX(ICL3_classA!$H$2:$H$39,MATCH(MIN(ABS(AI190-ICL3_classA!$F$2:$F$39)),ABS(AI190-ICL3_classA!$F$2:$F$39),0))</f>
        <v>22</v>
      </c>
      <c r="V190" s="1">
        <v>61</v>
      </c>
      <c r="W190" s="131">
        <f>VLOOKUP($B190&amp;"__wt",'SegEnds_Xtal_BW#'!$A:$Z,23,FALSE)</f>
        <v>30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28</v>
      </c>
      <c r="AH190" s="1">
        <f>VLOOKUP(A190,'SegEnds_NonXtal_Prot#'!A:AL,28,FALSE)-VLOOKUP(A190,'SegEnds_NonXtal_Prot#'!A:AL,22,FALSE)</f>
        <v>53</v>
      </c>
      <c r="AI190" s="1">
        <f>VLOOKUP(A190,'SegEnds_NonXtal_Prot#'!A:AL,31,FALSE)-VLOOKUP(A190,'SegEnds_NonXtal_Prot#'!A:AL,28,FALSE)</f>
        <v>55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Xtal</v>
      </c>
    </row>
    <row r="191" spans="1:38" x14ac:dyDescent="0.2">
      <c r="A191" s="1" t="s">
        <v>315</v>
      </c>
      <c r="B191" s="1" t="str">
        <f>VLOOKUP(A191,Xtal_Templ!A:B,2,FALSE)</f>
        <v>nk1r_human</v>
      </c>
      <c r="C191" s="5">
        <f>VLOOKUP($B191&amp;"__wt",'SegEnds_Xtal_BW#'!$A:$Z,3,FALSE)</f>
        <v>28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68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 t="str">
        <f>VLOOKUP($B191&amp;"__wt",'SegEnds_Xtal_BW#'!$A:$Z,13,FALSE)</f>
        <v>-</v>
      </c>
      <c r="N191" s="12">
        <v>56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30</v>
      </c>
      <c r="T191" s="1">
        <f t="array" ref="T191">INDEX(ICL3_classA!$G$2:$G$39,MATCH(MIN(ABS(AI191-ICL3_classA!$F$2:$F$39)),ABS(AI191-ICL3_classA!$F$2:$F$39),0))</f>
        <v>73</v>
      </c>
      <c r="U191" s="1">
        <f t="array" ref="U191">INDEX(ICL3_classA!$H$2:$H$39,MATCH(MIN(ABS(AI191-ICL3_classA!$F$2:$F$39)),ABS(AI191-ICL3_classA!$F$2:$F$39),0))</f>
        <v>22</v>
      </c>
      <c r="V191" s="1">
        <v>61</v>
      </c>
      <c r="W191" s="131">
        <f>VLOOKUP($B191&amp;"__wt",'SegEnds_Xtal_BW#'!$A:$Z,23,FALSE)</f>
        <v>30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58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 t="e">
        <f>VLOOKUP(A191,'SegEnds_NonXtal_Prot#'!A:AL,22,FALSE)-VLOOKUP(A191,'SegEnds_NonXtal_Prot#'!A:AL,19,FALSE)</f>
        <v>#VALUE!</v>
      </c>
      <c r="AG191" s="1">
        <f>VLOOKUP(A191,'SegEnds_NonXtal_Prot#'!A:AL,28,FALSE)-VLOOKUP(A191,'SegEnds_NonXtal_Prot#'!A:AL,25,FALSE)</f>
        <v>28</v>
      </c>
      <c r="AH191" s="1">
        <f>VLOOKUP(A191,'SegEnds_NonXtal_Prot#'!A:AL,28,FALSE)-VLOOKUP(A191,'SegEnds_NonXtal_Prot#'!A:AL,22,FALSE)</f>
        <v>53</v>
      </c>
      <c r="AI191" s="1">
        <f>VLOOKUP(A191,'SegEnds_NonXtal_Prot#'!A:AL,31,FALSE)-VLOOKUP(A191,'SegEnds_NonXtal_Prot#'!A:AL,28,FALSE)</f>
        <v>56</v>
      </c>
      <c r="AJ191" s="1">
        <f>VLOOKUP(A191,'SegEnds_NonXtal_Prot#'!A:AL,34,FALSE)-VLOOKUP(A191,'SegEnds_NonXtal_Prot#'!A:AL,31,FALSE)</f>
        <v>39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321</v>
      </c>
      <c r="B192" s="1" t="str">
        <f>VLOOKUP(A192,Xtal_Templ!A:B,2,FALSE)</f>
        <v>oprd_human</v>
      </c>
      <c r="C192" s="5">
        <f>VLOOKUP($B192&amp;"__wt",'SegEnds_Xtal_BW#'!$A:$Z,3,FALSE)</f>
        <v>22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21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f>VLOOKUP($B192&amp;"__wt",'SegEnds_Xtal_BW#'!$A:$Z,14,FALSE)</f>
        <v>57</v>
      </c>
      <c r="O192" s="87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31</v>
      </c>
      <c r="T192" s="1">
        <f t="array" ref="T192">INDEX(ICL3_classA!$G$2:$G$39,MATCH(MIN(ABS(AI192-ICL3_classA!$F$2:$F$39)),ABS(AI192-ICL3_classA!$F$2:$F$39),0))</f>
        <v>68</v>
      </c>
      <c r="U192" s="1">
        <f t="array" ref="U192">INDEX(ICL3_classA!$H$2:$H$39,MATCH(MIN(ABS(AI192-ICL3_classA!$F$2:$F$39)),ABS(AI192-ICL3_classA!$F$2:$F$39),0))</f>
        <v>23</v>
      </c>
      <c r="V192" s="1">
        <v>61</v>
      </c>
      <c r="W192" s="131">
        <f>VLOOKUP($B192&amp;"__wt",'SegEnds_Xtal_BW#'!$A:$Z,23,FALSE)</f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60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19</v>
      </c>
      <c r="AE192" s="1">
        <f>VLOOKUP(A192,'SegEnds_NonXtal_Prot#'!A:AL,16,FALSE)-VLOOKUP(A192,'SegEnds_NonXtal_Prot#'!A:AL,10,FALSE)</f>
        <v>51</v>
      </c>
      <c r="AF192" s="1" t="e">
        <f>VLOOKUP(A192,'SegEnds_NonXtal_Prot#'!A:AL,22,FALSE)-VLOOKUP(A192,'SegEnds_NonXtal_Prot#'!A:AL,19,FALSE)</f>
        <v>#VALUE!</v>
      </c>
      <c r="AG192" s="1">
        <f>VLOOKUP(A192,'SegEnds_NonXtal_Prot#'!A:AL,28,FALSE)-VLOOKUP(A192,'SegEnds_NonXtal_Prot#'!A:AL,25,FALSE)</f>
        <v>27</v>
      </c>
      <c r="AH192" s="1">
        <f>VLOOKUP(A192,'SegEnds_NonXtal_Prot#'!A:AL,28,FALSE)-VLOOKUP(A192,'SegEnds_NonXtal_Prot#'!A:AL,22,FALSE)</f>
        <v>53</v>
      </c>
      <c r="AI192" s="1">
        <f>VLOOKUP(A192,'SegEnds_NonXtal_Prot#'!A:AL,31,FALSE)-VLOOKUP(A192,'SegEnds_NonXtal_Prot#'!A:AL,28,FALSE)</f>
        <v>51</v>
      </c>
      <c r="AJ192" s="1">
        <f>VLOOKUP(A192,'SegEnds_NonXtal_Prot#'!A:AL,34,FALSE)-VLOOKUP(A192,'SegEnds_NonXtal_Prot#'!A:AL,31,FALSE)</f>
        <v>38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345</v>
      </c>
      <c r="B193" s="1" t="str">
        <f>VLOOKUP(A193,Xtal_Templ!A:B,2,FALSE)</f>
        <v>p2ry1_human</v>
      </c>
      <c r="C193" s="5">
        <f>VLOOKUP($B193&amp;"__wt",'SegEnds_Xtal_BW#'!$A:$Z,3,FALSE)</f>
        <v>30</v>
      </c>
      <c r="D193" s="1">
        <f>VLOOKUP($B193&amp;"__wt",'SegEnds_Xtal_BW#'!$A:$Z,4,FALSE)</f>
        <v>60</v>
      </c>
      <c r="E193" s="1" t="str">
        <f>VLOOKUP($B193&amp;"__wt",'SegEnds_Xtal_BW#'!$A:$Z,5,FALSE)</f>
        <v>-</v>
      </c>
      <c r="F193" s="1" t="str">
        <f>VLOOKUP($B193&amp;"__wt",'SegEnds_Xtal_BW#'!$A:$Z,6,FALSE)</f>
        <v>-</v>
      </c>
      <c r="G193" s="1">
        <v>37</v>
      </c>
      <c r="H193" s="12">
        <f>VLOOKUP($B193&amp;"__wt",'SegEnds_Xtal_BW#'!$A:$Z,8,FALSE)</f>
        <v>66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f>VLOOKUP($B193&amp;"__wt",'SegEnds_Xtal_BW#'!$A:$Z,14,FALSE)</f>
        <v>57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v>68</v>
      </c>
      <c r="U193" s="1">
        <v>28</v>
      </c>
      <c r="V193" s="1">
        <v>64</v>
      </c>
      <c r="W193" s="1">
        <v>24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 t="e">
        <f>VLOOKUP(A193,'SegEnds_NonXtal_Prot#'!A:AL,10,FALSE)-VLOOKUP(A193,'SegEnds_NonXtal_Prot#'!A:AL,7,FALSE)</f>
        <v>#VALUE!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27</v>
      </c>
      <c r="AH193" s="1">
        <f>VLOOKUP(A193,'SegEnds_NonXtal_Prot#'!A:AL,28,FALSE)-VLOOKUP(A193,'SegEnds_NonXtal_Prot#'!A:AL,22,FALSE)</f>
        <v>53</v>
      </c>
      <c r="AI193" s="1">
        <f>VLOOKUP(A193,'SegEnds_NonXtal_Prot#'!A:AL,31,FALSE)-VLOOKUP(A193,'SegEnds_NonXtal_Prot#'!A:AL,28,FALSE)</f>
        <v>46</v>
      </c>
      <c r="AJ193" s="1">
        <f>VLOOKUP(A193,'SegEnds_NonXtal_Prot#'!A:AL,34,FALSE)-VLOOKUP(A193,'SegEnds_NonXtal_Prot#'!A:AL,31,FALSE)</f>
        <v>46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Xtal</v>
      </c>
    </row>
    <row r="194" spans="1:38" x14ac:dyDescent="0.2">
      <c r="A194" s="4" t="s">
        <v>350</v>
      </c>
      <c r="B194" s="4" t="str">
        <f>VLOOKUP(A194,Xtal_Templ!A:B,2,FALSE)</f>
        <v>ptafr_human</v>
      </c>
      <c r="C194" s="5">
        <f>VLOOKUP($B194&amp;"__wt",'SegEnds_Xtal_BW#'!$A:$Z,3,FALSE)</f>
        <v>27</v>
      </c>
      <c r="D194" s="4">
        <f>VLOOKUP($B194&amp;"__wt",'SegEnds_Xtal_BW#'!$A:$Z,4,FALSE)</f>
        <v>61</v>
      </c>
      <c r="E194" s="4" t="str">
        <f>VLOOKUP($B194&amp;"__wt",'SegEnds_Xtal_BW#'!$A:$Z,5,FALSE)</f>
        <v>-</v>
      </c>
      <c r="F194" s="4" t="str">
        <f>VLOOKUP($B194&amp;"__wt",'SegEnds_Xtal_BW#'!$A:$Z,6,FALSE)</f>
        <v>-</v>
      </c>
      <c r="G194" s="4">
        <v>37</v>
      </c>
      <c r="H194" s="11">
        <v>66</v>
      </c>
      <c r="I194" s="4">
        <f>VLOOKUP($B194&amp;"__wt",'SegEnds_Xtal_BW#'!$A:$Z,9,FALSE)</f>
        <v>49</v>
      </c>
      <c r="J194" s="4">
        <f>VLOOKUP($B194&amp;"__wt",'SegEnds_Xtal_BW#'!$A:$Z,10,FALSE)</f>
        <v>52</v>
      </c>
      <c r="K194" s="11">
        <v>21</v>
      </c>
      <c r="L194" s="4">
        <f>VLOOKUP($B194&amp;"__wt",'SegEnds_Xtal_BW#'!$A:$Z,12,FALSE)</f>
        <v>56</v>
      </c>
      <c r="M194" s="4">
        <f>VLOOKUP($B194&amp;"__wt",'SegEnds_Xtal_BW#'!$A:$Z,13,FALSE)</f>
        <v>50</v>
      </c>
      <c r="N194" s="108">
        <v>56</v>
      </c>
      <c r="O194" s="87">
        <f>VLOOKUP($B194&amp;"__wt",'SegEnds_Xtal_BW#'!$A:$Z,15,FALSE)</f>
        <v>38</v>
      </c>
      <c r="P194" s="4">
        <f>VLOOKUP($B194&amp;"__wt",'SegEnds_Xtal_BW#'!$A:$Z,16,FALSE)</f>
        <v>63</v>
      </c>
      <c r="Q194" s="4">
        <f>VLOOKUP($B194&amp;"__wt",'SegEnds_Xtal_BW#'!$A:$Z,17,FALSE)</f>
        <v>50</v>
      </c>
      <c r="R194" s="4">
        <f>VLOOKUP($B194&amp;"__wt",'SegEnds_Xtal_BW#'!$A:$Z,18,FALSE)</f>
        <v>52</v>
      </c>
      <c r="S194" s="4">
        <f>VLOOKUP($B194&amp;"__wt",'SegEnds_Xtal_BW#'!$A:$Z,19,FALSE)</f>
        <v>33</v>
      </c>
      <c r="T194" s="4">
        <f t="array" ref="T194">INDEX(ICL3_classA!$G$2:$G$39,MATCH(MIN(ABS(AI194-ICL3_classA!$F$2:$F$39)),ABS(AI194-ICL3_classA!$F$2:$F$39),0))</f>
        <v>68</v>
      </c>
      <c r="U194" s="4">
        <f t="array" ref="U194">INDEX(ICL3_classA!$H$2:$H$39,MATCH(MIN(ABS(AI194-ICL3_classA!$F$2:$F$39)),ABS(AI194-ICL3_classA!$F$2:$F$39),0))</f>
        <v>24</v>
      </c>
      <c r="V194" s="4">
        <v>64</v>
      </c>
      <c r="W194" s="4">
        <v>24</v>
      </c>
      <c r="X194" s="4">
        <f>VLOOKUP($B194&amp;"__wt",'SegEnds_Xtal_BW#'!$A:$Z,24,FALSE)</f>
        <v>59</v>
      </c>
      <c r="Y194" s="4">
        <f>VLOOKUP($B194&amp;"__wt",'SegEnds_Xtal_BW#'!$A:$Z,25,FALSE)</f>
        <v>50</v>
      </c>
      <c r="Z194" s="4">
        <f>VLOOKUP($B194&amp;"__wt",'SegEnds_Xtal_BW#'!$A:$Z,26,FALSE)</f>
        <v>63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4" t="e">
        <f>VLOOKUP(A194,'SegEnds_NonXtal_Prot#'!A:AL,10,FALSE)-VLOOKUP(A194,'SegEnds_NonXtal_Prot#'!A:AL,7,FALSE)</f>
        <v>#VALUE!</v>
      </c>
      <c r="AD194" s="4">
        <f>VLOOKUP(A194,'SegEnds_NonXtal_Prot#'!A:AL,13,FALSE)-VLOOKUP(A194,'SegEnds_NonXtal_Prot#'!A:AL,10,FALSE)</f>
        <v>19</v>
      </c>
      <c r="AE194" s="4">
        <f>VLOOKUP(A194,'SegEnds_NonXtal_Prot#'!A:AL,16,FALSE)-VLOOKUP(A194,'SegEnds_NonXtal_Prot#'!A:AL,10,FALSE)</f>
        <v>51</v>
      </c>
      <c r="AF194" s="1">
        <f>VLOOKUP(A194,'SegEnds_NonXtal_Prot#'!A:AL,22,FALSE)-VLOOKUP(A194,'SegEnds_NonXtal_Prot#'!A:AL,19,FALSE)</f>
        <v>19</v>
      </c>
      <c r="AG194" s="4">
        <f>VLOOKUP(A194,'SegEnds_NonXtal_Prot#'!A:AL,28,FALSE)-VLOOKUP(A194,'SegEnds_NonXtal_Prot#'!A:AL,25,FALSE)</f>
        <v>29</v>
      </c>
      <c r="AH194" s="1">
        <f>VLOOKUP(A194,'SegEnds_NonXtal_Prot#'!A:AL,28,FALSE)-VLOOKUP(A194,'SegEnds_NonXtal_Prot#'!A:AL,22,FALSE)</f>
        <v>53</v>
      </c>
      <c r="AI194" s="4">
        <f>VLOOKUP(A194,'SegEnds_NonXtal_Prot#'!A:AL,31,FALSE)-VLOOKUP(A194,'SegEnds_NonXtal_Prot#'!A:AL,28,FALSE)</f>
        <v>48</v>
      </c>
      <c r="AJ194" s="4">
        <f>VLOOKUP(A194,'SegEnds_NonXtal_Prot#'!A:AL,34,FALSE)-VLOOKUP(A194,'SegEnds_NonXtal_Prot#'!A:AL,31,FALSE)</f>
        <v>44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366</v>
      </c>
      <c r="B195" s="1" t="str">
        <f>VLOOKUP(A195,Xtal_Templ!A:B,2,FALSE)</f>
        <v>pe2r4_human</v>
      </c>
      <c r="C195" s="5">
        <f>VLOOKUP($B195&amp;"__wt",'SegEnds_Xtal_BW#'!$A:$Z,3,FALSE)</f>
        <v>33</v>
      </c>
      <c r="D195" s="1">
        <f>VLOOKUP($B195&amp;"__wt",'SegEnds_Xtal_BW#'!$A:$Z,4,FALSE)</f>
        <v>58</v>
      </c>
      <c r="E195" s="1" t="str">
        <f>VLOOKUP($B195&amp;"__wt",'SegEnds_Xtal_BW#'!$A:$Z,5,FALSE)</f>
        <v>-</v>
      </c>
      <c r="F195" s="1" t="str">
        <f>VLOOKUP($B195&amp;"__wt",'SegEnds_Xtal_BW#'!$A:$Z,6,FALSE)</f>
        <v>-</v>
      </c>
      <c r="G195" s="1">
        <v>37</v>
      </c>
      <c r="H195" s="12"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63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33</v>
      </c>
      <c r="T195" s="1">
        <f t="array" ref="T195">INDEX(ICL3_classA!$G$2:$G$39,MATCH(MIN(ABS(AI195-ICL3_classA!$F$2:$F$39)),ABS(AI195-ICL3_classA!$F$2:$F$39),0))</f>
        <v>73</v>
      </c>
      <c r="U195" s="1">
        <f t="array" ref="U195">INDEX(ICL3_classA!$H$2:$H$39,MATCH(MIN(ABS(AI195-ICL3_classA!$F$2:$F$39)),ABS(AI195-ICL3_classA!$F$2:$F$39),0))</f>
        <v>22</v>
      </c>
      <c r="V195" s="1">
        <v>61</v>
      </c>
      <c r="W195" s="1">
        <v>31</v>
      </c>
      <c r="X195" s="108"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29</v>
      </c>
      <c r="AC195" s="1" t="e">
        <f>VLOOKUP(A195,'SegEnds_NonXtal_Prot#'!A:AL,10,FALSE)-VLOOKUP(A195,'SegEnds_NonXtal_Prot#'!A:AL,7,FALSE)</f>
        <v>#VALUE!</v>
      </c>
      <c r="AD195" s="1" t="e">
        <f>VLOOKUP(A195,'SegEnds_NonXtal_Prot#'!A:AL,13,FALSE)-VLOOKUP(A195,'SegEnds_NonXtal_Prot#'!A:AL,10,FALSE)</f>
        <v>#VALUE!</v>
      </c>
      <c r="AE195" s="1">
        <f>VLOOKUP(A195,'SegEnds_NonXtal_Prot#'!A:AL,16,FALSE)-VLOOKUP(A195,'SegEnds_NonXtal_Prot#'!A:AL,10,FALSE)</f>
        <v>57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27</v>
      </c>
      <c r="AH195" s="1">
        <f>VLOOKUP(A195,'SegEnds_NonXtal_Prot#'!A:AL,28,FALSE)-VLOOKUP(A195,'SegEnds_NonXtal_Prot#'!A:AL,22,FALSE)</f>
        <v>53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35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4" t="s">
        <v>369</v>
      </c>
      <c r="B196" s="4" t="str">
        <f>VLOOKUP(A196,Xtal_Templ!A:B,2,FALSE)</f>
        <v>ox2r_human</v>
      </c>
      <c r="C196" s="5">
        <f>VLOOKUP($B196&amp;"__wt",'SegEnds_Xtal_BW#'!$A:$Z,3,FALSE)</f>
        <v>31</v>
      </c>
      <c r="D196" s="4">
        <f>VLOOKUP($B196&amp;"__wt",'SegEnds_Xtal_BW#'!$A:$Z,4,FALSE)</f>
        <v>60</v>
      </c>
      <c r="E196" s="4">
        <f>VLOOKUP($B196&amp;"__wt",'SegEnds_Xtal_BW#'!$A:$Z,5,FALSE)</f>
        <v>48</v>
      </c>
      <c r="F196" s="4">
        <f>VLOOKUP($B196&amp;"__wt",'SegEnds_Xtal_BW#'!$A:$Z,6,FALSE)</f>
        <v>51</v>
      </c>
      <c r="G196" s="4">
        <v>37</v>
      </c>
      <c r="H196" s="11">
        <f>VLOOKUP($B196&amp;"__wt",'SegEnds_Xtal_BW#'!$A:$Z,8,FALSE)</f>
        <v>68</v>
      </c>
      <c r="I196" s="4">
        <f>VLOOKUP($B196&amp;"__wt",'SegEnds_Xtal_BW#'!$A:$Z,9,FALSE)</f>
        <v>49</v>
      </c>
      <c r="J196" s="4">
        <f>VLOOKUP($B196&amp;"__wt",'SegEnds_Xtal_BW#'!$A:$Z,10,FALSE)</f>
        <v>52</v>
      </c>
      <c r="K196" s="11">
        <v>18</v>
      </c>
      <c r="L196" s="4">
        <f>VLOOKUP($B196&amp;"__wt",'SegEnds_Xtal_BW#'!$A:$Z,12,FALSE)</f>
        <v>56</v>
      </c>
      <c r="M196" s="4">
        <f>VLOOKUP($B196&amp;"__wt",'SegEnds_Xtal_BW#'!$A:$Z,13,FALSE)</f>
        <v>50</v>
      </c>
      <c r="N196" s="11">
        <v>53</v>
      </c>
      <c r="O196" s="87">
        <f>VLOOKUP($B196&amp;"__wt",'SegEnds_Xtal_BW#'!$A:$Z,15,FALSE)</f>
        <v>38</v>
      </c>
      <c r="P196" s="4">
        <f>VLOOKUP($B196&amp;"__wt",'SegEnds_Xtal_BW#'!$A:$Z,16,FALSE)</f>
        <v>64</v>
      </c>
      <c r="Q196" s="4">
        <f>VLOOKUP($B196&amp;"__wt",'SegEnds_Xtal_BW#'!$A:$Z,17,FALSE)</f>
        <v>50</v>
      </c>
      <c r="R196" s="4">
        <f>VLOOKUP($B196&amp;"__wt",'SegEnds_Xtal_BW#'!$A:$Z,18,FALSE)</f>
        <v>52</v>
      </c>
      <c r="S196" s="4">
        <f>VLOOKUP($B196&amp;"__wt",'SegEnds_Xtal_BW#'!$A:$Z,19,FALSE)</f>
        <v>33</v>
      </c>
      <c r="T196" s="4">
        <f t="array" ref="T196">INDEX(ICL3_classA!$G$2:$G$39,MATCH(MIN(ABS(AI196-ICL3_classA!$F$2:$F$39)),ABS(AI196-ICL3_classA!$F$2:$F$39),0))</f>
        <v>73</v>
      </c>
      <c r="U196" s="4">
        <f t="array" ref="U196">INDEX(ICL3_classA!$H$2:$H$39,MATCH(MIN(ABS(AI196-ICL3_classA!$F$2:$F$39)),ABS(AI196-ICL3_classA!$F$2:$F$39),0))</f>
        <v>22</v>
      </c>
      <c r="V196" s="4">
        <v>61</v>
      </c>
      <c r="W196" s="131">
        <f>VLOOKUP($B196&amp;"__wt",'SegEnds_Xtal_BW#'!$A:$Z,23,FALSE)</f>
        <v>27</v>
      </c>
      <c r="X196" s="4">
        <f>VLOOKUP($B196&amp;"__wt",'SegEnds_Xtal_BW#'!$A:$Z,24,FALSE)</f>
        <v>56</v>
      </c>
      <c r="Y196" s="4">
        <f>VLOOKUP($B196&amp;"__wt",'SegEnds_Xtal_BW#'!$A:$Z,25,FALSE)</f>
        <v>47</v>
      </c>
      <c r="Z196" s="4">
        <f>VLOOKUP($B196&amp;"__wt",'SegEnds_Xtal_BW#'!$A:$Z,26,FALSE)</f>
        <v>63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4">
        <f>VLOOKUP(A196,'SegEnds_NonXtal_Prot#'!A:AL,10,FALSE)-VLOOKUP(A196,'SegEnds_NonXtal_Prot#'!A:AL,7,FALSE)</f>
        <v>15</v>
      </c>
      <c r="AD196" s="4">
        <f>VLOOKUP(A196,'SegEnds_NonXtal_Prot#'!A:AL,13,FALSE)-VLOOKUP(A196,'SegEnds_NonXtal_Prot#'!A:AL,10,FALSE)</f>
        <v>21</v>
      </c>
      <c r="AE196" s="4">
        <f>VLOOKUP(A196,'SegEnds_NonXtal_Prot#'!A:AL,16,FALSE)-VLOOKUP(A196,'SegEnds_NonXtal_Prot#'!A:AL,10,FALSE)</f>
        <v>53</v>
      </c>
      <c r="AF196" s="1">
        <f>VLOOKUP(A196,'SegEnds_NonXtal_Prot#'!A:AL,22,FALSE)-VLOOKUP(A196,'SegEnds_NonXtal_Prot#'!A:AL,19,FALSE)</f>
        <v>18</v>
      </c>
      <c r="AG196" s="4">
        <f>VLOOKUP(A196,'SegEnds_NonXtal_Prot#'!A:AL,28,FALSE)-VLOOKUP(A196,'SegEnds_NonXtal_Prot#'!A:AL,25,FALSE)</f>
        <v>26</v>
      </c>
      <c r="AH196" s="1">
        <f>VLOOKUP(A196,'SegEnds_NonXtal_Prot#'!A:AL,28,FALSE)-VLOOKUP(A196,'SegEnds_NonXtal_Prot#'!A:AL,22,FALSE)</f>
        <v>53</v>
      </c>
      <c r="AI196" s="4">
        <f>VLOOKUP(A196,'SegEnds_NonXtal_Prot#'!A:AL,31,FALSE)-VLOOKUP(A196,'SegEnds_NonXtal_Prot#'!A:AL,28,FALSE)</f>
        <v>56</v>
      </c>
      <c r="AJ196" s="4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381</v>
      </c>
      <c r="B197" s="1" t="str">
        <f>VLOOKUP(A197,Xtal_Templ!A:B,2,FALSE)</f>
        <v>oprk_human</v>
      </c>
      <c r="C197" s="5">
        <f>VLOOKUP($B197&amp;"__wt",'SegEnds_Xtal_BW#'!$A:$Z,3,FALSE)</f>
        <v>30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21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7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30</v>
      </c>
      <c r="T197" s="1">
        <f t="array" ref="T197">INDEX(ICL3_classA!$G$2:$G$39,MATCH(MIN(ABS(AI197-ICL3_classA!$F$2:$F$39)),ABS(AI197-ICL3_classA!$F$2:$F$39),0))</f>
        <v>68</v>
      </c>
      <c r="U197" s="1">
        <f t="array" ref="U197">INDEX(ICL3_classA!$H$2:$H$39,MATCH(MIN(ABS(AI197-ICL3_classA!$F$2:$F$39)),ABS(AI197-ICL3_classA!$F$2:$F$39),0))</f>
        <v>23</v>
      </c>
      <c r="V197" s="1">
        <v>61</v>
      </c>
      <c r="W197" s="1">
        <v>32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59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19</v>
      </c>
      <c r="AE197" s="1">
        <f>VLOOKUP(A197,'SegEnds_NonXtal_Prot#'!A:AL,16,FALSE)-VLOOKUP(A197,'SegEnds_NonXtal_Prot#'!A:AL,10,FALSE)</f>
        <v>51</v>
      </c>
      <c r="AF197" s="1">
        <f>VLOOKUP(A197,'SegEnds_NonXtal_Prot#'!A:AL,22,FALSE)-VLOOKUP(A197,'SegEnds_NonXtal_Prot#'!A:AL,19,FALSE)</f>
        <v>20</v>
      </c>
      <c r="AG197" s="1">
        <f>VLOOKUP(A197,'SegEnds_NonXtal_Prot#'!A:AL,28,FALSE)-VLOOKUP(A197,'SegEnds_NonXtal_Prot#'!A:AL,25,FALSE)</f>
        <v>27</v>
      </c>
      <c r="AH197" s="1">
        <f>VLOOKUP(A197,'SegEnds_NonXtal_Prot#'!A:AL,28,FALSE)-VLOOKUP(A197,'SegEnds_NonXtal_Prot#'!A:AL,22,FALSE)</f>
        <v>53</v>
      </c>
      <c r="AI197" s="1">
        <f>VLOOKUP(A197,'SegEnds_NonXtal_Prot#'!A:AL,31,FALSE)-VLOOKUP(A197,'SegEnds_NonXtal_Prot#'!A:AL,28,FALSE)</f>
        <v>51</v>
      </c>
      <c r="AJ197" s="1">
        <f>VLOOKUP(A197,'SegEnds_NonXtal_Prot#'!A:AL,34,FALSE)-VLOOKUP(A197,'SegEnds_NonXtal_Prot#'!A:AL,31,FALSE)</f>
        <v>34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382</v>
      </c>
      <c r="B198" s="1" t="str">
        <f>VLOOKUP(A198,Xtal_Templ!A:B,2,FALSE)</f>
        <v>oprk_human</v>
      </c>
      <c r="C198" s="5">
        <f>VLOOKUP($B198&amp;"__wt",'SegEnds_Xtal_BW#'!$A:$Z,3,FALSE)</f>
        <v>30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v>66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21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30</v>
      </c>
      <c r="T198" s="1">
        <f t="array" ref="T198">INDEX(ICL3_classA!$G$2:$G$39,MATCH(MIN(ABS(AI198-ICL3_classA!$F$2:$F$39)),ABS(AI198-ICL3_classA!$F$2:$F$39),0))</f>
        <v>68</v>
      </c>
      <c r="U198" s="1">
        <f t="array" ref="U198">INDEX(ICL3_classA!$H$2:$H$39,MATCH(MIN(ABS(AI198-ICL3_classA!$F$2:$F$39)),ABS(AI198-ICL3_classA!$F$2:$F$39),0))</f>
        <v>23</v>
      </c>
      <c r="V198" s="1">
        <v>61</v>
      </c>
      <c r="W198" s="131">
        <f>VLOOKUP($B198&amp;"__wt",'SegEnds_Xtal_BW#'!$A:$Z,23,FALSE)</f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59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19</v>
      </c>
      <c r="AE198" s="1">
        <f>VLOOKUP(A198,'SegEnds_NonXtal_Prot#'!A:AL,16,FALSE)-VLOOKUP(A198,'SegEnds_NonXtal_Prot#'!A:AL,10,FALSE)</f>
        <v>51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27</v>
      </c>
      <c r="AH198" s="1">
        <f>VLOOKUP(A198,'SegEnds_NonXtal_Prot#'!A:AL,28,FALSE)-VLOOKUP(A198,'SegEnds_NonXtal_Prot#'!A:AL,22,FALSE)</f>
        <v>53</v>
      </c>
      <c r="AI198" s="1">
        <f>VLOOKUP(A198,'SegEnds_NonXtal_Prot#'!A:AL,31,FALSE)-VLOOKUP(A198,'SegEnds_NonXtal_Prot#'!A:AL,28,FALSE)</f>
        <v>51</v>
      </c>
      <c r="AJ198" s="1">
        <f>VLOOKUP(A198,'SegEnds_NonXtal_Prot#'!A:AL,34,FALSE)-VLOOKUP(A198,'SegEnds_NonXtal_Prot#'!A:AL,31,FALSE)</f>
        <v>38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388</v>
      </c>
      <c r="B199" s="1" t="str">
        <f>VLOOKUP(A199,Xtal_Templ!A:B,2,FALSE)</f>
        <v>adrb2_human</v>
      </c>
      <c r="C199" s="5">
        <f>VLOOKUP($B199&amp;"__wt",'SegEnds_Xtal_BW#'!$A:$Z,3,FALSE)</f>
        <v>25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v>35</v>
      </c>
      <c r="T199" s="1">
        <f t="array" ref="T199">INDEX(ICL3_classA!$G$2:$G$39,MATCH(MIN(ABS(AI199-ICL3_classA!$F$2:$F$39)),ABS(AI199-ICL3_classA!$F$2:$F$39),0))</f>
        <v>73</v>
      </c>
      <c r="U199" s="1">
        <f t="array" ref="U199">INDEX(ICL3_classA!$H$2:$H$39,MATCH(MIN(ABS(AI199-ICL3_classA!$F$2:$F$39)),ABS(AI199-ICL3_classA!$F$2:$F$39),0))</f>
        <v>22</v>
      </c>
      <c r="V199" s="1">
        <v>61</v>
      </c>
      <c r="W199" s="1">
        <v>31</v>
      </c>
      <c r="X199" s="108">
        <v>56</v>
      </c>
      <c r="Y199" s="1">
        <f>VLOOKUP($B199&amp;"__wt",'SegEnds_Xtal_BW#'!$A:$Z,25,FALSE)</f>
        <v>47</v>
      </c>
      <c r="Z199" s="1">
        <f>VLOOKUP($B199&amp;"__wt",'SegEnds_Xtal_BW#'!$A:$Z,26,FALSE)</f>
        <v>59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20</v>
      </c>
      <c r="AH199" s="1">
        <f>VLOOKUP(A199,'SegEnds_NonXtal_Prot#'!A:AL,28,FALSE)-VLOOKUP(A199,'SegEnds_NonXtal_Prot#'!A:AL,22,FALSE)</f>
        <v>53</v>
      </c>
      <c r="AI199" s="1">
        <f>VLOOKUP(A199,'SegEnds_NonXtal_Prot#'!A:AL,31,FALSE)-VLOOKUP(A199,'SegEnds_NonXtal_Prot#'!A:AL,28,FALSE)</f>
        <v>56</v>
      </c>
      <c r="AJ199" s="1">
        <f>VLOOKUP(A199,'SegEnds_NonXtal_Prot#'!A:AL,34,FALSE)-VLOOKUP(A199,'SegEnds_NonXtal_Prot#'!A:AL,31,FALSE)</f>
        <v>35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NoXtal</v>
      </c>
    </row>
    <row r="200" spans="1:38" x14ac:dyDescent="0.2">
      <c r="A200" s="1" t="s">
        <v>389</v>
      </c>
      <c r="B200" s="1" t="str">
        <f>VLOOKUP(A200,Xtal_Templ!A:B,2,FALSE)</f>
        <v>drd2_human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68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7">
        <f>VLOOKUP($B200&amp;"__wt",'SegEnds_Xtal_BW#'!$A:$Z,15,FALSE)</f>
        <v>38</v>
      </c>
      <c r="P200" s="1">
        <f>VLOOKUP($B200&amp;"__wt",'SegEnds_Xtal_BW#'!$A:$Z,16,FALSE)</f>
        <v>62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v>35</v>
      </c>
      <c r="T200" s="1">
        <f t="array" ref="T200">INDEX(ICL3_classA!$G$2:$G$39,MATCH(MIN(ABS(AI200-ICL3_classA!$F$2:$F$39)),ABS(AI200-ICL3_classA!$F$2:$F$39),0))</f>
        <v>74</v>
      </c>
      <c r="U200" s="1">
        <f t="array" ref="U200">INDEX(ICL3_classA!$H$2:$H$39,MATCH(MIN(ABS(AI200-ICL3_classA!$F$2:$F$39)),ABS(AI200-ICL3_classA!$F$2:$F$39),0))</f>
        <v>21</v>
      </c>
      <c r="V200" s="1">
        <v>61</v>
      </c>
      <c r="W200" s="1">
        <v>31</v>
      </c>
      <c r="X200" s="108"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20</v>
      </c>
      <c r="AH200" s="1">
        <f>VLOOKUP(A200,'SegEnds_NonXtal_Prot#'!A:AL,28,FALSE)-VLOOKUP(A200,'SegEnds_NonXtal_Prot#'!A:AL,22,FALSE)</f>
        <v>53</v>
      </c>
      <c r="AI200" s="1">
        <f>VLOOKUP(A200,'SegEnds_NonXtal_Prot#'!A:AL,31,FALSE)-VLOOKUP(A200,'SegEnds_NonXtal_Prot#'!A:AL,28,FALSE)</f>
        <v>62</v>
      </c>
      <c r="AJ200" s="1">
        <f>VLOOKUP(A200,'SegEnds_NonXtal_Prot#'!A:AL,34,FALSE)-VLOOKUP(A200,'SegEnds_NonXtal_Prot#'!A:AL,31,FALSE)</f>
        <v>35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394</v>
      </c>
      <c r="B201" s="1" t="str">
        <f>VLOOKUP(A201,Xtal_Templ!A:B,2,FALSE)</f>
        <v>oprx_human</v>
      </c>
      <c r="C201" s="5">
        <f>VLOOKUP($B201&amp;"__wt",'SegEnds_Xtal_BW#'!$A:$Z,3,FALSE)</f>
        <v>29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31</v>
      </c>
      <c r="T201" s="1">
        <f t="array" ref="T201">INDEX(ICL3_classA!$G$2:$G$39,MATCH(MIN(ABS(AI201-ICL3_classA!$F$2:$F$39)),ABS(AI201-ICL3_classA!$F$2:$F$39),0))</f>
        <v>76</v>
      </c>
      <c r="U201" s="1">
        <f t="array" ref="U201">INDEX(ICL3_classA!$H$2:$H$39,MATCH(MIN(ABS(AI201-ICL3_classA!$F$2:$F$39)),ABS(AI201-ICL3_classA!$F$2:$F$39),0))</f>
        <v>24</v>
      </c>
      <c r="V201" s="1">
        <v>61</v>
      </c>
      <c r="W201" s="1">
        <v>31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24</v>
      </c>
      <c r="AH201" s="1">
        <f>VLOOKUP(A201,'SegEnds_NonXtal_Prot#'!A:AL,28,FALSE)-VLOOKUP(A201,'SegEnds_NonXtal_Prot#'!A:AL,22,FALSE)</f>
        <v>53</v>
      </c>
      <c r="AI201" s="1">
        <f>VLOOKUP(A201,'SegEnds_NonXtal_Prot#'!A:AL,31,FALSE)-VLOOKUP(A201,'SegEnds_NonXtal_Prot#'!A:AL,28,FALSE)</f>
        <v>78</v>
      </c>
      <c r="AJ201" s="1">
        <f>VLOOKUP(A201,'SegEnds_NonXtal_Prot#'!A:AL,34,FALSE)-VLOOKUP(A201,'SegEnds_NonXtal_Prot#'!A:AL,31,FALSE)</f>
        <v>36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397</v>
      </c>
      <c r="B202" s="1" t="str">
        <f>VLOOKUP(A202,Xtal_Templ!A:B,2,FALSE)</f>
        <v>ox2r_human</v>
      </c>
      <c r="C202" s="5">
        <f>VLOOKUP($B202&amp;"__wt",'SegEnds_Xtal_BW#'!$A:$Z,3,FALSE)</f>
        <v>31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08">
        <v>66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08">
        <v>56</v>
      </c>
      <c r="O202" s="87">
        <f>VLOOKUP($B202&amp;"__wt",'SegEnds_Xtal_BW#'!$A:$Z,15,FALSE)</f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33</v>
      </c>
      <c r="T202" s="1">
        <f t="array" ref="T202">INDEX(ICL3_classA!$G$2:$G$39,MATCH(MIN(ABS(AI202-ICL3_classA!$F$2:$F$39)),ABS(AI202-ICL3_classA!$F$2:$F$39),0))</f>
        <v>76</v>
      </c>
      <c r="U202" s="1">
        <f t="array" ref="U202">INDEX(ICL3_classA!$H$2:$H$39,MATCH(MIN(ABS(AI202-ICL3_classA!$F$2:$F$39)),ABS(AI202-ICL3_classA!$F$2:$F$39),0))</f>
        <v>24</v>
      </c>
      <c r="V202" s="1">
        <v>61</v>
      </c>
      <c r="W202" s="131">
        <f>VLOOKUP($B202&amp;"__wt",'SegEnds_Xtal_BW#'!$A:$Z,23,FALSE)</f>
        <v>27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63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18</v>
      </c>
      <c r="AE202" s="1">
        <f>VLOOKUP(A202,'SegEnds_NonXtal_Prot#'!A:AL,16,FALSE)-VLOOKUP(A202,'SegEnds_NonXtal_Prot#'!A:AL,10,FALSE)</f>
        <v>52</v>
      </c>
      <c r="AF202" s="1">
        <f>VLOOKUP(A202,'SegEnds_NonXtal_Prot#'!A:AL,22,FALSE)-VLOOKUP(A202,'SegEnds_NonXtal_Prot#'!A:AL,19,FALSE)</f>
        <v>19</v>
      </c>
      <c r="AG202" s="1">
        <f>VLOOKUP(A202,'SegEnds_NonXtal_Prot#'!A:AL,28,FALSE)-VLOOKUP(A202,'SegEnds_NonXtal_Prot#'!A:AL,25,FALSE)</f>
        <v>25</v>
      </c>
      <c r="AH202" s="1">
        <f>VLOOKUP(A202,'SegEnds_NonXtal_Prot#'!A:AL,28,FALSE)-VLOOKUP(A202,'SegEnds_NonXtal_Prot#'!A:AL,22,FALSE)</f>
        <v>53</v>
      </c>
      <c r="AI202" s="1">
        <f>VLOOKUP(A202,'SegEnds_NonXtal_Prot#'!A:AL,31,FALSE)-VLOOKUP(A202,'SegEnds_NonXtal_Prot#'!A:AL,28,FALSE)</f>
        <v>78</v>
      </c>
      <c r="AJ202" s="1">
        <f>VLOOKUP(A202,'SegEnds_NonXtal_Prot#'!A:AL,34,FALSE)-VLOOKUP(A202,'SegEnds_NonXtal_Prot#'!A:AL,31,FALSE)</f>
        <v>39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398</v>
      </c>
      <c r="B203" s="1" t="str">
        <f>VLOOKUP(A203,Xtal_Templ!A:B,2,FALSE)</f>
        <v>ntr1_human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 t="str">
        <f>VLOOKUP($B203&amp;"__wt",'SegEnds_Xtal_BW#'!$A:$Z,5,FALSE)</f>
        <v>-</v>
      </c>
      <c r="F203" s="1" t="str">
        <f>VLOOKUP($B203&amp;"__wt",'SegEnds_Xtal_BW#'!$A:$Z,6,FALSE)</f>
        <v>-</v>
      </c>
      <c r="G203" s="1">
        <v>37</v>
      </c>
      <c r="H203" s="108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08">
        <v>56</v>
      </c>
      <c r="O203" s="87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31</v>
      </c>
      <c r="T203" s="1">
        <f t="array" ref="T203">INDEX(ICL3_classA!$G$2:$G$39,MATCH(MIN(ABS(AI203-ICL3_classA!$F$2:$F$39)),ABS(AI203-ICL3_classA!$F$2:$F$39),0))</f>
        <v>76</v>
      </c>
      <c r="U203" s="1">
        <f t="array" ref="U203">INDEX(ICL3_classA!$H$2:$H$39,MATCH(MIN(ABS(AI203-ICL3_classA!$F$2:$F$39)),ABS(AI203-ICL3_classA!$F$2:$F$39),0))</f>
        <v>24</v>
      </c>
      <c r="V203" s="1">
        <v>61</v>
      </c>
      <c r="W203" s="131">
        <f>VLOOKUP($B203&amp;"__wt",'SegEnds_Xtal_BW#'!$A:$Z,23,FALSE)</f>
        <v>24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62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18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19</v>
      </c>
      <c r="AG203" s="1">
        <f>VLOOKUP(A203,'SegEnds_NonXtal_Prot#'!A:AL,28,FALSE)-VLOOKUP(A203,'SegEnds_NonXtal_Prot#'!A:AL,25,FALSE)</f>
        <v>25</v>
      </c>
      <c r="AH203" s="1">
        <f>VLOOKUP(A203,'SegEnds_NonXtal_Prot#'!A:AL,28,FALSE)-VLOOKUP(A203,'SegEnds_NonXtal_Prot#'!A:AL,22,FALSE)</f>
        <v>53</v>
      </c>
      <c r="AI203" s="1">
        <f>VLOOKUP(A203,'SegEnds_NonXtal_Prot#'!A:AL,31,FALSE)-VLOOKUP(A203,'SegEnds_NonXtal_Prot#'!A:AL,28,FALSE)</f>
        <v>85</v>
      </c>
      <c r="AJ203" s="1">
        <f>VLOOKUP(A203,'SegEnds_NonXtal_Prot#'!A:AL,34,FALSE)-VLOOKUP(A203,'SegEnds_NonXtal_Prot#'!A:AL,31,FALSE)</f>
        <v>39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399</v>
      </c>
      <c r="B204" s="1" t="str">
        <f>VLOOKUP(A204,Xtal_Templ!A:B,2,FALSE)</f>
        <v>mtr1b_human</v>
      </c>
      <c r="C204" s="5">
        <f>VLOOKUP($B204&amp;"__wt",'SegEnds_Xtal_BW#'!$A:$Z,3,FALSE)</f>
        <v>30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08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7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35</v>
      </c>
      <c r="T204" s="1">
        <f t="array" ref="T204">INDEX(ICL3_classA!$G$2:$G$39,MATCH(MIN(ABS(AI204-ICL3_classA!$F$2:$F$39)),ABS(AI204-ICL3_classA!$F$2:$F$39),0))</f>
        <v>76</v>
      </c>
      <c r="U204" s="1">
        <f t="array" ref="U204">INDEX(ICL3_classA!$H$2:$H$39,MATCH(MIN(ABS(AI204-ICL3_classA!$F$2:$F$39)),ABS(AI204-ICL3_classA!$F$2:$F$39),0))</f>
        <v>24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63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30</v>
      </c>
      <c r="AC204" s="1">
        <f>VLOOKUP(A204,'SegEnds_NonXtal_Prot#'!A:AL,10,FALSE)-VLOOKUP(A204,'SegEnds_NonXtal_Prot#'!A:AL,7,FALSE)</f>
        <v>16</v>
      </c>
      <c r="AD204" s="1">
        <f>VLOOKUP(A204,'SegEnds_NonXtal_Prot#'!A:AL,13,FALSE)-VLOOKUP(A204,'SegEnds_NonXtal_Prot#'!A:AL,10,FALSE)</f>
        <v>18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25</v>
      </c>
      <c r="AH204" s="1">
        <f>VLOOKUP(A204,'SegEnds_NonXtal_Prot#'!A:AL,28,FALSE)-VLOOKUP(A204,'SegEnds_NonXtal_Prot#'!A:AL,22,FALSE)</f>
        <v>53</v>
      </c>
      <c r="AI204" s="1">
        <f>VLOOKUP(A204,'SegEnds_NonXtal_Prot#'!A:AL,31,FALSE)-VLOOKUP(A204,'SegEnds_NonXtal_Prot#'!A:AL,28,FALSE)</f>
        <v>69</v>
      </c>
      <c r="AJ204" s="1">
        <f>VLOOKUP(A204,'SegEnds_NonXtal_Prot#'!A:AL,34,FALSE)-VLOOKUP(A204,'SegEnds_NonXtal_Prot#'!A:AL,31,FALSE)</f>
        <v>36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141</v>
      </c>
      <c r="B205" s="1" t="str">
        <f>VLOOKUP(A205,Xtal_Templ!A:B,2,FALSE)</f>
        <v>aa1r_human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08">
        <v>66</v>
      </c>
      <c r="I205" s="1">
        <f>VLOOKUP($B205&amp;"__wt",'SegEnds_Xtal_BW#'!$A:$Z,9,FALSE)</f>
        <v>50</v>
      </c>
      <c r="J205" s="1">
        <f>VLOOKUP($B205&amp;"__wt",'SegEnds_Xtal_BW#'!$A:$Z,10,FALSE)</f>
        <v>52</v>
      </c>
      <c r="K205" s="12">
        <v>24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57</v>
      </c>
      <c r="O205" s="87">
        <v>38</v>
      </c>
      <c r="P205" s="1">
        <f>VLOOKUP($B205&amp;"__wt",'SegEnds_Xtal_BW#'!$A:$Z,16,FALSE)</f>
        <v>63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INDEX(ICL3_classA!$G$2:$G$39,MATCH(MIN(ABS(AI205-ICL3_classA!$F$2:$F$39)),ABS(AI205-ICL3_classA!$F$2:$F$39),0))</f>
        <v>73</v>
      </c>
      <c r="U205" s="1">
        <f t="array" ref="U205">INDEX(ICL3_classA!$H$2:$H$39,MATCH(MIN(ABS(AI205-ICL3_classA!$F$2:$F$39)),ABS(AI205-ICL3_classA!$F$2:$F$39),0))</f>
        <v>22</v>
      </c>
      <c r="V205" s="1">
        <v>61</v>
      </c>
      <c r="W205" s="1">
        <v>32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69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18</v>
      </c>
      <c r="AE205" s="1">
        <f>VLOOKUP(A205,'SegEnds_NonXtal_Prot#'!A:AL,16,FALSE)-VLOOKUP(A205,'SegEnds_NonXtal_Prot#'!A:AL,10,FALSE)</f>
        <v>50</v>
      </c>
      <c r="AF205" s="1">
        <f>VLOOKUP(A205,'SegEnds_NonXtal_Prot#'!A:AL,22,FALSE)-VLOOKUP(A205,'SegEnds_NonXtal_Prot#'!A:AL,19,FALSE)</f>
        <v>20</v>
      </c>
      <c r="AG205" s="1">
        <f>VLOOKUP(A205,'SegEnds_NonXtal_Prot#'!A:AL,28,FALSE)-VLOOKUP(A205,'SegEnds_NonXtal_Prot#'!A:AL,25,FALSE)</f>
        <v>23</v>
      </c>
      <c r="AH205" s="1">
        <f>VLOOKUP(A205,'SegEnds_NonXtal_Prot#'!A:AL,28,FALSE)-VLOOKUP(A205,'SegEnds_NonXtal_Prot#'!A:AL,22,FALSE)</f>
        <v>54</v>
      </c>
      <c r="AI205" s="1">
        <f>VLOOKUP(A205,'SegEnds_NonXtal_Prot#'!A:AL,31,FALSE)-VLOOKUP(A205,'SegEnds_NonXtal_Prot#'!A:AL,28,FALSE)</f>
        <v>56</v>
      </c>
      <c r="AJ205" s="1">
        <f>VLOOKUP(A205,'SegEnds_NonXtal_Prot#'!A:AL,34,FALSE)-VLOOKUP(A205,'SegEnds_NonXtal_Prot#'!A:AL,31,FALSE)</f>
        <v>34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102</v>
      </c>
      <c r="B206" s="1" t="str">
        <f>VLOOKUP(A206,Xtal_Templ!A:B,2,FALSE)</f>
        <v>adrb2_human</v>
      </c>
      <c r="C206" s="5">
        <f>VLOOKUP($B206&amp;"__wt",'SegEnds_Xtal_BW#'!$A:$Z,3,FALSE)</f>
        <v>25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v>35</v>
      </c>
      <c r="T206" s="1">
        <f t="array" ref="T206">INDEX(ICL3_classA!$G$2:$G$39,MATCH(MIN(ABS(AI206-ICL3_classA!$F$2:$F$39)),ABS(AI206-ICL3_classA!$F$2:$F$39),0))</f>
        <v>76</v>
      </c>
      <c r="U206" s="1">
        <f t="array" ref="U206">INDEX(ICL3_classA!$H$2:$H$39,MATCH(MIN(ABS(AI206-ICL3_classA!$F$2:$F$39)),ABS(AI206-ICL3_classA!$F$2:$F$39),0))</f>
        <v>24</v>
      </c>
      <c r="V206" s="1">
        <v>61</v>
      </c>
      <c r="W206" s="1">
        <v>31</v>
      </c>
      <c r="X206" s="124">
        <f>VLOOKUP($B206&amp;"__wt",'SegEnds_Xtal_BW#'!$A:$Z,24,FALSE)</f>
        <v>55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20</v>
      </c>
      <c r="AH206" s="1">
        <f>VLOOKUP(A206,'SegEnds_NonXtal_Prot#'!A:AL,28,FALSE)-VLOOKUP(A206,'SegEnds_NonXtal_Prot#'!A:AL,22,FALSE)</f>
        <v>54</v>
      </c>
      <c r="AI206" s="1">
        <f>VLOOKUP(A206,'SegEnds_NonXtal_Prot#'!A:AL,31,FALSE)-VLOOKUP(A206,'SegEnds_NonXtal_Prot#'!A:AL,28,FALSE)</f>
        <v>91</v>
      </c>
      <c r="AJ206" s="1">
        <f>VLOOKUP(A206,'SegEnds_NonXtal_Prot#'!A:AL,34,FALSE)-VLOOKUP(A206,'SegEnds_NonXtal_Prot#'!A:AL,31,FALSE)</f>
        <v>36</v>
      </c>
      <c r="AK206" s="1">
        <f>VLOOKUP(A206,'SegEnds_NonXtal_Prot#'!A:AL,37,FALSE)-VLOOKUP(A206,'SegEnds_NonXtal_Prot#'!A:AL,34,FALSE)</f>
        <v>9</v>
      </c>
      <c r="AL206" s="1" t="str">
        <f>IF(ISERROR(MATCH(A206,'SegEnds_Xtal_Prot#'!B:B, 0)), "NoXtal", "Xtal")</f>
        <v>NoXtal</v>
      </c>
    </row>
    <row r="207" spans="1:38" x14ac:dyDescent="0.2">
      <c r="A207" s="1" t="s">
        <v>158</v>
      </c>
      <c r="B207" s="1" t="str">
        <f>VLOOKUP(A207,Xtal_Templ!A:B,2,FALSE)</f>
        <v>agtr1_human</v>
      </c>
      <c r="C207" s="5">
        <f>VLOOKUP($B207&amp;"__wt",'SegEnds_Xtal_BW#'!$A:$Z,3,FALSE)</f>
        <v>28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f>VLOOKUP($B207&amp;"__wt",'SegEnds_Xtal_BW#'!$A:$Z,14,FALSE)</f>
        <v>57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INDEX(ICL3_classA!$G$2:$G$39,MATCH(MIN(ABS(AI207-ICL3_classA!$F$2:$F$39)),ABS(AI207-ICL3_classA!$F$2:$F$39),0))</f>
        <v>68</v>
      </c>
      <c r="U207" s="1">
        <f t="array" ref="U207">INDEX(ICL3_classA!$H$2:$H$39,MATCH(MIN(ABS(AI207-ICL3_classA!$F$2:$F$39)),ABS(AI207-ICL3_classA!$F$2:$F$39),0))</f>
        <v>24</v>
      </c>
      <c r="V207" s="1">
        <v>64</v>
      </c>
      <c r="W207" s="1">
        <v>24</v>
      </c>
      <c r="X207" s="124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61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27</v>
      </c>
      <c r="AH207" s="1">
        <f>VLOOKUP(A207,'SegEnds_NonXtal_Prot#'!A:AL,28,FALSE)-VLOOKUP(A207,'SegEnds_NonXtal_Prot#'!A:AL,22,FALSE)</f>
        <v>54</v>
      </c>
      <c r="AI207" s="1">
        <f>VLOOKUP(A207,'SegEnds_NonXtal_Prot#'!A:AL,31,FALSE)-VLOOKUP(A207,'SegEnds_NonXtal_Prot#'!A:AL,28,FALSE)</f>
        <v>48</v>
      </c>
      <c r="AJ207" s="1">
        <f>VLOOKUP(A207,'SegEnds_NonXtal_Prot#'!A:AL,34,FALSE)-VLOOKUP(A207,'SegEnds_NonXtal_Prot#'!A:AL,31,FALSE)</f>
        <v>44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Xtal</v>
      </c>
    </row>
    <row r="208" spans="1:38" x14ac:dyDescent="0.2">
      <c r="A208" s="1" t="s">
        <v>162</v>
      </c>
      <c r="B208" s="1" t="str">
        <f>VLOOKUP(A208,Xtal_Templ!A:B,2,FALSE)</f>
        <v>agtr2_human</v>
      </c>
      <c r="C208" s="5">
        <f>VLOOKUP($B208&amp;"__wt",'SegEnds_Xtal_BW#'!$A:$Z,3,FALSE)</f>
        <v>33</v>
      </c>
      <c r="D208" s="1">
        <f>VLOOKUP($B208&amp;"__wt",'SegEnds_Xtal_BW#'!$A:$Z,4,FALSE)</f>
        <v>60</v>
      </c>
      <c r="E208" s="1" t="str">
        <f>VLOOKUP($B208&amp;"__wt",'SegEnds_Xtal_BW#'!$A:$Z,5,FALSE)</f>
        <v>-</v>
      </c>
      <c r="F208" s="1" t="str">
        <f>VLOOKUP($B208&amp;"__wt",'SegEnds_Xtal_BW#'!$A:$Z,6,FALSE)</f>
        <v>-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47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08">
        <v>57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30</v>
      </c>
      <c r="T208" s="1">
        <f t="array" ref="T208">INDEX(ICL3_classA!$G$2:$G$39,MATCH(MIN(ABS(AI208-ICL3_classA!$F$2:$F$39)),ABS(AI208-ICL3_classA!$F$2:$F$39),0))</f>
        <v>68</v>
      </c>
      <c r="U208" s="1">
        <f t="array" ref="U208">INDEX(ICL3_classA!$H$2:$H$39,MATCH(MIN(ABS(AI208-ICL3_classA!$F$2:$F$39)),ABS(AI208-ICL3_classA!$F$2:$F$39),0))</f>
        <v>24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61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20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54</v>
      </c>
      <c r="AI208" s="1">
        <f>VLOOKUP(A208,'SegEnds_NonXtal_Prot#'!A:AL,31,FALSE)-VLOOKUP(A208,'SegEnds_NonXtal_Prot#'!A:AL,28,FALSE)</f>
        <v>49</v>
      </c>
      <c r="AJ208" s="1">
        <f>VLOOKUP(A208,'SegEnds_NonXtal_Prot#'!A:AL,34,FALSE)-VLOOKUP(A208,'SegEnds_NonXtal_Prot#'!A:AL,31,FALSE)</f>
        <v>44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2" t="s">
        <v>174</v>
      </c>
      <c r="B209" s="12" t="str">
        <f>VLOOKUP(A209,Xtal_Templ!A:B,2,FALSE)</f>
        <v>ccr7_human</v>
      </c>
      <c r="C209" s="13">
        <f>VLOOKUP($B209&amp;"__wt",'SegEnds_Xtal_BW#'!$A:$Z,3,FALSE)</f>
        <v>29</v>
      </c>
      <c r="D209" s="12">
        <f>VLOOKUP($B209&amp;"__wt",'SegEnds_Xtal_BW#'!$A:$Z,4,FALSE)</f>
        <v>60</v>
      </c>
      <c r="E209" s="12">
        <f>VLOOKUP($B209&amp;"__wt",'SegEnds_Xtal_BW#'!$A:$Z,5,FALSE)</f>
        <v>48</v>
      </c>
      <c r="F209" s="12">
        <f>VLOOKUP($B209&amp;"__wt",'SegEnds_Xtal_BW#'!$A:$Z,6,FALSE)</f>
        <v>51</v>
      </c>
      <c r="G209" s="12">
        <v>37</v>
      </c>
      <c r="H209" s="12">
        <v>66</v>
      </c>
      <c r="I209" s="12">
        <f>VLOOKUP($B209&amp;"__wt",'SegEnds_Xtal_BW#'!$A:$Z,9,FALSE)</f>
        <v>49</v>
      </c>
      <c r="J209" s="12">
        <f>VLOOKUP($B209&amp;"__wt",'SegEnds_Xtal_BW#'!$A:$Z,10,FALSE)</f>
        <v>52</v>
      </c>
      <c r="K209" s="12">
        <v>21</v>
      </c>
      <c r="L209" s="12">
        <f>VLOOKUP($B209&amp;"__wt",'SegEnds_Xtal_BW#'!$A:$Z,12,FALSE)</f>
        <v>56</v>
      </c>
      <c r="M209" s="12">
        <f>VLOOKUP($B209&amp;"__wt",'SegEnds_Xtal_BW#'!$A:$Z,13,FALSE)</f>
        <v>50</v>
      </c>
      <c r="N209" s="12">
        <v>58</v>
      </c>
      <c r="O209" s="87">
        <v>38</v>
      </c>
      <c r="P209" s="12">
        <f>VLOOKUP($B209&amp;"__wt",'SegEnds_Xtal_BW#'!$A:$Z,16,FALSE)</f>
        <v>64</v>
      </c>
      <c r="Q209" s="12">
        <f>VLOOKUP($B209&amp;"__wt",'SegEnds_Xtal_BW#'!$A:$Z,17,FALSE)</f>
        <v>50</v>
      </c>
      <c r="R209" s="12">
        <f>VLOOKUP($B209&amp;"__wt",'SegEnds_Xtal_BW#'!$A:$Z,18,FALSE)</f>
        <v>52</v>
      </c>
      <c r="S209" s="12">
        <f>VLOOKUP($B209&amp;"__wt",'SegEnds_Xtal_BW#'!$A:$Z,19,FALSE)</f>
        <v>33</v>
      </c>
      <c r="T209" s="12">
        <f t="array" ref="T209">INDEX(ICL3_classA!$G$2:$G$39,MATCH(MIN(ABS(AI209-ICL3_classA!$F$2:$F$39)),ABS(AI209-ICL3_classA!$F$2:$F$39),0))</f>
        <v>68</v>
      </c>
      <c r="U209" s="12">
        <f t="array" ref="U209">INDEX(ICL3_classA!$H$2:$H$39,MATCH(MIN(ABS(AI209-ICL3_classA!$F$2:$F$39)),ABS(AI209-ICL3_classA!$F$2:$F$39),0))</f>
        <v>30</v>
      </c>
      <c r="V209" s="12">
        <v>65</v>
      </c>
      <c r="W209" s="12">
        <v>24</v>
      </c>
      <c r="X209" s="12">
        <f>VLOOKUP($B209&amp;"__wt",'SegEnds_Xtal_BW#'!$A:$Z,24,FALSE)</f>
        <v>56</v>
      </c>
      <c r="Y209" s="12">
        <f>VLOOKUP($B209&amp;"__wt",'SegEnds_Xtal_BW#'!$A:$Z,25,FALSE)</f>
        <v>47</v>
      </c>
      <c r="Z209" s="12">
        <f>VLOOKUP($B209&amp;"__wt",'SegEnds_Xtal_BW#'!$A:$Z,26,FALSE)</f>
        <v>59</v>
      </c>
      <c r="AA209" s="36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2">
        <f>VLOOKUP(A209,'SegEnds_NonXtal_Prot#'!A:AL,10,FALSE)-VLOOKUP(A209,'SegEnds_NonXtal_Prot#'!A:AL,7,FALSE)</f>
        <v>15</v>
      </c>
      <c r="AD209" s="12">
        <f>VLOOKUP(A209,'SegEnds_NonXtal_Prot#'!A:AL,13,FALSE)-VLOOKUP(A209,'SegEnds_NonXtal_Prot#'!A:AL,10,FALSE)</f>
        <v>19</v>
      </c>
      <c r="AE209" s="12">
        <f>VLOOKUP(A209,'SegEnds_NonXtal_Prot#'!A:AL,16,FALSE)-VLOOKUP(A209,'SegEnds_NonXtal_Prot#'!A:AL,10,FALSE)</f>
        <v>51</v>
      </c>
      <c r="AF209" s="1">
        <f>VLOOKUP(A209,'SegEnds_NonXtal_Prot#'!A:AL,22,FALSE)-VLOOKUP(A209,'SegEnds_NonXtal_Prot#'!A:AL,19,FALSE)</f>
        <v>22</v>
      </c>
      <c r="AG209" s="12">
        <f>VLOOKUP(A209,'SegEnds_NonXtal_Prot#'!A:AL,28,FALSE)-VLOOKUP(A209,'SegEnds_NonXtal_Prot#'!A:AL,25,FALSE)</f>
        <v>29</v>
      </c>
      <c r="AH209" s="1">
        <f>VLOOKUP(A209,'SegEnds_NonXtal_Prot#'!A:AL,28,FALSE)-VLOOKUP(A209,'SegEnds_NonXtal_Prot#'!A:AL,22,FALSE)</f>
        <v>54</v>
      </c>
      <c r="AI209" s="12">
        <f>VLOOKUP(A209,'SegEnds_NonXtal_Prot#'!A:AL,31,FALSE)-VLOOKUP(A209,'SegEnds_NonXtal_Prot#'!A:AL,28,FALSE)</f>
        <v>43</v>
      </c>
      <c r="AJ209" s="12">
        <f>VLOOKUP(A209,'SegEnds_NonXtal_Prot#'!A:AL,34,FALSE)-VLOOKUP(A209,'SegEnds_NonXtal_Prot#'!A:AL,31,FALSE)</f>
        <v>44</v>
      </c>
      <c r="AK209" s="1">
        <f>VLOOKUP(A209,'SegEnds_NonXtal_Prot#'!A:AL,37,FALSE)-VLOOKUP(A209,'SegEnds_NonXtal_Prot#'!A:AL,34,FALSE)</f>
        <v>10</v>
      </c>
      <c r="AL209" s="12" t="str">
        <f>IF(ISERROR(MATCH(A209,'SegEnds_Xtal_Prot#'!B:B, 0)), "NoXtal", "Xtal")</f>
        <v>NoXtal</v>
      </c>
    </row>
    <row r="210" spans="1:38" x14ac:dyDescent="0.2">
      <c r="A210" s="1" t="s">
        <v>334</v>
      </c>
      <c r="B210" s="1" t="str">
        <f>VLOOKUP(A210,Xtal_Templ!A:B,2,FALSE)</f>
        <v>opsd_bovin</v>
      </c>
      <c r="C210" s="5">
        <f>VLOOKUP($B210&amp;"__wt",'SegEnds_Xtal_BW#'!$A:$Z,3,FALSE)</f>
        <v>28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08">
        <v>56</v>
      </c>
      <c r="O210" s="87">
        <f>VLOOKUP($B210&amp;"__wt",'SegEnds_Xtal_BW#'!$A:$Z,15,FALSE)</f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INDEX(ICL3_classA!$G$2:$G$39,MATCH(MIN(ABS(AI210-ICL3_classA!$F$2:$F$39)),ABS(AI210-ICL3_classA!$F$2:$F$39),0))</f>
        <v>73</v>
      </c>
      <c r="U210" s="1">
        <f t="array" ref="U210">INDEX(ICL3_classA!$H$2:$H$39,MATCH(MIN(ABS(AI210-ICL3_classA!$F$2:$F$39)),ABS(AI210-ICL3_classA!$F$2:$F$39),0))</f>
        <v>22</v>
      </c>
      <c r="V210" s="1">
        <v>61</v>
      </c>
      <c r="W210" s="1">
        <v>31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14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19</v>
      </c>
      <c r="AG210" s="1">
        <f>VLOOKUP(A210,'SegEnds_NonXtal_Prot#'!A:AL,28,FALSE)-VLOOKUP(A210,'SegEnds_NonXtal_Prot#'!A:AL,25,FALSE)</f>
        <v>28</v>
      </c>
      <c r="AH210" s="1">
        <f>VLOOKUP(A210,'SegEnds_NonXtal_Prot#'!A:AL,28,FALSE)-VLOOKUP(A210,'SegEnds_NonXtal_Prot#'!A:AL,22,FALSE)</f>
        <v>54</v>
      </c>
      <c r="AI210" s="1">
        <f>VLOOKUP(A210,'SegEnds_NonXtal_Prot#'!A:AL,31,FALSE)-VLOOKUP(A210,'SegEnds_NonXtal_Prot#'!A:AL,28,FALSE)</f>
        <v>56</v>
      </c>
      <c r="AJ210" s="1">
        <f>VLOOKUP(A210,'SegEnds_NonXtal_Prot#'!A:AL,34,FALSE)-VLOOKUP(A210,'SegEnds_NonXtal_Prot#'!A:AL,31,FALSE)</f>
        <v>36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338</v>
      </c>
      <c r="B211" s="1" t="str">
        <f>VLOOKUP(A211,Xtal_Templ!A:B,2,FALSE)</f>
        <v>opsd_human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08">
        <v>56</v>
      </c>
      <c r="O211" s="87">
        <f>VLOOKUP($B211&amp;"__wt",'SegEnds_Xtal_BW#'!$A:$Z,15,FALSE)</f>
        <v>38</v>
      </c>
      <c r="P211" s="1">
        <f>VLOOKUP($B211&amp;"__wt",'SegEnds_Xtal_BW#'!$A:$Z,16,FALSE)</f>
        <v>62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34</v>
      </c>
      <c r="T211" s="1">
        <f t="array" ref="T211">INDEX(ICL3_classA!$G$2:$G$39,MATCH(MIN(ABS(AI211-ICL3_classA!$F$2:$F$39)),ABS(AI211-ICL3_classA!$F$2:$F$39),0))</f>
        <v>72</v>
      </c>
      <c r="U211" s="1">
        <f t="array" ref="U211">INDEX(ICL3_classA!$H$2:$H$39,MATCH(MIN(ABS(AI211-ICL3_classA!$F$2:$F$39)),ABS(AI211-ICL3_classA!$F$2:$F$39),0))</f>
        <v>23</v>
      </c>
      <c r="V211" s="1">
        <v>61</v>
      </c>
      <c r="W211" s="1">
        <v>31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59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19</v>
      </c>
      <c r="AG211" s="1">
        <f>VLOOKUP(A211,'SegEnds_NonXtal_Prot#'!A:AL,28,FALSE)-VLOOKUP(A211,'SegEnds_NonXtal_Prot#'!A:AL,25,FALSE)</f>
        <v>28</v>
      </c>
      <c r="AH211" s="1">
        <f>VLOOKUP(A211,'SegEnds_NonXtal_Prot#'!A:AL,28,FALSE)-VLOOKUP(A211,'SegEnds_NonXtal_Prot#'!A:AL,22,FALSE)</f>
        <v>54</v>
      </c>
      <c r="AI211" s="1">
        <f>VLOOKUP(A211,'SegEnds_NonXtal_Prot#'!A:AL,31,FALSE)-VLOOKUP(A211,'SegEnds_NonXtal_Prot#'!A:AL,28,FALSE)</f>
        <v>52</v>
      </c>
      <c r="AJ211" s="1">
        <f>VLOOKUP(A211,'SegEnds_NonXtal_Prot#'!A:AL,34,FALSE)-VLOOKUP(A211,'SegEnds_NonXtal_Prot#'!A:AL,31,FALSE)</f>
        <v>36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919</v>
      </c>
      <c r="B212" s="1" t="str">
        <f>VLOOKUP(A212,Xtal_Templ!A:B,2,FALSE)</f>
        <v>opsd_bovin</v>
      </c>
      <c r="C212" s="5">
        <f>VLOOKUP($B212&amp;"__wt",'SegEnds_Xtal_BW#'!$A:$Z,3,FALSE)</f>
        <v>28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67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08">
        <f>VLOOKUP($B212&amp;"__wt",'SegEnds_Xtal_BW#'!$A:$Z,14,FALSE)</f>
        <v>56</v>
      </c>
      <c r="O212" s="87">
        <f>VLOOKUP($B212&amp;"__wt",'SegEnds_Xtal_BW#'!$A:$Z,15,FALSE)</f>
        <v>38</v>
      </c>
      <c r="P212" s="1">
        <f>VLOOKUP($B212&amp;"__wt",'SegEnds_Xtal_BW#'!$A:$Z,16,FALSE)</f>
        <v>62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34</v>
      </c>
      <c r="T212" s="1">
        <f t="array" ref="T212">INDEX(ICL3_classA!$G$2:$G$39,MATCH(MIN(ABS(AI212-ICL3_classA!$F$2:$F$39)),ABS(AI212-ICL3_classA!$F$2:$F$39),0))</f>
        <v>72</v>
      </c>
      <c r="U212" s="1">
        <f t="array" ref="U212">INDEX(ICL3_classA!$H$2:$H$39,MATCH(MIN(ABS(AI212-ICL3_classA!$F$2:$F$39)),ABS(AI212-ICL3_classA!$F$2:$F$39),0))</f>
        <v>23</v>
      </c>
      <c r="V212" s="1">
        <v>61</v>
      </c>
      <c r="W212" s="1">
        <v>31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19</v>
      </c>
      <c r="AG212" s="1">
        <f>VLOOKUP(A212,'SegEnds_NonXtal_Prot#'!A:AL,28,FALSE)-VLOOKUP(A212,'SegEnds_NonXtal_Prot#'!A:AL,25,FALSE)</f>
        <v>28</v>
      </c>
      <c r="AH212" s="1">
        <f>VLOOKUP(A212,'SegEnds_NonXtal_Prot#'!A:AL,28,FALSE)-VLOOKUP(A212,'SegEnds_NonXtal_Prot#'!A:AL,22,FALSE)</f>
        <v>54</v>
      </c>
      <c r="AI212" s="1">
        <f>VLOOKUP(A212,'SegEnds_NonXtal_Prot#'!A:AL,31,FALSE)-VLOOKUP(A212,'SegEnds_NonXtal_Prot#'!A:AL,28,FALSE)</f>
        <v>52</v>
      </c>
      <c r="AJ212" s="1">
        <f>VLOOKUP(A212,'SegEnds_NonXtal_Prot#'!A:AL,34,FALSE)-VLOOKUP(A212,'SegEnds_NonXtal_Prot#'!A:AL,31,FALSE)</f>
        <v>36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Xtal</v>
      </c>
    </row>
    <row r="213" spans="1:38" x14ac:dyDescent="0.2">
      <c r="A213" s="1" t="s">
        <v>339</v>
      </c>
      <c r="B213" s="1" t="str">
        <f>VLOOKUP(A213,Xtal_Templ!A:B,2,FALSE)</f>
        <v>opsd_human</v>
      </c>
      <c r="C213" s="5">
        <f>VLOOKUP($B213&amp;"__wt",'SegEnds_Xtal_BW#'!$A:$Z,3,FALSE)</f>
        <v>29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67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08">
        <f>VLOOKUP($B213&amp;"__wt",'SegEnds_Xtal_BW#'!$A:$Z,14,FALSE)</f>
        <v>56</v>
      </c>
      <c r="O213" s="87">
        <f>VLOOKUP($B213&amp;"__wt",'SegEnds_Xtal_BW#'!$A:$Z,15,FALSE)</f>
        <v>38</v>
      </c>
      <c r="P213" s="1">
        <f>VLOOKUP($B213&amp;"__wt",'SegEnds_Xtal_BW#'!$A:$Z,16,FALSE)</f>
        <v>62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34</v>
      </c>
      <c r="T213" s="1">
        <f t="array" ref="T213">INDEX(ICL3_classA!$G$2:$G$39,MATCH(MIN(ABS(AI213-ICL3_classA!$F$2:$F$39)),ABS(AI213-ICL3_classA!$F$2:$F$39),0))</f>
        <v>72</v>
      </c>
      <c r="U213" s="1">
        <f t="array" ref="U213">INDEX(ICL3_classA!$H$2:$H$39,MATCH(MIN(ABS(AI213-ICL3_classA!$F$2:$F$39)),ABS(AI213-ICL3_classA!$F$2:$F$39),0))</f>
        <v>23</v>
      </c>
      <c r="V213" s="1">
        <v>61</v>
      </c>
      <c r="W213" s="1">
        <v>31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19</v>
      </c>
      <c r="AG213" s="1">
        <f>VLOOKUP(A213,'SegEnds_NonXtal_Prot#'!A:AL,28,FALSE)-VLOOKUP(A213,'SegEnds_NonXtal_Prot#'!A:AL,25,FALSE)</f>
        <v>28</v>
      </c>
      <c r="AH213" s="1">
        <f>VLOOKUP(A213,'SegEnds_NonXtal_Prot#'!A:AL,28,FALSE)-VLOOKUP(A213,'SegEnds_NonXtal_Prot#'!A:AL,22,FALSE)</f>
        <v>54</v>
      </c>
      <c r="AI213" s="1">
        <f>VLOOKUP(A213,'SegEnds_NonXtal_Prot#'!A:AL,31,FALSE)-VLOOKUP(A213,'SegEnds_NonXtal_Prot#'!A:AL,28,FALSE)</f>
        <v>52</v>
      </c>
      <c r="AJ213" s="1">
        <f>VLOOKUP(A213,'SegEnds_NonXtal_Prot#'!A:AL,34,FALSE)-VLOOKUP(A213,'SegEnds_NonXtal_Prot#'!A:AL,31,FALSE)</f>
        <v>36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Xtal</v>
      </c>
    </row>
    <row r="214" spans="1:38" x14ac:dyDescent="0.2">
      <c r="A214" s="1" t="s">
        <v>340</v>
      </c>
      <c r="B214" s="1" t="str">
        <f>VLOOKUP(A214,Xtal_Templ!A:B,2,FALSE)</f>
        <v>opsd_human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56</v>
      </c>
      <c r="O214" s="87">
        <f>VLOOKUP($B214&amp;"__wt",'SegEnds_Xtal_BW#'!$A:$Z,15,FALSE)</f>
        <v>38</v>
      </c>
      <c r="P214" s="1">
        <f>VLOOKUP($B214&amp;"__wt",'SegEnds_Xtal_BW#'!$A:$Z,16,FALSE)</f>
        <v>62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34</v>
      </c>
      <c r="T214" s="1">
        <f t="array" ref="T214">INDEX(ICL3_classA!$G$2:$G$39,MATCH(MIN(ABS(AI214-ICL3_classA!$F$2:$F$39)),ABS(AI214-ICL3_classA!$F$2:$F$39),0))</f>
        <v>72</v>
      </c>
      <c r="U214" s="1">
        <f t="array" ref="U214">INDEX(ICL3_classA!$H$2:$H$39,MATCH(MIN(ABS(AI214-ICL3_classA!$F$2:$F$39)),ABS(AI214-ICL3_classA!$F$2:$F$39),0))</f>
        <v>23</v>
      </c>
      <c r="V214" s="1">
        <v>61</v>
      </c>
      <c r="W214" s="1">
        <v>31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19</v>
      </c>
      <c r="AG214" s="1">
        <f>VLOOKUP(A214,'SegEnds_NonXtal_Prot#'!A:AL,28,FALSE)-VLOOKUP(A214,'SegEnds_NonXtal_Prot#'!A:AL,25,FALSE)</f>
        <v>28</v>
      </c>
      <c r="AH214" s="1">
        <f>VLOOKUP(A214,'SegEnds_NonXtal_Prot#'!A:AL,28,FALSE)-VLOOKUP(A214,'SegEnds_NonXtal_Prot#'!A:AL,22,FALSE)</f>
        <v>54</v>
      </c>
      <c r="AI214" s="1">
        <f>VLOOKUP(A214,'SegEnds_NonXtal_Prot#'!A:AL,31,FALSE)-VLOOKUP(A214,'SegEnds_NonXtal_Prot#'!A:AL,28,FALSE)</f>
        <v>52</v>
      </c>
      <c r="AJ214" s="1">
        <f>VLOOKUP(A214,'SegEnds_NonXtal_Prot#'!A:AL,34,FALSE)-VLOOKUP(A214,'SegEnds_NonXtal_Prot#'!A:AL,31,FALSE)</f>
        <v>36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341</v>
      </c>
      <c r="B215" s="1" t="str">
        <f>VLOOKUP(A215,Xtal_Templ!A:B,2,FALSE)</f>
        <v>opsd_human</v>
      </c>
      <c r="C215" s="5">
        <f>VLOOKUP($B215&amp;"__wt",'SegEnds_Xtal_BW#'!$A:$Z,3,FALSE)</f>
        <v>29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56</v>
      </c>
      <c r="O215" s="87">
        <f>VLOOKUP($B215&amp;"__wt",'SegEnds_Xtal_BW#'!$A:$Z,15,FALSE)</f>
        <v>38</v>
      </c>
      <c r="P215" s="1">
        <f>VLOOKUP($B215&amp;"__wt",'SegEnds_Xtal_BW#'!$A:$Z,16,FALSE)</f>
        <v>62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34</v>
      </c>
      <c r="T215" s="1">
        <f t="array" ref="T215">INDEX(ICL3_classA!$G$2:$G$39,MATCH(MIN(ABS(AI215-ICL3_classA!$F$2:$F$39)),ABS(AI215-ICL3_classA!$F$2:$F$39),0))</f>
        <v>72</v>
      </c>
      <c r="U215" s="1">
        <f t="array" ref="U215">INDEX(ICL3_classA!$H$2:$H$39,MATCH(MIN(ABS(AI215-ICL3_classA!$F$2:$F$39)),ABS(AI215-ICL3_classA!$F$2:$F$39),0))</f>
        <v>23</v>
      </c>
      <c r="V215" s="1">
        <v>61</v>
      </c>
      <c r="W215" s="1">
        <v>31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19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19</v>
      </c>
      <c r="AG215" s="1">
        <f>VLOOKUP(A215,'SegEnds_NonXtal_Prot#'!A:AL,28,FALSE)-VLOOKUP(A215,'SegEnds_NonXtal_Prot#'!A:AL,25,FALSE)</f>
        <v>28</v>
      </c>
      <c r="AH215" s="1">
        <f>VLOOKUP(A215,'SegEnds_NonXtal_Prot#'!A:AL,28,FALSE)-VLOOKUP(A215,'SegEnds_NonXtal_Prot#'!A:AL,22,FALSE)</f>
        <v>54</v>
      </c>
      <c r="AI215" s="1">
        <f>VLOOKUP(A215,'SegEnds_NonXtal_Prot#'!A:AL,31,FALSE)-VLOOKUP(A215,'SegEnds_NonXtal_Prot#'!A:AL,28,FALSE)</f>
        <v>52</v>
      </c>
      <c r="AJ215" s="1">
        <f>VLOOKUP(A215,'SegEnds_NonXtal_Prot#'!A:AL,34,FALSE)-VLOOKUP(A215,'SegEnds_NonXtal_Prot#'!A:AL,31,FALSE)</f>
        <v>36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361</v>
      </c>
      <c r="B216" s="1" t="str">
        <f>VLOOKUP(A216,Xtal_Templ!A:B,2,FALSE)</f>
        <v>ta2r_human</v>
      </c>
      <c r="C216" s="5">
        <f>VLOOKUP($B216&amp;"__wt",'SegEnds_Xtal_BW#'!$A:$Z,3,FALSE)</f>
        <v>35</v>
      </c>
      <c r="D216" s="108">
        <v>61</v>
      </c>
      <c r="E216" s="1" t="str">
        <f>VLOOKUP($B216&amp;"__wt",'SegEnds_Xtal_BW#'!$A:$Z,5,FALSE)</f>
        <v>-</v>
      </c>
      <c r="F216" s="1" t="str">
        <f>VLOOKUP($B216&amp;"__wt",'SegEnds_Xtal_BW#'!$A:$Z,6,FALSE)</f>
        <v>-</v>
      </c>
      <c r="G216" s="1">
        <v>37</v>
      </c>
      <c r="H216" s="12">
        <v>66</v>
      </c>
      <c r="I216" s="1">
        <f>VLOOKUP($B216&amp;"__wt",'SegEnds_Xtal_BW#'!$A:$Z,9,FALSE)</f>
        <v>49</v>
      </c>
      <c r="J216" s="1">
        <f>VLOOKUP($B216&amp;"__wt",'SegEnds_Xtal_BW#'!$A:$Z,10,FALSE)</f>
        <v>53</v>
      </c>
      <c r="K216" s="12">
        <v>21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7">
        <f>VLOOKUP($B216&amp;"__wt",'SegEnds_Xtal_BW#'!$A:$Z,15,FALSE)</f>
        <v>38</v>
      </c>
      <c r="P216" s="1">
        <f>VLOOKUP($B216&amp;"__wt",'SegEnds_Xtal_BW#'!$A:$Z,16,FALSE)</f>
        <v>63</v>
      </c>
      <c r="Q216" s="108">
        <v>50</v>
      </c>
      <c r="R216" s="108">
        <v>52</v>
      </c>
      <c r="S216" s="108">
        <v>31</v>
      </c>
      <c r="T216" s="1">
        <f t="array" ref="T216">INDEX(ICL3_classA!$G$2:$G$39,MATCH(MIN(ABS(AI216-ICL3_classA!$F$2:$F$39)),ABS(AI216-ICL3_classA!$F$2:$F$39),0))</f>
        <v>74</v>
      </c>
      <c r="U216" s="1">
        <f t="array" ref="U216">INDEX(ICL3_classA!$H$2:$H$39,MATCH(MIN(ABS(AI216-ICL3_classA!$F$2:$F$39)),ABS(AI216-ICL3_classA!$F$2:$F$39),0))</f>
        <v>24</v>
      </c>
      <c r="V216" s="1">
        <v>61</v>
      </c>
      <c r="W216" s="1">
        <v>31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66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34</v>
      </c>
      <c r="AC216" s="1">
        <f>VLOOKUP(A216,'SegEnds_NonXtal_Prot#'!A:AL,10,FALSE)-VLOOKUP(A216,'SegEnds_NonXtal_Prot#'!A:AL,7,FALSE)</f>
        <v>20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51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28</v>
      </c>
      <c r="AH216" s="1">
        <f>VLOOKUP(A216,'SegEnds_NonXtal_Prot#'!A:AL,28,FALSE)-VLOOKUP(A216,'SegEnds_NonXtal_Prot#'!A:AL,22,FALSE)</f>
        <v>54</v>
      </c>
      <c r="AI216" s="1">
        <f>VLOOKUP(A216,'SegEnds_NonXtal_Prot#'!A:AL,31,FALSE)-VLOOKUP(A216,'SegEnds_NonXtal_Prot#'!A:AL,28,FALSE)</f>
        <v>96</v>
      </c>
      <c r="AJ216" s="1">
        <f>VLOOKUP(A216,'SegEnds_NonXtal_Prot#'!A:AL,34,FALSE)-VLOOKUP(A216,'SegEnds_NonXtal_Prot#'!A:AL,31,FALSE)</f>
        <v>36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365</v>
      </c>
      <c r="B217" s="1" t="str">
        <f>VLOOKUP(A217,Xtal_Templ!A:B,2,FALSE)</f>
        <v>ta2r_human</v>
      </c>
      <c r="C217" s="5">
        <f>VLOOKUP($B217&amp;"__wt",'SegEnds_Xtal_BW#'!$A:$Z,3,FALSE)</f>
        <v>35</v>
      </c>
      <c r="D217" s="108">
        <v>61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53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7">
        <f>VLOOKUP($B217&amp;"__wt",'SegEnds_Xtal_BW#'!$A:$Z,15,FALSE)</f>
        <v>38</v>
      </c>
      <c r="P217" s="1">
        <f>VLOOKUP($B217&amp;"__wt",'SegEnds_Xtal_BW#'!$A:$Z,16,FALSE)</f>
        <v>63</v>
      </c>
      <c r="Q217" s="108">
        <v>50</v>
      </c>
      <c r="R217" s="108">
        <v>52</v>
      </c>
      <c r="S217" s="1">
        <v>35</v>
      </c>
      <c r="T217" s="1">
        <f t="array" ref="T217">INDEX(ICL3_classA!$G$2:$G$39,MATCH(MIN(ABS(AI217-ICL3_classA!$F$2:$F$39)),ABS(AI217-ICL3_classA!$F$2:$F$39),0))</f>
        <v>72</v>
      </c>
      <c r="U217" s="1">
        <f t="array" ref="U217">INDEX(ICL3_classA!$H$2:$H$39,MATCH(MIN(ABS(AI217-ICL3_classA!$F$2:$F$39)),ABS(AI217-ICL3_classA!$F$2:$F$39),0))</f>
        <v>29</v>
      </c>
      <c r="V217" s="1">
        <v>61</v>
      </c>
      <c r="W217" s="1">
        <v>31</v>
      </c>
      <c r="X217" s="108">
        <v>56</v>
      </c>
      <c r="Y217" s="108">
        <v>47</v>
      </c>
      <c r="Z217" s="1">
        <f>VLOOKUP($B217&amp;"__wt",'SegEnds_Xtal_BW#'!$A:$Z,26,FALSE)</f>
        <v>66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33</v>
      </c>
      <c r="AC217" s="1">
        <f>VLOOKUP(A217,'SegEnds_NonXtal_Prot#'!A:AL,10,FALSE)-VLOOKUP(A217,'SegEnds_NonXtal_Prot#'!A:AL,7,FALSE)</f>
        <v>19</v>
      </c>
      <c r="AD217" s="1">
        <f>VLOOKUP(A217,'SegEnds_NonXtal_Prot#'!A:AL,13,FALSE)-VLOOKUP(A217,'SegEnds_NonXtal_Prot#'!A:AL,10,FALSE)</f>
        <v>21</v>
      </c>
      <c r="AE217" s="1">
        <f>VLOOKUP(A217,'SegEnds_NonXtal_Prot#'!A:AL,16,FALSE)-VLOOKUP(A217,'SegEnds_NonXtal_Prot#'!A:AL,10,FALSE)</f>
        <v>56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28</v>
      </c>
      <c r="AH217" s="1">
        <f>VLOOKUP(A217,'SegEnds_NonXtal_Prot#'!A:AL,28,FALSE)-VLOOKUP(A217,'SegEnds_NonXtal_Prot#'!A:AL,22,FALSE)</f>
        <v>54</v>
      </c>
      <c r="AI217" s="1">
        <f>VLOOKUP(A217,'SegEnds_NonXtal_Prot#'!A:AL,31,FALSE)-VLOOKUP(A217,'SegEnds_NonXtal_Prot#'!A:AL,28,FALSE)</f>
        <v>50</v>
      </c>
      <c r="AJ217" s="1">
        <f>VLOOKUP(A217,'SegEnds_NonXtal_Prot#'!A:AL,34,FALSE)-VLOOKUP(A217,'SegEnds_NonXtal_Prot#'!A:AL,31,FALSE)</f>
        <v>37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NoXtal</v>
      </c>
    </row>
    <row r="218" spans="1:38" x14ac:dyDescent="0.2">
      <c r="A218" s="1" t="s">
        <v>387</v>
      </c>
      <c r="B218" s="1" t="str">
        <f>VLOOKUP(A218,Xtal_Templ!A:B,2,FALSE)</f>
        <v>drd2_human</v>
      </c>
      <c r="C218" s="5">
        <f>VLOOKUP($B218&amp;"__wt",'SegEnds_Xtal_BW#'!$A:$Z,3,FALSE)</f>
        <v>29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v>38</v>
      </c>
      <c r="P218" s="1">
        <f>VLOOKUP($B218&amp;"__wt",'SegEnds_Xtal_BW#'!$A:$Z,16,FALSE)</f>
        <v>62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v>35</v>
      </c>
      <c r="T218" s="1">
        <f t="array" ref="T218">INDEX(ICL3_classA!$G$2:$G$39,MATCH(MIN(ABS(AI218-ICL3_classA!$F$2:$F$39)),ABS(AI218-ICL3_classA!$F$2:$F$39),0))</f>
        <v>74</v>
      </c>
      <c r="U218" s="1">
        <f t="array" ref="U218">INDEX(ICL3_classA!$H$2:$H$39,MATCH(MIN(ABS(AI218-ICL3_classA!$F$2:$F$39)),ABS(AI218-ICL3_classA!$F$2:$F$39),0))</f>
        <v>21</v>
      </c>
      <c r="V218" s="1">
        <v>61</v>
      </c>
      <c r="W218" s="1">
        <v>31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20</v>
      </c>
      <c r="AH218" s="1">
        <f>VLOOKUP(A218,'SegEnds_NonXtal_Prot#'!A:AL,28,FALSE)-VLOOKUP(A218,'SegEnds_NonXtal_Prot#'!A:AL,22,FALSE)</f>
        <v>54</v>
      </c>
      <c r="AI218" s="1">
        <f>VLOOKUP(A218,'SegEnds_NonXtal_Prot#'!A:AL,31,FALSE)-VLOOKUP(A218,'SegEnds_NonXtal_Prot#'!A:AL,28,FALSE)</f>
        <v>64</v>
      </c>
      <c r="AJ218" s="1">
        <f>VLOOKUP(A218,'SegEnds_NonXtal_Prot#'!A:AL,34,FALSE)-VLOOKUP(A218,'SegEnds_NonXtal_Prot#'!A:AL,31,FALSE)</f>
        <v>35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144</v>
      </c>
      <c r="B219" s="1" t="str">
        <f>VLOOKUP(A219,Xtal_Templ!A:B,2,FALSE)</f>
        <v>ccr7_human</v>
      </c>
      <c r="C219" s="5">
        <f>VLOOKUP($B219&amp;"__wt",'SegEnds_Xtal_BW#'!$A:$Z,3,FALSE)</f>
        <v>29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21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58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33</v>
      </c>
      <c r="T219" s="1">
        <f t="array" ref="T219">INDEX(ICL3_classA!$G$2:$G$39,MATCH(MIN(ABS(AI219-ICL3_classA!$F$2:$F$39)),ABS(AI219-ICL3_classA!$F$2:$F$39),0))</f>
        <v>68</v>
      </c>
      <c r="U219" s="1">
        <f t="array" ref="U219">INDEX(ICL3_classA!$H$2:$H$39,MATCH(MIN(ABS(AI219-ICL3_classA!$F$2:$F$39)),ABS(AI219-ICL3_classA!$F$2:$F$39),0))</f>
        <v>30</v>
      </c>
      <c r="V219" s="1">
        <v>64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 t="e">
        <f>VLOOKUP(A219,'SegEnds_NonXtal_Prot#'!A:AL,22,FALSE)-VLOOKUP(A219,'SegEnds_NonXtal_Prot#'!A:AL,19,FALSE)</f>
        <v>#VALUE!</v>
      </c>
      <c r="AG219" s="1">
        <f>VLOOKUP(A219,'SegEnds_NonXtal_Prot#'!A:AL,28,FALSE)-VLOOKUP(A219,'SegEnds_NonXtal_Prot#'!A:AL,25,FALSE)</f>
        <v>28</v>
      </c>
      <c r="AH219" s="1">
        <f>VLOOKUP(A219,'SegEnds_NonXtal_Prot#'!A:AL,28,FALSE)-VLOOKUP(A219,'SegEnds_NonXtal_Prot#'!A:AL,22,FALSE)</f>
        <v>55</v>
      </c>
      <c r="AI219" s="1">
        <f>VLOOKUP(A219,'SegEnds_NonXtal_Prot#'!A:AL,31,FALSE)-VLOOKUP(A219,'SegEnds_NonXtal_Prot#'!A:AL,28,FALSE)</f>
        <v>43</v>
      </c>
      <c r="AJ219" s="1">
        <f>VLOOKUP(A219,'SegEnds_NonXtal_Prot#'!A:AL,34,FALSE)-VLOOKUP(A219,'SegEnds_NonXtal_Prot#'!A:AL,31,FALSE)</f>
        <v>45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159</v>
      </c>
      <c r="B220" s="1" t="str">
        <f>VLOOKUP(A220,Xtal_Templ!A:B,2,FALSE)</f>
        <v>agtr2_human</v>
      </c>
      <c r="C220" s="5">
        <f>VLOOKUP($B220&amp;"__wt",'SegEnds_Xtal_BW#'!$A:$Z,3,FALSE)</f>
        <v>33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08">
        <v>38</v>
      </c>
      <c r="H220" s="12">
        <f>VLOOKUP($B220&amp;"__wt",'SegEnds_Xtal_BW#'!$A:$Z,8,FALSE)</f>
        <v>66</v>
      </c>
      <c r="I220" s="1">
        <f>VLOOKUP($B220&amp;"__wt",'SegEnds_Xtal_BW#'!$A:$Z,9,FALSE)</f>
        <v>47</v>
      </c>
      <c r="J220" s="1">
        <f>VLOOKUP($B220&amp;"__wt",'SegEnds_Xtal_BW#'!$A:$Z,10,FALSE)</f>
        <v>52</v>
      </c>
      <c r="K220" s="12">
        <v>21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56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30</v>
      </c>
      <c r="T220" s="1">
        <f t="array" ref="T220">INDEX(ICL3_classA!$G$2:$G$39,MATCH(MIN(ABS(AI220-ICL3_classA!$F$2:$F$39)),ABS(AI220-ICL3_classA!$F$2:$F$39),0))</f>
        <v>68</v>
      </c>
      <c r="U220" s="1">
        <f t="array" ref="U220">INDEX(ICL3_classA!$H$2:$H$39,MATCH(MIN(ABS(AI220-ICL3_classA!$F$2:$F$39)),ABS(AI220-ICL3_classA!$F$2:$F$39),0))</f>
        <v>24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61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 t="e">
        <f>VLOOKUP(A220,'SegEnds_NonXtal_Prot#'!A:AL,10,FALSE)-VLOOKUP(A220,'SegEnds_NonXtal_Prot#'!A:AL,7,FALSE)</f>
        <v>#VALUE!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19</v>
      </c>
      <c r="AG220" s="1">
        <f>VLOOKUP(A220,'SegEnds_NonXtal_Prot#'!A:AL,28,FALSE)-VLOOKUP(A220,'SegEnds_NonXtal_Prot#'!A:AL,25,FALSE)</f>
        <v>28</v>
      </c>
      <c r="AH220" s="1">
        <f>VLOOKUP(A220,'SegEnds_NonXtal_Prot#'!A:AL,28,FALSE)-VLOOKUP(A220,'SegEnds_NonXtal_Prot#'!A:AL,22,FALSE)</f>
        <v>55</v>
      </c>
      <c r="AI220" s="1">
        <f>VLOOKUP(A220,'SegEnds_NonXtal_Prot#'!A:AL,31,FALSE)-VLOOKUP(A220,'SegEnds_NonXtal_Prot#'!A:AL,28,FALSE)</f>
        <v>48</v>
      </c>
      <c r="AJ220" s="1">
        <f>VLOOKUP(A220,'SegEnds_NonXtal_Prot#'!A:AL,34,FALSE)-VLOOKUP(A220,'SegEnds_NonXtal_Prot#'!A:AL,31,FALSE)</f>
        <v>44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Xtal</v>
      </c>
    </row>
    <row r="221" spans="1:38" x14ac:dyDescent="0.2">
      <c r="A221" s="1" t="s">
        <v>167</v>
      </c>
      <c r="B221" s="1" t="str">
        <f>VLOOKUP(A221,Xtal_Templ!A:B,2,FALSE)</f>
        <v>ox1r_human</v>
      </c>
      <c r="C221" s="5">
        <f>VLOOKUP($B221&amp;"__wt",'SegEnds_Xtal_BW#'!$A:$Z,3,FALSE)</f>
        <v>32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68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33</v>
      </c>
      <c r="T221" s="1">
        <f t="array" ref="T221">INDEX(ICL3_classA!$G$2:$G$39,MATCH(MIN(ABS(AI221-ICL3_classA!$F$2:$F$39)),ABS(AI221-ICL3_classA!$F$2:$F$39),0))</f>
        <v>74</v>
      </c>
      <c r="U221" s="1">
        <f t="array" ref="U221">INDEX(ICL3_classA!$H$2:$H$39,MATCH(MIN(ABS(AI221-ICL3_classA!$F$2:$F$39)),ABS(AI221-ICL3_classA!$F$2:$F$39),0))</f>
        <v>24</v>
      </c>
      <c r="V221" s="1">
        <v>61</v>
      </c>
      <c r="W221" s="131">
        <f>VLOOKUP($B221&amp;"__wt",'SegEnds_Xtal_BW#'!$A:$Z,23,FALSE)</f>
        <v>27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63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>
        <f>VLOOKUP(A221,'SegEnds_NonXtal_Prot#'!A:AL,10,FALSE)-VLOOKUP(A221,'SegEnds_NonXtal_Prot#'!A:AL,7,FALSE)</f>
        <v>15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25</v>
      </c>
      <c r="AH221" s="1">
        <f>VLOOKUP(A221,'SegEnds_NonXtal_Prot#'!A:AL,28,FALSE)-VLOOKUP(A221,'SegEnds_NonXtal_Prot#'!A:AL,22,FALSE)</f>
        <v>55</v>
      </c>
      <c r="AI221" s="1">
        <f>VLOOKUP(A221,'SegEnds_NonXtal_Prot#'!A:AL,31,FALSE)-VLOOKUP(A221,'SegEnds_NonXtal_Prot#'!A:AL,28,FALSE)</f>
        <v>107</v>
      </c>
      <c r="AJ221" s="1">
        <f>VLOOKUP(A221,'SegEnds_NonXtal_Prot#'!A:AL,34,FALSE)-VLOOKUP(A221,'SegEnds_NonXtal_Prot#'!A:AL,31,FALSE)</f>
        <v>39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215</v>
      </c>
      <c r="B222" s="1" t="str">
        <f>VLOOKUP(A222,Xtal_Templ!A:B,2,FALSE)</f>
        <v>mtr1a_human</v>
      </c>
      <c r="C222" s="5">
        <f>VLOOKUP($B222&amp;"__wt",'SegEnds_Xtal_BW#'!$A:$Z,3,FALSE)</f>
        <v>28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56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35</v>
      </c>
      <c r="T222" s="1">
        <f t="array" ref="T222">INDEX(ICL3_classA!$G$2:$G$39,MATCH(MIN(ABS(AI222-ICL3_classA!$F$2:$F$39)),ABS(AI222-ICL3_classA!$F$2:$F$39),0))</f>
        <v>73</v>
      </c>
      <c r="U222" s="1">
        <f t="array" ref="U222">INDEX(ICL3_classA!$H$2:$H$39,MATCH(MIN(ABS(AI222-ICL3_classA!$F$2:$F$39)),ABS(AI222-ICL3_classA!$F$2:$F$39),0))</f>
        <v>22</v>
      </c>
      <c r="V222" s="1">
        <v>61</v>
      </c>
      <c r="W222" s="131">
        <f>VLOOKUP($B222&amp;"__wt",'SegEnds_Xtal_BW#'!$A:$Z,23,FALSE)</f>
        <v>31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63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 t="e">
        <f>VLOOKUP(A222,'SegEnds_NonXtal_Prot#'!A:AL,13,FALSE)-VLOOKUP(A222,'SegEnds_NonXtal_Prot#'!A:AL,10,FALSE)</f>
        <v>#VALUE!</v>
      </c>
      <c r="AE222" s="1">
        <f>VLOOKUP(A222,'SegEnds_NonXtal_Prot#'!A:AL,16,FALSE)-VLOOKUP(A222,'SegEnds_NonXtal_Prot#'!A:AL,10,FALSE)</f>
        <v>60</v>
      </c>
      <c r="AF222" s="1" t="e">
        <f>VLOOKUP(A222,'SegEnds_NonXtal_Prot#'!A:AL,22,FALSE)-VLOOKUP(A222,'SegEnds_NonXtal_Prot#'!A:AL,19,FALSE)</f>
        <v>#VALUE!</v>
      </c>
      <c r="AG222" s="1">
        <f>VLOOKUP(A222,'SegEnds_NonXtal_Prot#'!A:AL,28,FALSE)-VLOOKUP(A222,'SegEnds_NonXtal_Prot#'!A:AL,25,FALSE)</f>
        <v>27</v>
      </c>
      <c r="AH222" s="1">
        <f>VLOOKUP(A222,'SegEnds_NonXtal_Prot#'!A:AL,28,FALSE)-VLOOKUP(A222,'SegEnds_NonXtal_Prot#'!A:AL,22,FALSE)</f>
        <v>55</v>
      </c>
      <c r="AI222" s="1">
        <f>VLOOKUP(A222,'SegEnds_NonXtal_Prot#'!A:AL,31,FALSE)-VLOOKUP(A222,'SegEnds_NonXtal_Prot#'!A:AL,28,FALSE)</f>
        <v>57</v>
      </c>
      <c r="AJ222" s="1">
        <f>VLOOKUP(A222,'SegEnds_NonXtal_Prot#'!A:AL,34,FALSE)-VLOOKUP(A222,'SegEnds_NonXtal_Prot#'!A:AL,31,FALSE)</f>
        <v>38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231</v>
      </c>
      <c r="B223" s="1" t="str">
        <f>VLOOKUP(A223,Xtal_Templ!A:B,2,FALSE)</f>
        <v>p2ry1_human</v>
      </c>
      <c r="C223" s="5">
        <f>VLOOKUP($B223&amp;"__wt",'SegEnds_Xtal_BW#'!$A:$Z,3,FALSE)</f>
        <v>30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21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08">
        <v>56</v>
      </c>
      <c r="O223" s="87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INDEX(ICL3_classA!$G$2:$G$39,MATCH(MIN(ABS(AI223-ICL3_classA!$F$2:$F$39)),ABS(AI223-ICL3_classA!$F$2:$F$39),0))</f>
        <v>68</v>
      </c>
      <c r="U223" s="1">
        <f t="array" ref="U223">INDEX(ICL3_classA!$H$2:$H$39,MATCH(MIN(ABS(AI223-ICL3_classA!$F$2:$F$39)),ABS(AI223-ICL3_classA!$F$2:$F$39),0))</f>
        <v>24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 t="e">
        <f>VLOOKUP(A223,'SegEnds_NonXtal_Prot#'!A:AL,10,FALSE)-VLOOKUP(A223,'SegEnds_NonXtal_Prot#'!A:AL,7,FALSE)</f>
        <v>#VALUE!</v>
      </c>
      <c r="AD223" s="1">
        <f>VLOOKUP(A223,'SegEnds_NonXtal_Prot#'!A:AL,13,FALSE)-VLOOKUP(A223,'SegEnds_NonXtal_Prot#'!A:AL,10,FALSE)</f>
        <v>19</v>
      </c>
      <c r="AE223" s="1">
        <f>VLOOKUP(A223,'SegEnds_NonXtal_Prot#'!A:AL,16,FALSE)-VLOOKUP(A223,'SegEnds_NonXtal_Prot#'!A:AL,10,FALSE)</f>
        <v>51</v>
      </c>
      <c r="AF223" s="1">
        <f>VLOOKUP(A223,'SegEnds_NonXtal_Prot#'!A:AL,22,FALSE)-VLOOKUP(A223,'SegEnds_NonXtal_Prot#'!A:AL,19,FALSE)</f>
        <v>19</v>
      </c>
      <c r="AG223" s="1">
        <f>VLOOKUP(A223,'SegEnds_NonXtal_Prot#'!A:AL,28,FALSE)-VLOOKUP(A223,'SegEnds_NonXtal_Prot#'!A:AL,25,FALSE)</f>
        <v>29</v>
      </c>
      <c r="AH223" s="1">
        <f>VLOOKUP(A223,'SegEnds_NonXtal_Prot#'!A:AL,28,FALSE)-VLOOKUP(A223,'SegEnds_NonXtal_Prot#'!A:AL,22,FALSE)</f>
        <v>55</v>
      </c>
      <c r="AI223" s="1">
        <f>VLOOKUP(A223,'SegEnds_NonXtal_Prot#'!A:AL,31,FALSE)-VLOOKUP(A223,'SegEnds_NonXtal_Prot#'!A:AL,28,FALSE)</f>
        <v>48</v>
      </c>
      <c r="AJ223" s="1">
        <f>VLOOKUP(A223,'SegEnds_NonXtal_Prot#'!A:AL,34,FALSE)-VLOOKUP(A223,'SegEnds_NonXtal_Prot#'!A:AL,31,FALSE)</f>
        <v>44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290</v>
      </c>
      <c r="B224" s="1" t="str">
        <f>VLOOKUP(A224,Xtal_Templ!A:B,2,FALSE)</f>
        <v>cltr1_human</v>
      </c>
      <c r="C224" s="5">
        <f>VLOOKUP($B224&amp;"__wt",'SegEnds_Xtal_BW#'!$A:$Z,3,FALSE)</f>
        <v>20</v>
      </c>
      <c r="D224" s="108"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v>66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21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f>VLOOKUP($B224&amp;"__wt",'SegEnds_Xtal_BW#'!$A:$Z,15,FALSE)</f>
        <v>38</v>
      </c>
      <c r="P224" s="1">
        <f>VLOOKUP($B224&amp;"__wt",'SegEnds_Xtal_BW#'!$A:$Z,16,FALSE)</f>
        <v>63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28</v>
      </c>
      <c r="T224" s="1">
        <f t="array" ref="T224">INDEX(ICL3_classA!$G$2:$G$39,MATCH(MIN(ABS(AI224-ICL3_classA!$F$2:$F$39)),ABS(AI224-ICL3_classA!$F$2:$F$39),0))</f>
        <v>68</v>
      </c>
      <c r="U224" s="1">
        <f t="array" ref="U224">INDEX(ICL3_classA!$H$2:$H$39,MATCH(MIN(ABS(AI224-ICL3_classA!$F$2:$F$39)),ABS(AI224-ICL3_classA!$F$2:$F$39),0))</f>
        <v>24</v>
      </c>
      <c r="V224" s="1">
        <v>64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59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28</v>
      </c>
      <c r="AC224" s="1">
        <f>VLOOKUP(A224,'SegEnds_NonXtal_Prot#'!A:AL,10,FALSE)-VLOOKUP(A224,'SegEnds_NonXtal_Prot#'!A:AL,7,FALSE)</f>
        <v>15</v>
      </c>
      <c r="AD224" s="1">
        <f>VLOOKUP(A224,'SegEnds_NonXtal_Prot#'!A:AL,13,FALSE)-VLOOKUP(A224,'SegEnds_NonXtal_Prot#'!A:AL,10,FALSE)</f>
        <v>19</v>
      </c>
      <c r="AE224" s="1">
        <f>VLOOKUP(A224,'SegEnds_NonXtal_Prot#'!A:AL,16,FALSE)-VLOOKUP(A224,'SegEnds_NonXtal_Prot#'!A:AL,10,FALSE)</f>
        <v>51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28</v>
      </c>
      <c r="AH224" s="1">
        <f>VLOOKUP(A224,'SegEnds_NonXtal_Prot#'!A:AL,28,FALSE)-VLOOKUP(A224,'SegEnds_NonXtal_Prot#'!A:AL,22,FALSE)</f>
        <v>55</v>
      </c>
      <c r="AI224" s="1">
        <f>VLOOKUP(A224,'SegEnds_NonXtal_Prot#'!A:AL,31,FALSE)-VLOOKUP(A224,'SegEnds_NonXtal_Prot#'!A:AL,28,FALSE)</f>
        <v>48</v>
      </c>
      <c r="AJ224" s="1">
        <f>VLOOKUP(A224,'SegEnds_NonXtal_Prot#'!A:AL,34,FALSE)-VLOOKUP(A224,'SegEnds_NonXtal_Prot#'!A:AL,31,FALSE)</f>
        <v>44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127</v>
      </c>
      <c r="B225" s="1" t="str">
        <f>VLOOKUP(A225,Xtal_Templ!A:B,2,FALSE)</f>
        <v>ntr1_human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31</v>
      </c>
      <c r="T225" s="1">
        <f t="array" ref="T225">INDEX(ICL3_classA!$G$2:$G$39,MATCH(MIN(ABS(AI225-ICL3_classA!$F$2:$F$39)),ABS(AI225-ICL3_classA!$F$2:$F$39),0))</f>
        <v>76</v>
      </c>
      <c r="U225" s="1">
        <f t="array" ref="U225">INDEX(ICL3_classA!$H$2:$H$39,MATCH(MIN(ABS(AI225-ICL3_classA!$F$2:$F$39)),ABS(AI225-ICL3_classA!$F$2:$F$39),0))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62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31</v>
      </c>
      <c r="AC225" s="1" t="e">
        <f>VLOOKUP(A225,'SegEnds_NonXtal_Prot#'!A:AL,10,FALSE)-VLOOKUP(A225,'SegEnds_NonXtal_Prot#'!A:AL,7,FALSE)</f>
        <v>#VALUE!</v>
      </c>
      <c r="AD225" s="1">
        <f>VLOOKUP(A225,'SegEnds_NonXtal_Prot#'!A:AL,13,FALSE)-VLOOKUP(A225,'SegEnds_NonXtal_Prot#'!A:AL,10,FALSE)</f>
        <v>22</v>
      </c>
      <c r="AE225" s="1">
        <f>VLOOKUP(A225,'SegEnds_NonXtal_Prot#'!A:AL,16,FALSE)-VLOOKUP(A225,'SegEnds_NonXtal_Prot#'!A:AL,10,FALSE)</f>
        <v>54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24</v>
      </c>
      <c r="AH225" s="1">
        <f>VLOOKUP(A225,'SegEnds_NonXtal_Prot#'!A:AL,28,FALSE)-VLOOKUP(A225,'SegEnds_NonXtal_Prot#'!A:AL,22,FALSE)</f>
        <v>55</v>
      </c>
      <c r="AI225" s="1">
        <f>VLOOKUP(A225,'SegEnds_NonXtal_Prot#'!A:AL,31,FALSE)-VLOOKUP(A225,'SegEnds_NonXtal_Prot#'!A:AL,28,FALSE)</f>
        <v>70</v>
      </c>
      <c r="AJ225" s="1">
        <f>VLOOKUP(A225,'SegEnds_NonXtal_Prot#'!A:AL,34,FALSE)-VLOOKUP(A225,'SegEnds_NonXtal_Prot#'!A:AL,31,FALSE)</f>
        <v>43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Xtal</v>
      </c>
    </row>
    <row r="226" spans="1:38" x14ac:dyDescent="0.2">
      <c r="A226" s="1" t="s">
        <v>913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INDEX(ICL3_classA!$G$2:$G$39,MATCH(MIN(ABS(AI226-ICL3_classA!$F$2:$F$39)),ABS(AI226-ICL3_classA!$F$2:$F$39),0))</f>
        <v>76</v>
      </c>
      <c r="U226" s="1">
        <f t="array" ref="U226">INDEX(ICL3_classA!$H$2:$H$39,MATCH(MIN(ABS(AI226-ICL3_classA!$F$2:$F$39)),ABS(AI226-ICL3_classA!$F$2:$F$39),0))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62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31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22</v>
      </c>
      <c r="AE226" s="1">
        <f>VLOOKUP(A226,'SegEnds_NonXtal_Prot#'!A:AL,16,FALSE)-VLOOKUP(A226,'SegEnds_NonXtal_Prot#'!A:AL,10,FALSE)</f>
        <v>54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24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74</v>
      </c>
      <c r="AJ226" s="1">
        <f>VLOOKUP(A226,'SegEnds_NonXtal_Prot#'!A:AL,34,FALSE)-VLOOKUP(A226,'SegEnds_NonXtal_Prot#'!A:AL,31,FALSE)</f>
        <v>43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336</v>
      </c>
      <c r="B227" s="1" t="str">
        <f>VLOOKUP(A227,Xtal_Templ!A:B,2,FALSE)</f>
        <v>oprk_human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f>VLOOKUP($B227&amp;"__wt",'SegEnds_Xtal_BW#'!$A:$Z,11,FALSE)</f>
        <v>21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30</v>
      </c>
      <c r="T227" s="1">
        <f t="array" ref="T227">INDEX(ICL3_classA!$G$2:$G$39,MATCH(MIN(ABS(AI227-ICL3_classA!$F$2:$F$39)),ABS(AI227-ICL3_classA!$F$2:$F$39),0))</f>
        <v>68</v>
      </c>
      <c r="U227" s="1">
        <f t="array" ref="U227">INDEX(ICL3_classA!$H$2:$H$39,MATCH(MIN(ABS(AI227-ICL3_classA!$F$2:$F$39)),ABS(AI227-ICL3_classA!$F$2:$F$39),0))</f>
        <v>23</v>
      </c>
      <c r="V227" s="1">
        <v>61</v>
      </c>
      <c r="W227" s="131">
        <f>VLOOKUP($B227&amp;"__wt",'SegEnds_Xtal_BW#'!$A:$Z,23,FALSE)</f>
        <v>28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>
        <f>VLOOKUP(A227,'SegEnds_NonXtal_Prot#'!A:AL,10,FALSE)-VLOOKUP(A227,'SegEnds_NonXtal_Prot#'!A:AL,7,FALSE)</f>
        <v>15</v>
      </c>
      <c r="AD227" s="1">
        <f>VLOOKUP(A227,'SegEnds_NonXtal_Prot#'!A:AL,13,FALSE)-VLOOKUP(A227,'SegEnds_NonXtal_Prot#'!A:AL,10,FALSE)</f>
        <v>19</v>
      </c>
      <c r="AE227" s="1">
        <f>VLOOKUP(A227,'SegEnds_NonXtal_Prot#'!A:AL,16,FALSE)-VLOOKUP(A227,'SegEnds_NonXtal_Prot#'!A:AL,10,FALSE)</f>
        <v>51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28</v>
      </c>
      <c r="AH227" s="1">
        <f>VLOOKUP(A227,'SegEnds_NonXtal_Prot#'!A:AL,28,FALSE)-VLOOKUP(A227,'SegEnds_NonXtal_Prot#'!A:AL,22,FALSE)</f>
        <v>55</v>
      </c>
      <c r="AI227" s="1">
        <f>VLOOKUP(A227,'SegEnds_NonXtal_Prot#'!A:AL,31,FALSE)-VLOOKUP(A227,'SegEnds_NonXtal_Prot#'!A:AL,28,FALSE)</f>
        <v>51</v>
      </c>
      <c r="AJ227" s="1">
        <f>VLOOKUP(A227,'SegEnds_NonXtal_Prot#'!A:AL,34,FALSE)-VLOOKUP(A227,'SegEnds_NonXtal_Prot#'!A:AL,31,FALSE)</f>
        <v>38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Xtal</v>
      </c>
    </row>
    <row r="228" spans="1:38" x14ac:dyDescent="0.2">
      <c r="A228" s="1" t="s">
        <v>355</v>
      </c>
      <c r="B228" s="1" t="str">
        <f>VLOOKUP(A228,Xtal_Templ!A:B,2,FALSE)</f>
        <v>par1_human</v>
      </c>
      <c r="C228" s="5">
        <f>VLOOKUP($B228&amp;"__wt",'SegEnds_Xtal_BW#'!$A:$Z,3,FALSE)</f>
        <v>29</v>
      </c>
      <c r="D228" s="1">
        <f>VLOOKUP($B228&amp;"__wt",'SegEnds_Xtal_BW#'!$A:$Z,4,FALSE)</f>
        <v>60</v>
      </c>
      <c r="E228" s="1">
        <f>VLOOKUP($B228&amp;"__wt",'SegEnds_Xtal_BW#'!$A:$Z,5,FALSE)</f>
        <v>48</v>
      </c>
      <c r="F228" s="1">
        <f>VLOOKUP($B228&amp;"__wt",'SegEnds_Xtal_BW#'!$A:$Z,6,FALSE)</f>
        <v>51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63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INDEX(ICL3_classA!$G$2:$G$39,MATCH(MIN(ABS(AI228-ICL3_classA!$F$2:$F$39)),ABS(AI228-ICL3_classA!$F$2:$F$39),0))</f>
        <v>67</v>
      </c>
      <c r="U228" s="1">
        <f t="array" ref="U228">INDEX(ICL3_classA!$H$2:$H$39,MATCH(MIN(ABS(AI228-ICL3_classA!$F$2:$F$39)),ABS(AI228-ICL3_classA!$F$2:$F$39),0))</f>
        <v>26</v>
      </c>
      <c r="V228" s="1">
        <v>62</v>
      </c>
      <c r="W228" s="1">
        <v>28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>
        <f>VLOOKUP(A228,'SegEnds_NonXtal_Prot#'!A:AL,10,FALSE)-VLOOKUP(A228,'SegEnds_NonXtal_Prot#'!A:AL,7,FALSE)</f>
        <v>15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28</v>
      </c>
      <c r="AH228" s="1">
        <f>VLOOKUP(A228,'SegEnds_NonXtal_Prot#'!A:AL,28,FALSE)-VLOOKUP(A228,'SegEnds_NonXtal_Prot#'!A:AL,22,FALSE)</f>
        <v>55</v>
      </c>
      <c r="AI228" s="1">
        <f>VLOOKUP(A228,'SegEnds_NonXtal_Prot#'!A:AL,31,FALSE)-VLOOKUP(A228,'SegEnds_NonXtal_Prot#'!A:AL,28,FALSE)</f>
        <v>46</v>
      </c>
      <c r="AJ228" s="1">
        <f>VLOOKUP(A228,'SegEnds_NonXtal_Prot#'!A:AL,34,FALSE)-VLOOKUP(A228,'SegEnds_NonXtal_Prot#'!A:AL,31,FALSE)</f>
        <v>40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Xtal</v>
      </c>
    </row>
    <row r="229" spans="1:38" x14ac:dyDescent="0.2">
      <c r="A229" s="1" t="s">
        <v>356</v>
      </c>
      <c r="B229" s="1" t="str">
        <f>VLOOKUP(A229,Xtal_Templ!A:B,2,FALSE)</f>
        <v>par2_human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47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56</v>
      </c>
      <c r="O229" s="87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INDEX(ICL3_classA!$G$2:$G$39,MATCH(MIN(ABS(AI229-ICL3_classA!$F$2:$F$39)),ABS(AI229-ICL3_classA!$F$2:$F$39),0))</f>
        <v>68</v>
      </c>
      <c r="U229" s="1">
        <f t="array" ref="U229">INDEX(ICL3_classA!$H$2:$H$39,MATCH(MIN(ABS(AI229-ICL3_classA!$F$2:$F$39)),ABS(AI229-ICL3_classA!$F$2:$F$39),0))</f>
        <v>24</v>
      </c>
      <c r="V229" s="1">
        <v>62</v>
      </c>
      <c r="W229" s="131">
        <f>VLOOKUP($B229&amp;"__wt",'SegEnds_Xtal_BW#'!$A:$Z,23,FALSE)</f>
        <v>31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19</v>
      </c>
      <c r="AG229" s="1">
        <f>VLOOKUP(A229,'SegEnds_NonXtal_Prot#'!A:AL,28,FALSE)-VLOOKUP(A229,'SegEnds_NonXtal_Prot#'!A:AL,25,FALSE)</f>
        <v>28</v>
      </c>
      <c r="AH229" s="1">
        <f>VLOOKUP(A229,'SegEnds_NonXtal_Prot#'!A:AL,28,FALSE)-VLOOKUP(A229,'SegEnds_NonXtal_Prot#'!A:AL,22,FALSE)</f>
        <v>55</v>
      </c>
      <c r="AI229" s="1">
        <f>VLOOKUP(A229,'SegEnds_NonXtal_Prot#'!A:AL,31,FALSE)-VLOOKUP(A229,'SegEnds_NonXtal_Prot#'!A:AL,28,FALSE)</f>
        <v>48</v>
      </c>
      <c r="AJ229" s="1">
        <f>VLOOKUP(A229,'SegEnds_NonXtal_Prot#'!A:AL,34,FALSE)-VLOOKUP(A229,'SegEnds_NonXtal_Prot#'!A:AL,31,FALSE)</f>
        <v>39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Xtal</v>
      </c>
    </row>
    <row r="230" spans="1:38" x14ac:dyDescent="0.2">
      <c r="A230" s="1" t="s">
        <v>358</v>
      </c>
      <c r="B230" s="1" t="str">
        <f>VLOOKUP(A230,Xtal_Templ!A:B,2,FALSE)</f>
        <v>par2_human</v>
      </c>
      <c r="C230" s="5">
        <f>VLOOKUP($B230&amp;"__wt",'SegEnds_Xtal_BW#'!$A:$Z,3,FALSE)</f>
        <v>28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47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62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31</v>
      </c>
      <c r="T230" s="1">
        <f t="array" ref="T230">INDEX(ICL3_classA!$G$2:$G$39,MATCH(MIN(ABS(AI230-ICL3_classA!$F$2:$F$39)),ABS(AI230-ICL3_classA!$F$2:$F$39),0))</f>
        <v>68</v>
      </c>
      <c r="U230" s="1">
        <f t="array" ref="U230">INDEX(ICL3_classA!$H$2:$H$39,MATCH(MIN(ABS(AI230-ICL3_classA!$F$2:$F$39)),ABS(AI230-ICL3_classA!$F$2:$F$39),0))</f>
        <v>30</v>
      </c>
      <c r="V230" s="1">
        <v>62</v>
      </c>
      <c r="W230" s="131">
        <f>VLOOKUP($B230&amp;"__wt",'SegEnds_Xtal_BW#'!$A:$Z,23,FALSE)</f>
        <v>31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27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28</v>
      </c>
      <c r="AH230" s="1">
        <f>VLOOKUP(A230,'SegEnds_NonXtal_Prot#'!A:AL,28,FALSE)-VLOOKUP(A230,'SegEnds_NonXtal_Prot#'!A:AL,22,FALSE)</f>
        <v>55</v>
      </c>
      <c r="AI230" s="1">
        <f>VLOOKUP(A230,'SegEnds_NonXtal_Prot#'!A:AL,31,FALSE)-VLOOKUP(A230,'SegEnds_NonXtal_Prot#'!A:AL,28,FALSE)</f>
        <v>42</v>
      </c>
      <c r="AJ230" s="1">
        <f>VLOOKUP(A230,'SegEnds_NonXtal_Prot#'!A:AL,34,FALSE)-VLOOKUP(A230,'SegEnds_NonXtal_Prot#'!A:AL,31,FALSE)</f>
        <v>39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359</v>
      </c>
      <c r="B231" s="1" t="str">
        <f>VLOOKUP(A231,Xtal_Templ!A:B,2,FALSE)</f>
        <v>pe2r4_human</v>
      </c>
      <c r="C231" s="5">
        <f>VLOOKUP($B231&amp;"__wt",'SegEnds_Xtal_BW#'!$A:$Z,3,FALSE)</f>
        <v>33</v>
      </c>
      <c r="D231" s="1">
        <f>VLOOKUP($B231&amp;"__wt",'SegEnds_Xtal_BW#'!$A:$Z,4,FALSE)</f>
        <v>58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f>VLOOKUP($B231&amp;"__wt",'SegEnds_Xtal_BW#'!$A:$Z,15,FALSE)</f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INDEX(ICL3_classA!$G$2:$G$39,MATCH(MIN(ABS(AI231-ICL3_classA!$F$2:$F$39)),ABS(AI231-ICL3_classA!$F$2:$F$39),0))</f>
        <v>76</v>
      </c>
      <c r="U231" s="1">
        <f t="array" ref="U231">INDEX(ICL3_classA!$H$2:$H$39,MATCH(MIN(ABS(AI231-ICL3_classA!$F$2:$F$39)),ABS(AI231-ICL3_classA!$F$2:$F$39),0))</f>
        <v>24</v>
      </c>
      <c r="V231" s="1">
        <v>61</v>
      </c>
      <c r="W231" s="1">
        <v>28</v>
      </c>
      <c r="X231" s="124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60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38</v>
      </c>
      <c r="AC231" s="1" t="e">
        <f>VLOOKUP(A231,'SegEnds_NonXtal_Prot#'!A:AL,10,FALSE)-VLOOKUP(A231,'SegEnds_NonXtal_Prot#'!A:AL,7,FALSE)</f>
        <v>#VALUE!</v>
      </c>
      <c r="AD231" s="1" t="e">
        <f>VLOOKUP(A231,'SegEnds_NonXtal_Prot#'!A:AL,13,FALSE)-VLOOKUP(A231,'SegEnds_NonXtal_Prot#'!A:AL,10,FALSE)</f>
        <v>#VALUE!</v>
      </c>
      <c r="AE231" s="1">
        <f>VLOOKUP(A231,'SegEnds_NonXtal_Prot#'!A:AL,16,FALSE)-VLOOKUP(A231,'SegEnds_NonXtal_Prot#'!A:AL,10,FALSE)</f>
        <v>58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29</v>
      </c>
      <c r="AH231" s="1">
        <f>VLOOKUP(A231,'SegEnds_NonXtal_Prot#'!A:AL,28,FALSE)-VLOOKUP(A231,'SegEnds_NonXtal_Prot#'!A:AL,22,FALSE)</f>
        <v>55</v>
      </c>
      <c r="AI231" s="1">
        <f>VLOOKUP(A231,'SegEnds_NonXtal_Prot#'!A:AL,31,FALSE)-VLOOKUP(A231,'SegEnds_NonXtal_Prot#'!A:AL,28,FALSE)</f>
        <v>68</v>
      </c>
      <c r="AJ231" s="1">
        <f>VLOOKUP(A231,'SegEnds_NonXtal_Prot#'!A:AL,34,FALSE)-VLOOKUP(A231,'SegEnds_NonXtal_Prot#'!A:AL,31,FALSE)</f>
        <v>40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1440</v>
      </c>
      <c r="B232" s="1" t="str">
        <f>VLOOKUP(A232,Xtal_Templ!A:B,2,FALSE)</f>
        <v>q08bg4_danre</v>
      </c>
      <c r="C232" s="5">
        <f>VLOOKUP($B232&amp;"__wt",'SegEnds_Xtal_BW#'!$A:$Z,3,FALSE)</f>
        <v>31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f>VLOOKUP($B232&amp;"__wt",'SegEnds_Xtal_BW#'!$A:$Z,11,FALSE)</f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08">
        <f>VLOOKUP($B232&amp;"__wt",'SegEnds_Xtal_BW#'!$A:$Z,14,FALSE)</f>
        <v>57</v>
      </c>
      <c r="O232" s="108">
        <f>VLOOKUP($B232&amp;"__wt",'SegEnds_Xtal_BW#'!$A:$Z,15,FALSE)</f>
        <v>38</v>
      </c>
      <c r="P232" s="1">
        <f>VLOOKUP($B232&amp;"__wt",'SegEnds_Xtal_BW#'!$A:$Z,16,FALSE)</f>
        <v>65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INDEX(ICL3_classA!$G$2:$G$39,MATCH(MIN(ABS(AI232-ICL3_classA!$F$2:$F$39)),ABS(AI232-ICL3_classA!$F$2:$F$39),0))</f>
        <v>68</v>
      </c>
      <c r="U232" s="1">
        <f t="array" ref="U232">INDEX(ICL3_classA!$H$2:$H$39,MATCH(MIN(ABS(AI232-ICL3_classA!$F$2:$F$39)),ABS(AI232-ICL3_classA!$F$2:$F$39),0))</f>
        <v>24</v>
      </c>
      <c r="V232" s="108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19</v>
      </c>
      <c r="AE232" s="1">
        <f>VLOOKUP(A232,'SegEnds_NonXtal_Prot#'!A:AL,16,FALSE)-VLOOKUP(A232,'SegEnds_NonXtal_Prot#'!A:AL,10,FALSE)</f>
        <v>51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28</v>
      </c>
      <c r="AH232" s="1">
        <f>VLOOKUP(A232,'SegEnds_NonXtal_Prot#'!A:AL,28,FALSE)-VLOOKUP(A232,'SegEnds_NonXtal_Prot#'!A:AL,22,FALSE)</f>
        <v>55</v>
      </c>
      <c r="AI232" s="1">
        <f>VLOOKUP(A232,'SegEnds_NonXtal_Prot#'!A:AL,31,FALSE)-VLOOKUP(A232,'SegEnds_NonXtal_Prot#'!A:AL,28,FALSE)</f>
        <v>49</v>
      </c>
      <c r="AJ232" s="1">
        <f>VLOOKUP(A232,'SegEnds_NonXtal_Prot#'!A:AL,34,FALSE)-VLOOKUP(A232,'SegEnds_NonXtal_Prot#'!A:AL,31,FALSE)</f>
        <v>44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375</v>
      </c>
      <c r="B233" s="1" t="str">
        <f>VLOOKUP(A233,Xtal_Templ!A:B,2,FALSE)</f>
        <v>aa1r_human</v>
      </c>
      <c r="C233" s="5">
        <f>VLOOKUP($B233&amp;"__wt",'SegEnds_Xtal_BW#'!$A:$Z,3,FALSE)</f>
        <v>29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50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08">
        <v>56</v>
      </c>
      <c r="O233" s="87">
        <f>VLOOKUP($B233&amp;"__wt",'SegEnds_Xtal_BW#'!$A:$Z,15,FALSE)</f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INDEX(ICL3_classA!$G$2:$G$39,MATCH(MIN(ABS(AI233-ICL3_classA!$F$2:$F$39)),ABS(AI233-ICL3_classA!$F$2:$F$39),0))</f>
        <v>72</v>
      </c>
      <c r="U233" s="1">
        <f t="array" ref="U233">INDEX(ICL3_classA!$H$2:$H$39,MATCH(MIN(ABS(AI233-ICL3_classA!$F$2:$F$39)),ABS(AI233-ICL3_classA!$F$2:$F$39),0))</f>
        <v>23</v>
      </c>
      <c r="V233" s="1">
        <v>61</v>
      </c>
      <c r="W233" s="1">
        <v>31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 t="e">
        <f>VLOOKUP(A233,'SegEnds_NonXtal_Prot#'!A:AL,13,FALSE)-VLOOKUP(A233,'SegEnds_NonXtal_Prot#'!A:AL,10,FALSE)</f>
        <v>#VALUE!</v>
      </c>
      <c r="AE233" s="1">
        <f>VLOOKUP(A233,'SegEnds_NonXtal_Prot#'!A:AL,16,FALSE)-VLOOKUP(A233,'SegEnds_NonXtal_Prot#'!A:AL,10,FALSE)</f>
        <v>59</v>
      </c>
      <c r="AF233" s="1">
        <f>VLOOKUP(A233,'SegEnds_NonXtal_Prot#'!A:AL,22,FALSE)-VLOOKUP(A233,'SegEnds_NonXtal_Prot#'!A:AL,19,FALSE)</f>
        <v>19</v>
      </c>
      <c r="AG233" s="1">
        <f>VLOOKUP(A233,'SegEnds_NonXtal_Prot#'!A:AL,28,FALSE)-VLOOKUP(A233,'SegEnds_NonXtal_Prot#'!A:AL,25,FALSE)</f>
        <v>28</v>
      </c>
      <c r="AH233" s="1">
        <f>VLOOKUP(A233,'SegEnds_NonXtal_Prot#'!A:AL,28,FALSE)-VLOOKUP(A233,'SegEnds_NonXtal_Prot#'!A:AL,22,FALSE)</f>
        <v>55</v>
      </c>
      <c r="AI233" s="1">
        <f>VLOOKUP(A233,'SegEnds_NonXtal_Prot#'!A:AL,31,FALSE)-VLOOKUP(A233,'SegEnds_NonXtal_Prot#'!A:AL,28,FALSE)</f>
        <v>52</v>
      </c>
      <c r="AJ233" s="1">
        <f>VLOOKUP(A233,'SegEnds_NonXtal_Prot#'!A:AL,34,FALSE)-VLOOKUP(A233,'SegEnds_NonXtal_Prot#'!A:AL,31,FALSE)</f>
        <v>35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376</v>
      </c>
      <c r="B234" s="1" t="str">
        <f>VLOOKUP(A234,Xtal_Templ!A:B,2,FALSE)</f>
        <v>aa1r_human</v>
      </c>
      <c r="C234" s="5">
        <f>VLOOKUP($B234&amp;"__wt",'SegEnds_Xtal_BW#'!$A:$Z,3,FALSE)</f>
        <v>29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67</v>
      </c>
      <c r="I234" s="1">
        <f>VLOOKUP($B234&amp;"__wt",'SegEnds_Xtal_BW#'!$A:$Z,9,FALSE)</f>
        <v>50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08">
        <v>56</v>
      </c>
      <c r="O234" s="87">
        <f>VLOOKUP($B234&amp;"__wt",'SegEnds_Xtal_BW#'!$A:$Z,15,FALSE)</f>
        <v>38</v>
      </c>
      <c r="P234" s="1">
        <f>VLOOKUP($B234&amp;"__wt",'SegEnds_Xtal_BW#'!$A:$Z,16,FALSE)</f>
        <v>63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INDEX(ICL3_classA!$G$2:$G$39,MATCH(MIN(ABS(AI234-ICL3_classA!$F$2:$F$39)),ABS(AI234-ICL3_classA!$F$2:$F$39),0))</f>
        <v>72</v>
      </c>
      <c r="U234" s="1">
        <f t="array" ref="U234">INDEX(ICL3_classA!$H$2:$H$39,MATCH(MIN(ABS(AI234-ICL3_classA!$F$2:$F$39)),ABS(AI234-ICL3_classA!$F$2:$F$39),0))</f>
        <v>23</v>
      </c>
      <c r="V234" s="1">
        <v>61</v>
      </c>
      <c r="W234" s="1">
        <v>31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24</v>
      </c>
      <c r="AE234" s="1">
        <f>VLOOKUP(A234,'SegEnds_NonXtal_Prot#'!A:AL,16,FALSE)-VLOOKUP(A234,'SegEnds_NonXtal_Prot#'!A:AL,10,FALSE)</f>
        <v>59</v>
      </c>
      <c r="AF234" s="1">
        <f>VLOOKUP(A234,'SegEnds_NonXtal_Prot#'!A:AL,22,FALSE)-VLOOKUP(A234,'SegEnds_NonXtal_Prot#'!A:AL,19,FALSE)</f>
        <v>19</v>
      </c>
      <c r="AG234" s="1">
        <f>VLOOKUP(A234,'SegEnds_NonXtal_Prot#'!A:AL,28,FALSE)-VLOOKUP(A234,'SegEnds_NonXtal_Prot#'!A:AL,25,FALSE)</f>
        <v>28</v>
      </c>
      <c r="AH234" s="1">
        <f>VLOOKUP(A234,'SegEnds_NonXtal_Prot#'!A:AL,28,FALSE)-VLOOKUP(A234,'SegEnds_NonXtal_Prot#'!A:AL,22,FALSE)</f>
        <v>55</v>
      </c>
      <c r="AI234" s="1">
        <f>VLOOKUP(A234,'SegEnds_NonXtal_Prot#'!A:AL,31,FALSE)-VLOOKUP(A234,'SegEnds_NonXtal_Prot#'!A:AL,28,FALSE)</f>
        <v>52</v>
      </c>
      <c r="AJ234" s="1">
        <f>VLOOKUP(A234,'SegEnds_NonXtal_Prot#'!A:AL,34,FALSE)-VLOOKUP(A234,'SegEnds_NonXtal_Prot#'!A:AL,31,FALSE)</f>
        <v>35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178</v>
      </c>
      <c r="B235" s="1" t="str">
        <f>VLOOKUP(A235,Xtal_Templ!A:B,2,FALSE)</f>
        <v>ccr5_human</v>
      </c>
      <c r="C235" s="5">
        <f>VLOOKUP($B235&amp;"__wt",'SegEnds_Xtal_BW#'!$A:$Z,3,FALSE)</f>
        <v>24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v>63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08">
        <v>24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58</v>
      </c>
      <c r="O235" s="87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30</v>
      </c>
      <c r="T235" s="1">
        <f t="array" ref="T235">INDEX(ICL3_classA!$G$2:$G$39,MATCH(MIN(ABS(AI235-ICL3_classA!$F$2:$F$39)),ABS(AI235-ICL3_classA!$F$2:$F$39),0))</f>
        <v>67</v>
      </c>
      <c r="U235" s="1">
        <f t="array" ref="U235">INDEX(ICL3_classA!$H$2:$H$39,MATCH(MIN(ABS(AI235-ICL3_classA!$F$2:$F$39)),ABS(AI235-ICL3_classA!$F$2:$F$39),0))</f>
        <v>30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59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>
        <f>VLOOKUP(A235,'SegEnds_NonXtal_Prot#'!A:AL,10,FALSE)-VLOOKUP(A235,'SegEnds_NonXtal_Prot#'!A:AL,7,FALSE)</f>
        <v>15</v>
      </c>
      <c r="AD235" s="1" t="e">
        <f>VLOOKUP(A235,'SegEnds_NonXtal_Prot#'!A:AL,13,FALSE)-VLOOKUP(A235,'SegEnds_NonXtal_Prot#'!A:AL,10,FALSE)</f>
        <v>#VALUE!</v>
      </c>
      <c r="AE235" s="1">
        <f>VLOOKUP(A235,'SegEnds_NonXtal_Prot#'!A:AL,16,FALSE)-VLOOKUP(A235,'SegEnds_NonXtal_Prot#'!A:AL,10,FALSE)</f>
        <v>44</v>
      </c>
      <c r="AF235" s="1">
        <f>VLOOKUP(A235,'SegEnds_NonXtal_Prot#'!A:AL,22,FALSE)-VLOOKUP(A235,'SegEnds_NonXtal_Prot#'!A:AL,19,FALSE)</f>
        <v>21</v>
      </c>
      <c r="AG235" s="1">
        <f>VLOOKUP(A235,'SegEnds_NonXtal_Prot#'!A:AL,28,FALSE)-VLOOKUP(A235,'SegEnds_NonXtal_Prot#'!A:AL,25,FALSE)</f>
        <v>31</v>
      </c>
      <c r="AH235" s="1">
        <f>VLOOKUP(A235,'SegEnds_NonXtal_Prot#'!A:AL,28,FALSE)-VLOOKUP(A235,'SegEnds_NonXtal_Prot#'!A:AL,22,FALSE)</f>
        <v>56</v>
      </c>
      <c r="AI235" s="1">
        <f>VLOOKUP(A235,'SegEnds_NonXtal_Prot#'!A:AL,31,FALSE)-VLOOKUP(A235,'SegEnds_NonXtal_Prot#'!A:AL,28,FALSE)</f>
        <v>41</v>
      </c>
      <c r="AJ235" s="1">
        <f>VLOOKUP(A235,'SegEnds_NonXtal_Prot#'!A:AL,34,FALSE)-VLOOKUP(A235,'SegEnds_NonXtal_Prot#'!A:AL,31,FALSE)</f>
        <v>44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188</v>
      </c>
      <c r="B236" s="1" t="str">
        <f>VLOOKUP(A236,Xtal_Templ!A:B,2,FALSE)</f>
        <v>ccr7_human</v>
      </c>
      <c r="C236" s="5">
        <f>VLOOKUP($B236&amp;"__wt",'SegEnds_Xtal_BW#'!$A:$Z,3,FALSE)</f>
        <v>29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24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33</v>
      </c>
      <c r="T236" s="1">
        <f t="array" ref="T236">INDEX(ICL3_classA!$G$2:$G$39,MATCH(MIN(ABS(AI236-ICL3_classA!$F$2:$F$39)),ABS(AI236-ICL3_classA!$F$2:$F$39),0))</f>
        <v>68</v>
      </c>
      <c r="U236" s="1">
        <f t="array" ref="U236">INDEX(ICL3_classA!$H$2:$H$39,MATCH(MIN(ABS(AI236-ICL3_classA!$F$2:$F$39)),ABS(AI236-ICL3_classA!$F$2:$F$39),0))</f>
        <v>28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18</v>
      </c>
      <c r="AE236" s="1">
        <f>VLOOKUP(A236,'SegEnds_NonXtal_Prot#'!A:AL,16,FALSE)-VLOOKUP(A236,'SegEnds_NonXtal_Prot#'!A:AL,10,FALSE)</f>
        <v>50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28</v>
      </c>
      <c r="AH236" s="1">
        <f>VLOOKUP(A236,'SegEnds_NonXtal_Prot#'!A:AL,28,FALSE)-VLOOKUP(A236,'SegEnds_NonXtal_Prot#'!A:AL,22,FALSE)</f>
        <v>56</v>
      </c>
      <c r="AI236" s="1">
        <f>VLOOKUP(A236,'SegEnds_NonXtal_Prot#'!A:AL,31,FALSE)-VLOOKUP(A236,'SegEnds_NonXtal_Prot#'!A:AL,28,FALSE)</f>
        <v>44</v>
      </c>
      <c r="AJ236" s="1">
        <f>VLOOKUP(A236,'SegEnds_NonXtal_Prot#'!A:AL,34,FALSE)-VLOOKUP(A236,'SegEnds_NonXtal_Prot#'!A:AL,31,FALSE)</f>
        <v>45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199</v>
      </c>
      <c r="B237" s="1" t="str">
        <f>VLOOKUP(A237,Xtal_Templ!A:B,2,FALSE)</f>
        <v>par1_human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f>VLOOKUP($B237&amp;"__wt",'SegEnds_Xtal_BW#'!$A:$Z,15,FALSE)</f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32</v>
      </c>
      <c r="T237" s="1">
        <f t="array" ref="T237">INDEX(ICL3_classA!$G$2:$G$39,MATCH(MIN(ABS(AI237-ICL3_classA!$F$2:$F$39)),ABS(AI237-ICL3_classA!$F$2:$F$39),0))</f>
        <v>68</v>
      </c>
      <c r="U237" s="1">
        <f t="array" ref="U237">INDEX(ICL3_classA!$H$2:$H$39,MATCH(MIN(ABS(AI237-ICL3_classA!$F$2:$F$39)),ABS(AI237-ICL3_classA!$F$2:$F$39),0))</f>
        <v>28</v>
      </c>
      <c r="V237" s="1">
        <v>61</v>
      </c>
      <c r="W237" s="1">
        <v>33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29</v>
      </c>
      <c r="AC237" s="1" t="e">
        <f>VLOOKUP(A237,'SegEnds_NonXtal_Prot#'!A:AL,10,FALSE)-VLOOKUP(A237,'SegEnds_NonXtal_Prot#'!A:AL,7,FALSE)</f>
        <v>#VALUE!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27</v>
      </c>
      <c r="AH237" s="1">
        <f>VLOOKUP(A237,'SegEnds_NonXtal_Prot#'!A:AL,28,FALSE)-VLOOKUP(A237,'SegEnds_NonXtal_Prot#'!A:AL,22,FALSE)</f>
        <v>56</v>
      </c>
      <c r="AI237" s="1">
        <f>VLOOKUP(A237,'SegEnds_NonXtal_Prot#'!A:AL,31,FALSE)-VLOOKUP(A237,'SegEnds_NonXtal_Prot#'!A:AL,28,FALSE)</f>
        <v>44</v>
      </c>
      <c r="AJ237" s="1">
        <f>VLOOKUP(A237,'SegEnds_NonXtal_Prot#'!A:AL,34,FALSE)-VLOOKUP(A237,'SegEnds_NonXtal_Prot#'!A:AL,31,FALSE)</f>
        <v>33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4" t="s">
        <v>200</v>
      </c>
      <c r="B238" s="4" t="str">
        <f>VLOOKUP(A238,Xtal_Templ!A:B,2,FALSE)</f>
        <v>ox2r_human</v>
      </c>
      <c r="C238" s="5">
        <f>VLOOKUP($B238&amp;"__wt",'SegEnds_Xtal_BW#'!$A:$Z,3,FALSE)</f>
        <v>31</v>
      </c>
      <c r="D238" s="4">
        <f>VLOOKUP($B238&amp;"__wt",'SegEnds_Xtal_BW#'!$A:$Z,4,FALSE)</f>
        <v>60</v>
      </c>
      <c r="E238" s="4">
        <f>VLOOKUP($B238&amp;"__wt",'SegEnds_Xtal_BW#'!$A:$Z,5,FALSE)</f>
        <v>48</v>
      </c>
      <c r="F238" s="4">
        <f>VLOOKUP($B238&amp;"__wt",'SegEnds_Xtal_BW#'!$A:$Z,6,FALSE)</f>
        <v>51</v>
      </c>
      <c r="G238" s="4">
        <v>37</v>
      </c>
      <c r="H238" s="11">
        <v>66</v>
      </c>
      <c r="I238" s="4">
        <f>VLOOKUP($B238&amp;"__wt",'SegEnds_Xtal_BW#'!$A:$Z,9,FALSE)</f>
        <v>49</v>
      </c>
      <c r="J238" s="4">
        <f>VLOOKUP($B238&amp;"__wt",'SegEnds_Xtal_BW#'!$A:$Z,10,FALSE)</f>
        <v>52</v>
      </c>
      <c r="K238" s="11">
        <v>21</v>
      </c>
      <c r="L238" s="4">
        <f>VLOOKUP($B238&amp;"__wt",'SegEnds_Xtal_BW#'!$A:$Z,12,FALSE)</f>
        <v>56</v>
      </c>
      <c r="M238" s="4">
        <f>VLOOKUP($B238&amp;"__wt",'SegEnds_Xtal_BW#'!$A:$Z,13,FALSE)</f>
        <v>50</v>
      </c>
      <c r="N238" s="11">
        <v>57</v>
      </c>
      <c r="O238" s="87">
        <f>VLOOKUP($B238&amp;"__wt",'SegEnds_Xtal_BW#'!$A:$Z,15,FALSE)</f>
        <v>38</v>
      </c>
      <c r="P238" s="4">
        <f>VLOOKUP($B238&amp;"__wt",'SegEnds_Xtal_BW#'!$A:$Z,16,FALSE)</f>
        <v>64</v>
      </c>
      <c r="Q238" s="4">
        <f>VLOOKUP($B238&amp;"__wt",'SegEnds_Xtal_BW#'!$A:$Z,17,FALSE)</f>
        <v>50</v>
      </c>
      <c r="R238" s="4">
        <f>VLOOKUP($B238&amp;"__wt",'SegEnds_Xtal_BW#'!$A:$Z,18,FALSE)</f>
        <v>52</v>
      </c>
      <c r="S238" s="4">
        <f>VLOOKUP($B238&amp;"__wt",'SegEnds_Xtal_BW#'!$A:$Z,19,FALSE)</f>
        <v>33</v>
      </c>
      <c r="T238" s="4">
        <f t="array" ref="T238">INDEX(ICL3_classA!$G$2:$G$39,MATCH(MIN(ABS(AI238-ICL3_classA!$F$2:$F$39)),ABS(AI238-ICL3_classA!$F$2:$F$39),0))</f>
        <v>76</v>
      </c>
      <c r="U238" s="4">
        <f t="array" ref="U238">INDEX(ICL3_classA!$H$2:$H$39,MATCH(MIN(ABS(AI238-ICL3_classA!$F$2:$F$39)),ABS(AI238-ICL3_classA!$F$2:$F$39),0))</f>
        <v>24</v>
      </c>
      <c r="V238" s="4">
        <v>61</v>
      </c>
      <c r="W238" s="131">
        <f>VLOOKUP($B238&amp;"__wt",'SegEnds_Xtal_BW#'!$A:$Z,23,FALSE)</f>
        <v>27</v>
      </c>
      <c r="X238" s="4">
        <f>VLOOKUP($B238&amp;"__wt",'SegEnds_Xtal_BW#'!$A:$Z,24,FALSE)</f>
        <v>56</v>
      </c>
      <c r="Y238" s="4">
        <f>VLOOKUP($B238&amp;"__wt",'SegEnds_Xtal_BW#'!$A:$Z,25,FALSE)</f>
        <v>47</v>
      </c>
      <c r="Z238" s="4">
        <f>VLOOKUP($B238&amp;"__wt",'SegEnds_Xtal_BW#'!$A:$Z,26,FALSE)</f>
        <v>63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27</v>
      </c>
      <c r="AC238" s="4" t="e">
        <f>VLOOKUP(A238,'SegEnds_NonXtal_Prot#'!A:AL,10,FALSE)-VLOOKUP(A238,'SegEnds_NonXtal_Prot#'!A:AL,7,FALSE)</f>
        <v>#VALUE!</v>
      </c>
      <c r="AD238" s="4">
        <f>VLOOKUP(A238,'SegEnds_NonXtal_Prot#'!A:AL,13,FALSE)-VLOOKUP(A238,'SegEnds_NonXtal_Prot#'!A:AL,10,FALSE)</f>
        <v>19</v>
      </c>
      <c r="AE238" s="4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4">
        <f>VLOOKUP(A238,'SegEnds_NonXtal_Prot#'!A:AL,28,FALSE)-VLOOKUP(A238,'SegEnds_NonXtal_Prot#'!A:AL,25,FALSE)</f>
        <v>25</v>
      </c>
      <c r="AH238" s="1">
        <f>VLOOKUP(A238,'SegEnds_NonXtal_Prot#'!A:AL,28,FALSE)-VLOOKUP(A238,'SegEnds_NonXtal_Prot#'!A:AL,22,FALSE)</f>
        <v>56</v>
      </c>
      <c r="AI238" s="4">
        <f>VLOOKUP(A238,'SegEnds_NonXtal_Prot#'!A:AL,31,FALSE)-VLOOKUP(A238,'SegEnds_NonXtal_Prot#'!A:AL,28,FALSE)</f>
        <v>76</v>
      </c>
      <c r="AJ238" s="4">
        <f>VLOOKUP(A238,'SegEnds_NonXtal_Prot#'!A:AL,34,FALSE)-VLOOKUP(A238,'SegEnds_NonXtal_Prot#'!A:AL,31,FALSE)</f>
        <v>39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209</v>
      </c>
      <c r="B239" s="1" t="str">
        <f>VLOOKUP(A239,Xtal_Templ!A:B,2,FALSE)</f>
        <v>ntr1_human</v>
      </c>
      <c r="C239" s="5">
        <f>VLOOKUP($B239&amp;"__wt",'SegEnds_Xtal_BW#'!$A:$Z,3,FALSE)</f>
        <v>28</v>
      </c>
      <c r="D239" s="1">
        <f>VLOOKUP($B239&amp;"__wt",'SegEnds_Xtal_BW#'!$A:$Z,4,FALSE)</f>
        <v>60</v>
      </c>
      <c r="E239" s="1" t="str">
        <f>VLOOKUP($B239&amp;"__wt",'SegEnds_Xtal_BW#'!$A:$Z,5,FALSE)</f>
        <v>-</v>
      </c>
      <c r="F239" s="1" t="str">
        <f>VLOOKUP($B239&amp;"__wt",'SegEnds_Xtal_BW#'!$A:$Z,6,FALSE)</f>
        <v>-</v>
      </c>
      <c r="G239" s="1">
        <v>37</v>
      </c>
      <c r="H239" s="12">
        <v>67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INDEX(ICL3_classA!$G$2:$G$39,MATCH(MIN(ABS(AI239-ICL3_classA!$F$2:$F$39)),ABS(AI239-ICL3_classA!$F$2:$F$39),0))</f>
        <v>72</v>
      </c>
      <c r="U239" s="1">
        <f t="array" ref="U239">INDEX(ICL3_classA!$H$2:$H$39,MATCH(MIN(ABS(AI239-ICL3_classA!$F$2:$F$39)),ABS(AI239-ICL3_classA!$F$2:$F$39),0))</f>
        <v>24</v>
      </c>
      <c r="V239" s="1">
        <v>61</v>
      </c>
      <c r="W239" s="1">
        <v>28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62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26</v>
      </c>
      <c r="AH239" s="1">
        <f>VLOOKUP(A239,'SegEnds_NonXtal_Prot#'!A:AL,28,FALSE)-VLOOKUP(A239,'SegEnds_NonXtal_Prot#'!A:AL,22,FALSE)</f>
        <v>56</v>
      </c>
      <c r="AI239" s="1">
        <f>VLOOKUP(A239,'SegEnds_NonXtal_Prot#'!A:AL,31,FALSE)-VLOOKUP(A239,'SegEnds_NonXtal_Prot#'!A:AL,28,FALSE)</f>
        <v>54</v>
      </c>
      <c r="AJ239" s="1">
        <f>VLOOKUP(A239,'SegEnds_NonXtal_Prot#'!A:AL,34,FALSE)-VLOOKUP(A239,'SegEnds_NonXtal_Prot#'!A:AL,31,FALSE)</f>
        <v>42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217</v>
      </c>
      <c r="B240" s="1" t="str">
        <f>VLOOKUP(A240,Xtal_Templ!A:B,2,FALSE)</f>
        <v>ccr7_human</v>
      </c>
      <c r="C240" s="5">
        <f>VLOOKUP($B240&amp;"__wt",'SegEnds_Xtal_BW#'!$A:$Z,3,FALSE)</f>
        <v>29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21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33</v>
      </c>
      <c r="T240" s="1">
        <f t="array" ref="T240">INDEX(ICL3_classA!$G$2:$G$39,MATCH(MIN(ABS(AI240-ICL3_classA!$F$2:$F$39)),ABS(AI240-ICL3_classA!$F$2:$F$39),0))</f>
        <v>68</v>
      </c>
      <c r="U240" s="1">
        <f t="array" ref="U240">INDEX(ICL3_classA!$H$2:$H$39,MATCH(MIN(ABS(AI240-ICL3_classA!$F$2:$F$39)),ABS(AI240-ICL3_classA!$F$2:$F$39),0))</f>
        <v>28</v>
      </c>
      <c r="V240" s="1">
        <v>61</v>
      </c>
      <c r="W240" s="1">
        <v>28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19</v>
      </c>
      <c r="AE240" s="1">
        <f>VLOOKUP(A240,'SegEnds_NonXtal_Prot#'!A:AL,16,FALSE)-VLOOKUP(A240,'SegEnds_NonXtal_Prot#'!A:AL,10,FALSE)</f>
        <v>51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30</v>
      </c>
      <c r="AH240" s="1">
        <f>VLOOKUP(A240,'SegEnds_NonXtal_Prot#'!A:AL,28,FALSE)-VLOOKUP(A240,'SegEnds_NonXtal_Prot#'!A:AL,22,FALSE)</f>
        <v>56</v>
      </c>
      <c r="AI240" s="1">
        <f>VLOOKUP(A240,'SegEnds_NonXtal_Prot#'!A:AL,31,FALSE)-VLOOKUP(A240,'SegEnds_NonXtal_Prot#'!A:AL,28,FALSE)</f>
        <v>44</v>
      </c>
      <c r="AJ240" s="1">
        <f>VLOOKUP(A240,'SegEnds_NonXtal_Prot#'!A:AL,34,FALSE)-VLOOKUP(A240,'SegEnds_NonXtal_Prot#'!A:AL,31,FALSE)</f>
        <v>40</v>
      </c>
      <c r="AK240" s="1">
        <f>VLOOKUP(A240,'SegEnds_NonXtal_Prot#'!A:AL,37,FALSE)-VLOOKUP(A240,'SegEnds_NonXtal_Prot#'!A:AL,34,FALSE)</f>
        <v>11</v>
      </c>
      <c r="AL240" s="1" t="str">
        <f>IF(ISERROR(MATCH(A240,'SegEnds_Xtal_Prot#'!B:B, 0)), "NoXtal", "Xtal")</f>
        <v>NoXtal</v>
      </c>
    </row>
    <row r="241" spans="1:38" x14ac:dyDescent="0.2">
      <c r="A241" s="1" t="s">
        <v>237</v>
      </c>
      <c r="B241" s="1" t="str">
        <f>VLOOKUP(A241,Xtal_Templ!A:B,2,FALSE)</f>
        <v>fpr2_human</v>
      </c>
      <c r="C241" s="5">
        <f>VLOOKUP($B241&amp;"__wt",'SegEnds_Xtal_BW#'!$A:$Z,3,FALSE)</f>
        <v>25</v>
      </c>
      <c r="D241" s="1">
        <f>VLOOKUP($B241&amp;"__wt",'SegEnds_Xtal_BW#'!$A:$Z,4,FALSE)</f>
        <v>61</v>
      </c>
      <c r="E241" s="1" t="str">
        <f>VLOOKUP($B241&amp;"__wt",'SegEnds_Xtal_BW#'!$A:$Z,5,FALSE)</f>
        <v>-</v>
      </c>
      <c r="F241" s="1" t="str">
        <f>VLOOKUP($B241&amp;"__wt",'SegEnds_Xtal_BW#'!$A:$Z,6,FALSE)</f>
        <v>-</v>
      </c>
      <c r="G241" s="1">
        <v>37</v>
      </c>
      <c r="H241" s="12">
        <f>VLOOKUP($B241&amp;"__wt",'SegEnds_Xtal_BW#'!$A:$Z,8,FALSE)</f>
        <v>67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23</v>
      </c>
      <c r="T241" s="1">
        <f t="array" ref="T241">INDEX(ICL3_classA!$G$2:$G$39,MATCH(MIN(ABS(AI241-ICL3_classA!$F$2:$F$39)),ABS(AI241-ICL3_classA!$F$2:$F$39),0))</f>
        <v>68</v>
      </c>
      <c r="U241" s="1">
        <f t="array" ref="U241">INDEX(ICL3_classA!$H$2:$H$39,MATCH(MIN(ABS(AI241-ICL3_classA!$F$2:$F$39)),ABS(AI241-ICL3_classA!$F$2:$F$39),0))</f>
        <v>30</v>
      </c>
      <c r="V241" s="1">
        <v>61</v>
      </c>
      <c r="W241" s="1">
        <v>28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27</v>
      </c>
      <c r="AC241" s="1" t="e">
        <f>VLOOKUP(A241,'SegEnds_NonXtal_Prot#'!A:AL,10,FALSE)-VLOOKUP(A241,'SegEnds_NonXtal_Prot#'!A:AL,7,FALSE)</f>
        <v>#VALUE!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31</v>
      </c>
      <c r="AH241" s="1">
        <f>VLOOKUP(A241,'SegEnds_NonXtal_Prot#'!A:AL,28,FALSE)-VLOOKUP(A241,'SegEnds_NonXtal_Prot#'!A:AL,22,FALSE)</f>
        <v>56</v>
      </c>
      <c r="AI241" s="1">
        <f>VLOOKUP(A241,'SegEnds_NonXtal_Prot#'!A:AL,31,FALSE)-VLOOKUP(A241,'SegEnds_NonXtal_Prot#'!A:AL,28,FALSE)</f>
        <v>43</v>
      </c>
      <c r="AJ241" s="1">
        <f>VLOOKUP(A241,'SegEnds_NonXtal_Prot#'!A:AL,34,FALSE)-VLOOKUP(A241,'SegEnds_NonXtal_Prot#'!A:AL,31,FALSE)</f>
        <v>40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258</v>
      </c>
      <c r="B242" s="1" t="str">
        <f>VLOOKUP(A242,Xtal_Templ!A:B,2,FALSE)</f>
        <v>par1_human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f>VLOOKUP($B242&amp;"__wt",'SegEnds_Xtal_BW#'!$A:$Z,15,FALSE)</f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32</v>
      </c>
      <c r="T242" s="1">
        <f t="array" ref="T242">INDEX(ICL3_classA!$G$2:$G$39,MATCH(MIN(ABS(AI242-ICL3_classA!$F$2:$F$39)),ABS(AI242-ICL3_classA!$F$2:$F$39),0))</f>
        <v>68</v>
      </c>
      <c r="U242" s="1">
        <f t="array" ref="U242">INDEX(ICL3_classA!$H$2:$H$39,MATCH(MIN(ABS(AI242-ICL3_classA!$F$2:$F$39)),ABS(AI242-ICL3_classA!$F$2:$F$39),0))</f>
        <v>28</v>
      </c>
      <c r="V242" s="1">
        <v>61</v>
      </c>
      <c r="W242" s="1">
        <v>33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61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29</v>
      </c>
      <c r="AC242" s="1" t="e">
        <f>VLOOKUP(A242,'SegEnds_NonXtal_Prot#'!A:AL,10,FALSE)-VLOOKUP(A242,'SegEnds_NonXtal_Prot#'!A:AL,7,FALSE)</f>
        <v>#VALUE!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27</v>
      </c>
      <c r="AH242" s="1">
        <f>VLOOKUP(A242,'SegEnds_NonXtal_Prot#'!A:AL,28,FALSE)-VLOOKUP(A242,'SegEnds_NonXtal_Prot#'!A:AL,22,FALSE)</f>
        <v>56</v>
      </c>
      <c r="AI242" s="1">
        <f>VLOOKUP(A242,'SegEnds_NonXtal_Prot#'!A:AL,31,FALSE)-VLOOKUP(A242,'SegEnds_NonXtal_Prot#'!A:AL,28,FALSE)</f>
        <v>44</v>
      </c>
      <c r="AJ242" s="1">
        <f>VLOOKUP(A242,'SegEnds_NonXtal_Prot#'!A:AL,34,FALSE)-VLOOKUP(A242,'SegEnds_NonXtal_Prot#'!A:AL,31,FALSE)</f>
        <v>33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317</v>
      </c>
      <c r="B243" s="1" t="str">
        <f>VLOOKUP(A243,Xtal_Templ!A:B,2,FALSE)</f>
        <v>ednrb_human</v>
      </c>
      <c r="C243" s="5">
        <f>VLOOKUP($B243&amp;"__wt",'SegEnds_Xtal_BW#'!$A:$Z,3,FALSE)</f>
        <v>22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52</v>
      </c>
      <c r="G243" s="1">
        <v>37</v>
      </c>
      <c r="H243" s="12">
        <f>VLOOKUP($B243&amp;"__wt",'SegEnds_Xtal_BW#'!$A:$Z,8,FALSE)</f>
        <v>67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28</v>
      </c>
      <c r="T243" s="1">
        <f t="array" ref="T243">INDEX(ICL3_classA!$G$2:$G$39,MATCH(MIN(ABS(AI243-ICL3_classA!$F$2:$F$39)),ABS(AI243-ICL3_classA!$F$2:$F$39),0))</f>
        <v>73</v>
      </c>
      <c r="U243" s="1">
        <f t="array" ref="U243">INDEX(ICL3_classA!$H$2:$H$39,MATCH(MIN(ABS(AI243-ICL3_classA!$F$2:$F$39)),ABS(AI243-ICL3_classA!$F$2:$F$39),0))</f>
        <v>22</v>
      </c>
      <c r="V243" s="1">
        <v>61</v>
      </c>
      <c r="W243" s="1">
        <v>28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60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26</v>
      </c>
      <c r="AH243" s="1">
        <f>VLOOKUP(A243,'SegEnds_NonXtal_Prot#'!A:AL,28,FALSE)-VLOOKUP(A243,'SegEnds_NonXtal_Prot#'!A:AL,22,FALSE)</f>
        <v>56</v>
      </c>
      <c r="AI243" s="1">
        <f>VLOOKUP(A243,'SegEnds_NonXtal_Prot#'!A:AL,31,FALSE)-VLOOKUP(A243,'SegEnds_NonXtal_Prot#'!A:AL,28,FALSE)</f>
        <v>57</v>
      </c>
      <c r="AJ243" s="1">
        <f>VLOOKUP(A243,'SegEnds_NonXtal_Prot#'!A:AL,34,FALSE)-VLOOKUP(A243,'SegEnds_NonXtal_Prot#'!A:AL,31,FALSE)</f>
        <v>40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357</v>
      </c>
      <c r="B244" s="1" t="str">
        <f>VLOOKUP(A244,Xtal_Templ!A:B,2,FALSE)</f>
        <v>par2_human</v>
      </c>
      <c r="C244" s="5">
        <f>VLOOKUP($B244&amp;"__wt",'SegEnds_Xtal_BW#'!$A:$Z,3,FALSE)</f>
        <v>28</v>
      </c>
      <c r="D244" s="1">
        <f>VLOOKUP($B244&amp;"__wt",'SegEnds_Xtal_BW#'!$A:$Z,4,FALSE)</f>
        <v>60</v>
      </c>
      <c r="E244" s="1" t="str">
        <f>VLOOKUP($B244&amp;"__wt",'SegEnds_Xtal_BW#'!$A:$Z,5,FALSE)</f>
        <v>-</v>
      </c>
      <c r="F244" s="1" t="str">
        <f>VLOOKUP($B244&amp;"__wt",'SegEnds_Xtal_BW#'!$A:$Z,6,FALSE)</f>
        <v>-</v>
      </c>
      <c r="G244" s="1">
        <v>37</v>
      </c>
      <c r="H244" s="12">
        <f>VLOOKUP($B244&amp;"__wt",'SegEnds_Xtal_BW#'!$A:$Z,8,FALSE)</f>
        <v>66</v>
      </c>
      <c r="I244" s="1">
        <f>VLOOKUP($B244&amp;"__wt",'SegEnds_Xtal_BW#'!$A:$Z,9,FALSE)</f>
        <v>47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62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INDEX(ICL3_classA!$G$2:$G$39,MATCH(MIN(ABS(AI244-ICL3_classA!$F$2:$F$39)),ABS(AI244-ICL3_classA!$F$2:$F$39),0))</f>
        <v>68</v>
      </c>
      <c r="U244" s="1">
        <f t="array" ref="U244">INDEX(ICL3_classA!$H$2:$H$39,MATCH(MIN(ABS(AI244-ICL3_classA!$F$2:$F$39)),ABS(AI244-ICL3_classA!$F$2:$F$39),0))</f>
        <v>30</v>
      </c>
      <c r="V244" s="1">
        <v>62</v>
      </c>
      <c r="W244" s="131">
        <f>VLOOKUP($B244&amp;"__wt",'SegEnds_Xtal_BW#'!$A:$Z,23,FALSE)</f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61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27</v>
      </c>
      <c r="AC244" s="1" t="e">
        <f>VLOOKUP(A244,'SegEnds_NonXtal_Prot#'!A:AL,10,FALSE)-VLOOKUP(A244,'SegEnds_NonXtal_Prot#'!A:AL,7,FALSE)</f>
        <v>#VALUE!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22</v>
      </c>
      <c r="AH244" s="1">
        <f>VLOOKUP(A244,'SegEnds_NonXtal_Prot#'!A:AL,28,FALSE)-VLOOKUP(A244,'SegEnds_NonXtal_Prot#'!A:AL,22,FALSE)</f>
        <v>56</v>
      </c>
      <c r="AI244" s="1">
        <f>VLOOKUP(A244,'SegEnds_NonXtal_Prot#'!A:AL,31,FALSE)-VLOOKUP(A244,'SegEnds_NonXtal_Prot#'!A:AL,28,FALSE)</f>
        <v>42</v>
      </c>
      <c r="AJ244" s="1">
        <f>VLOOKUP(A244,'SegEnds_NonXtal_Prot#'!A:AL,34,FALSE)-VLOOKUP(A244,'SegEnds_NonXtal_Prot#'!A:AL,31,FALSE)</f>
        <v>39</v>
      </c>
      <c r="AK244" s="1" t="e">
        <f>VLOOKUP(A244,'SegEnds_NonXtal_Prot#'!A:AL,37,FALSE)-VLOOKUP(A244,'SegEnds_NonXtal_Prot#'!A:AL,34,FALSE)</f>
        <v>#VALUE!</v>
      </c>
      <c r="AL244" s="1" t="str">
        <f>IF(ISERROR(MATCH(A244,'SegEnds_Xtal_Prot#'!B:B, 0)), "NoXtal", "Xtal")</f>
        <v>NoXtal</v>
      </c>
    </row>
    <row r="245" spans="1:38" x14ac:dyDescent="0.2">
      <c r="A245" s="1" t="s">
        <v>370</v>
      </c>
      <c r="B245" s="1" t="str">
        <f>VLOOKUP(A245,Xtal_Templ!A:B,2,FALSE)</f>
        <v>ptafr_human</v>
      </c>
      <c r="C245" s="5">
        <f>VLOOKUP($B245&amp;"__wt",'SegEnds_Xtal_BW#'!$A:$Z,3,FALSE)</f>
        <v>27</v>
      </c>
      <c r="D245" s="1">
        <f>VLOOKUP($B245&amp;"__wt",'SegEnds_Xtal_BW#'!$A:$Z,4,FALSE)</f>
        <v>61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f>VLOOKUP($B245&amp;"__wt",'SegEnds_Xtal_BW#'!$A:$Z,8,FALSE)</f>
        <v>67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7">
        <f>VLOOKUP($B245&amp;"__wt",'SegEnds_Xtal_BW#'!$A:$Z,15,FALSE)</f>
        <v>38</v>
      </c>
      <c r="P245" s="1">
        <f>VLOOKUP($B245&amp;"__wt",'SegEnds_Xtal_BW#'!$A:$Z,16,FALSE)</f>
        <v>63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33</v>
      </c>
      <c r="T245" s="1">
        <f t="array" ref="T245">INDEX(ICL3_classA!$G$2:$G$39,MATCH(MIN(ABS(AI245-ICL3_classA!$F$2:$F$39)),ABS(AI245-ICL3_classA!$F$2:$F$39),0))</f>
        <v>67</v>
      </c>
      <c r="U245" s="1">
        <f t="array" ref="U245">INDEX(ICL3_classA!$H$2:$H$39,MATCH(MIN(ABS(AI245-ICL3_classA!$F$2:$F$39)),ABS(AI245-ICL3_classA!$F$2:$F$39),0))</f>
        <v>26</v>
      </c>
      <c r="V245" s="1">
        <v>64</v>
      </c>
      <c r="W245" s="1">
        <v>24</v>
      </c>
      <c r="X245" s="1">
        <f>VLOOKUP($B245&amp;"__wt",'SegEnds_Xtal_BW#'!$A:$Z,24,FALSE)</f>
        <v>59</v>
      </c>
      <c r="Y245" s="1">
        <f>VLOOKUP($B245&amp;"__wt",'SegEnds_Xtal_BW#'!$A:$Z,25,FALSE)</f>
        <v>50</v>
      </c>
      <c r="Z245" s="1">
        <f>VLOOKUP($B245&amp;"__wt",'SegEnds_Xtal_BW#'!$A:$Z,26,FALSE)</f>
        <v>63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 t="e">
        <f>VLOOKUP(A245,'SegEnds_NonXtal_Prot#'!A:AL,10,FALSE)-VLOOKUP(A245,'SegEnds_NonXtal_Prot#'!A:AL,7,FALSE)</f>
        <v>#VALUE!</v>
      </c>
      <c r="AD245" s="1">
        <f>VLOOKUP(A245,'SegEnds_NonXtal_Prot#'!A:AL,13,FALSE)-VLOOKUP(A245,'SegEnds_NonXtal_Prot#'!A:AL,10,FALSE)</f>
        <v>20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20</v>
      </c>
      <c r="AG245" s="1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56</v>
      </c>
      <c r="AI245" s="1">
        <f>VLOOKUP(A245,'SegEnds_NonXtal_Prot#'!A:AL,31,FALSE)-VLOOKUP(A245,'SegEnds_NonXtal_Prot#'!A:AL,28,FALSE)</f>
        <v>46</v>
      </c>
      <c r="AJ245" s="1">
        <f>VLOOKUP(A245,'SegEnds_NonXtal_Prot#'!A:AL,34,FALSE)-VLOOKUP(A245,'SegEnds_NonXtal_Prot#'!A:AL,31,FALSE)</f>
        <v>46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371</v>
      </c>
      <c r="B246" s="1" t="str">
        <f>VLOOKUP(A246,Xtal_Templ!A:B,2,FALSE)</f>
        <v>ptafr_human</v>
      </c>
      <c r="C246" s="5">
        <f>VLOOKUP($B246&amp;"__wt",'SegEnds_Xtal_BW#'!$A:$Z,3,FALSE)</f>
        <v>27</v>
      </c>
      <c r="D246" s="1">
        <f>VLOOKUP($B246&amp;"__wt",'SegEnds_Xtal_BW#'!$A:$Z,4,FALSE)</f>
        <v>61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08">
        <v>36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f>VLOOKUP($B246&amp;"__wt",'SegEnds_Xtal_BW#'!$A:$Z,14,FALSE)</f>
        <v>57</v>
      </c>
      <c r="O246" s="87"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33</v>
      </c>
      <c r="T246" s="1">
        <f t="array" ref="T246">INDEX(ICL3_classA!$G$2:$G$39,MATCH(MIN(ABS(AI246-ICL3_classA!$F$2:$F$39)),ABS(AI246-ICL3_classA!$F$2:$F$39),0))</f>
        <v>68</v>
      </c>
      <c r="U246" s="1">
        <f t="array" ref="U246">INDEX(ICL3_classA!$H$2:$H$39,MATCH(MIN(ABS(AI246-ICL3_classA!$F$2:$F$39)),ABS(AI246-ICL3_classA!$F$2:$F$39),0))</f>
        <v>24</v>
      </c>
      <c r="V246" s="108">
        <v>64</v>
      </c>
      <c r="W246" s="1">
        <v>24</v>
      </c>
      <c r="X246" s="1">
        <f>VLOOKUP($B246&amp;"__wt",'SegEnds_Xtal_BW#'!$A:$Z,24,FALSE)</f>
        <v>59</v>
      </c>
      <c r="Y246" s="1">
        <f>VLOOKUP($B246&amp;"__wt",'SegEnds_Xtal_BW#'!$A:$Z,25,FALSE)</f>
        <v>50</v>
      </c>
      <c r="Z246" s="1">
        <f>VLOOKUP($B246&amp;"__wt",'SegEnds_Xtal_BW#'!$A:$Z,26,FALSE)</f>
        <v>63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30</v>
      </c>
      <c r="AC246" s="1" t="e">
        <f>VLOOKUP(A246,'SegEnds_NonXtal_Prot#'!A:AL,10,FALSE)-VLOOKUP(A246,'SegEnds_NonXtal_Prot#'!A:AL,7,FALSE)</f>
        <v>#VALUE!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25</v>
      </c>
      <c r="AH246" s="1">
        <f>VLOOKUP(A246,'SegEnds_NonXtal_Prot#'!A:AL,28,FALSE)-VLOOKUP(A246,'SegEnds_NonXtal_Prot#'!A:AL,22,FALSE)</f>
        <v>56</v>
      </c>
      <c r="AI246" s="1">
        <f>VLOOKUP(A246,'SegEnds_NonXtal_Prot#'!A:AL,31,FALSE)-VLOOKUP(A246,'SegEnds_NonXtal_Prot#'!A:AL,28,FALSE)</f>
        <v>49</v>
      </c>
      <c r="AJ246" s="1">
        <f>VLOOKUP(A246,'SegEnds_NonXtal_Prot#'!A:AL,34,FALSE)-VLOOKUP(A246,'SegEnds_NonXtal_Prot#'!A:AL,31,FALSE)</f>
        <v>43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Xtal</v>
      </c>
    </row>
    <row r="247" spans="1:38" x14ac:dyDescent="0.2">
      <c r="A247" s="1" t="s">
        <v>372</v>
      </c>
      <c r="B247" s="1" t="str">
        <f>VLOOKUP(A247,Xtal_Templ!A:B,2,FALSE)</f>
        <v>ox2r_human</v>
      </c>
      <c r="C247" s="5">
        <f>VLOOKUP($B247&amp;"__wt",'SegEnds_Xtal_BW#'!$A:$Z,3,FALSE)</f>
        <v>31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68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33</v>
      </c>
      <c r="T247" s="1">
        <f t="array" ref="T247">INDEX(ICL3_classA!$G$2:$G$39,MATCH(MIN(ABS(AI247-ICL3_classA!$F$2:$F$39)),ABS(AI247-ICL3_classA!$F$2:$F$39),0))</f>
        <v>74</v>
      </c>
      <c r="U247" s="1">
        <f t="array" ref="U247">INDEX(ICL3_classA!$H$2:$H$39,MATCH(MIN(ABS(AI247-ICL3_classA!$F$2:$F$39)),ABS(AI247-ICL3_classA!$F$2:$F$39),0))</f>
        <v>21</v>
      </c>
      <c r="V247" s="1">
        <v>61</v>
      </c>
      <c r="W247" s="1">
        <v>28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63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>
        <f>VLOOKUP(A247,'SegEnds_NonXtal_Prot#'!A:AL,13,FALSE)-VLOOKUP(A247,'SegEnds_NonXtal_Prot#'!A:AL,10,FALSE)</f>
        <v>20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56</v>
      </c>
      <c r="AI247" s="1">
        <f>VLOOKUP(A247,'SegEnds_NonXtal_Prot#'!A:AL,31,FALSE)-VLOOKUP(A247,'SegEnds_NonXtal_Prot#'!A:AL,28,FALSE)</f>
        <v>62</v>
      </c>
      <c r="AJ247" s="1">
        <f>VLOOKUP(A247,'SegEnds_NonXtal_Prot#'!A:AL,34,FALSE)-VLOOKUP(A247,'SegEnds_NonXtal_Prot#'!A:AL,31,FALSE)</f>
        <v>41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163</v>
      </c>
      <c r="B248" s="1" t="str">
        <f>VLOOKUP(A248,Xtal_Templ!A:B,2,FALSE)</f>
        <v>ednrb_human</v>
      </c>
      <c r="C248" s="5">
        <f>VLOOKUP($B248&amp;"__wt",'SegEnds_Xtal_BW#'!$A:$Z,3,FALSE)</f>
        <v>22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52</v>
      </c>
      <c r="G248" s="1">
        <v>37</v>
      </c>
      <c r="H248" s="12">
        <f>VLOOKUP($B248&amp;"__wt",'SegEnds_Xtal_BW#'!$A:$Z,8,FALSE)</f>
        <v>67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28</v>
      </c>
      <c r="T248" s="1">
        <f t="array" ref="T248">INDEX(ICL3_classA!$G$2:$G$39,MATCH(MIN(ABS(AI248-ICL3_classA!$F$2:$F$39)),ABS(AI248-ICL3_classA!$F$2:$F$39),0))</f>
        <v>73</v>
      </c>
      <c r="U248" s="1">
        <f t="array" ref="U248">INDEX(ICL3_classA!$H$2:$H$39,MATCH(MIN(ABS(AI248-ICL3_classA!$F$2:$F$39)),ABS(AI248-ICL3_classA!$F$2:$F$39),0))</f>
        <v>22</v>
      </c>
      <c r="V248" s="1">
        <v>61</v>
      </c>
      <c r="W248" s="1">
        <v>28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60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52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26</v>
      </c>
      <c r="AH248" s="1">
        <f>VLOOKUP(A248,'SegEnds_NonXtal_Prot#'!A:AL,28,FALSE)-VLOOKUP(A248,'SegEnds_NonXtal_Prot#'!A:AL,22,FALSE)</f>
        <v>57</v>
      </c>
      <c r="AI248" s="1">
        <f>VLOOKUP(A248,'SegEnds_NonXtal_Prot#'!A:AL,31,FALSE)-VLOOKUP(A248,'SegEnds_NonXtal_Prot#'!A:AL,28,FALSE)</f>
        <v>57</v>
      </c>
      <c r="AJ248" s="1">
        <f>VLOOKUP(A248,'SegEnds_NonXtal_Prot#'!A:AL,34,FALSE)-VLOOKUP(A248,'SegEnds_NonXtal_Prot#'!A:AL,31,FALSE)</f>
        <v>41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195</v>
      </c>
      <c r="B249" s="1" t="str">
        <f>VLOOKUP(A249,Xtal_Templ!A:B,2,FALSE)</f>
        <v>ednrb_human</v>
      </c>
      <c r="C249" s="5">
        <f>VLOOKUP($B249&amp;"__wt",'SegEnds_Xtal_BW#'!$A:$Z,3,FALSE)</f>
        <v>22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52</v>
      </c>
      <c r="G249" s="1">
        <v>38</v>
      </c>
      <c r="H249" s="12"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9">
        <v>21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28</v>
      </c>
      <c r="T249" s="1">
        <f t="array" ref="T249">INDEX(ICL3_classA!$G$2:$G$39,MATCH(MIN(ABS(AI249-ICL3_classA!$F$2:$F$39)),ABS(AI249-ICL3_classA!$F$2:$F$39),0))</f>
        <v>72</v>
      </c>
      <c r="U249" s="1">
        <f t="array" ref="U249">INDEX(ICL3_classA!$H$2:$H$39,MATCH(MIN(ABS(AI249-ICL3_classA!$F$2:$F$39)),ABS(AI249-ICL3_classA!$F$2:$F$39),0))</f>
        <v>24</v>
      </c>
      <c r="V249" s="1">
        <v>62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60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>
        <f>VLOOKUP(A249,'SegEnds_NonXtal_Prot#'!A:AL,13,FALSE)-VLOOKUP(A249,'SegEnds_NonXtal_Prot#'!A:AL,10,FALSE)</f>
        <v>20</v>
      </c>
      <c r="AE249" s="1">
        <f>VLOOKUP(A249,'SegEnds_NonXtal_Prot#'!A:AL,16,FALSE)-VLOOKUP(A249,'SegEnds_NonXtal_Prot#'!A:AL,10,FALSE)</f>
        <v>57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28</v>
      </c>
      <c r="AH249" s="1">
        <f>VLOOKUP(A249,'SegEnds_NonXtal_Prot#'!A:AL,28,FALSE)-VLOOKUP(A249,'SegEnds_NonXtal_Prot#'!A:AL,22,FALSE)</f>
        <v>57</v>
      </c>
      <c r="AI249" s="1">
        <f>VLOOKUP(A249,'SegEnds_NonXtal_Prot#'!A:AL,31,FALSE)-VLOOKUP(A249,'SegEnds_NonXtal_Prot#'!A:AL,28,FALSE)</f>
        <v>54</v>
      </c>
      <c r="AJ249" s="1">
        <f>VLOOKUP(A249,'SegEnds_NonXtal_Prot#'!A:AL,34,FALSE)-VLOOKUP(A249,'SegEnds_NonXtal_Prot#'!A:AL,31,FALSE)</f>
        <v>45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198</v>
      </c>
      <c r="B250" s="1" t="str">
        <f>VLOOKUP(A250,Xtal_Templ!A:B,2,FALSE)</f>
        <v>par2_human</v>
      </c>
      <c r="C250" s="5">
        <f>VLOOKUP($B250&amp;"__wt",'SegEnds_Xtal_BW#'!$A:$Z,3,FALSE)</f>
        <v>28</v>
      </c>
      <c r="D250" s="1">
        <f>VLOOKUP($B250&amp;"__wt",'SegEnds_Xtal_BW#'!$A:$Z,4,FALSE)</f>
        <v>60</v>
      </c>
      <c r="E250" s="1" t="str">
        <f>VLOOKUP($B250&amp;"__wt",'SegEnds_Xtal_BW#'!$A:$Z,5,FALSE)</f>
        <v>-</v>
      </c>
      <c r="F250" s="1" t="str">
        <f>VLOOKUP($B250&amp;"__wt",'SegEnds_Xtal_BW#'!$A:$Z,6,FALSE)</f>
        <v>-</v>
      </c>
      <c r="G250" s="1">
        <v>37</v>
      </c>
      <c r="H250" s="12">
        <f>VLOOKUP($B250&amp;"__wt",'SegEnds_Xtal_BW#'!$A:$Z,8,FALSE)</f>
        <v>66</v>
      </c>
      <c r="I250" s="1">
        <f>VLOOKUP($B250&amp;"__wt",'SegEnds_Xtal_BW#'!$A:$Z,9,FALSE)</f>
        <v>47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62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31</v>
      </c>
      <c r="T250" s="1">
        <f t="array" ref="T250">INDEX(ICL3_classA!$G$2:$G$39,MATCH(MIN(ABS(AI250-ICL3_classA!$F$2:$F$39)),ABS(AI250-ICL3_classA!$F$2:$F$39),0))</f>
        <v>67</v>
      </c>
      <c r="U250" s="1">
        <f t="array" ref="U250">INDEX(ICL3_classA!$H$2:$H$39,MATCH(MIN(ABS(AI250-ICL3_classA!$F$2:$F$39)),ABS(AI250-ICL3_classA!$F$2:$F$39),0))</f>
        <v>26</v>
      </c>
      <c r="V250" s="1">
        <v>61</v>
      </c>
      <c r="W250" s="1">
        <v>33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30</v>
      </c>
      <c r="AC250" s="1" t="e">
        <f>VLOOKUP(A250,'SegEnds_NonXtal_Prot#'!A:AL,10,FALSE)-VLOOKUP(A250,'SegEnds_NonXtal_Prot#'!A:AL,7,FALSE)</f>
        <v>#VALUE!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27</v>
      </c>
      <c r="AH250" s="1">
        <f>VLOOKUP(A250,'SegEnds_NonXtal_Prot#'!A:AL,28,FALSE)-VLOOKUP(A250,'SegEnds_NonXtal_Prot#'!A:AL,22,FALSE)</f>
        <v>57</v>
      </c>
      <c r="AI250" s="1">
        <f>VLOOKUP(A250,'SegEnds_NonXtal_Prot#'!A:AL,31,FALSE)-VLOOKUP(A250,'SegEnds_NonXtal_Prot#'!A:AL,28,FALSE)</f>
        <v>46</v>
      </c>
      <c r="AJ250" s="1">
        <f>VLOOKUP(A250,'SegEnds_NonXtal_Prot#'!A:AL,34,FALSE)-VLOOKUP(A250,'SegEnds_NonXtal_Prot#'!A:AL,31,FALSE)</f>
        <v>33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269</v>
      </c>
      <c r="B251" s="1" t="str">
        <f>VLOOKUP(A251,Xtal_Templ!A:B,2,FALSE)</f>
        <v>ox2r_human</v>
      </c>
      <c r="C251" s="5">
        <f>VLOOKUP($B251&amp;"__wt",'SegEnds_Xtal_BW#'!$A:$Z,3,FALSE)</f>
        <v>31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56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33</v>
      </c>
      <c r="T251" s="1">
        <f t="array" ref="T251">INDEX(ICL3_classA!$G$2:$G$39,MATCH(MIN(ABS(AI251-ICL3_classA!$F$2:$F$39)),ABS(AI251-ICL3_classA!$F$2:$F$39),0))</f>
        <v>73</v>
      </c>
      <c r="U251" s="1">
        <f t="array" ref="U251">INDEX(ICL3_classA!$H$2:$H$39,MATCH(MIN(ABS(AI251-ICL3_classA!$F$2:$F$39)),ABS(AI251-ICL3_classA!$F$2:$F$39),0))</f>
        <v>22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63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 t="e">
        <f>VLOOKUP(A251,'SegEnds_NonXtal_Prot#'!A:AL,22,FALSE)-VLOOKUP(A251,'SegEnds_NonXtal_Prot#'!A:AL,19,FALSE)</f>
        <v>#VALUE!</v>
      </c>
      <c r="AG251" s="1">
        <f>VLOOKUP(A251,'SegEnds_NonXtal_Prot#'!A:AL,28,FALSE)-VLOOKUP(A251,'SegEnds_NonXtal_Prot#'!A:AL,25,FALSE)</f>
        <v>27</v>
      </c>
      <c r="AH251" s="1">
        <f>VLOOKUP(A251,'SegEnds_NonXtal_Prot#'!A:AL,28,FALSE)-VLOOKUP(A251,'SegEnds_NonXtal_Prot#'!A:AL,22,FALSE)</f>
        <v>57</v>
      </c>
      <c r="AI251" s="1">
        <f>VLOOKUP(A251,'SegEnds_NonXtal_Prot#'!A:AL,31,FALSE)-VLOOKUP(A251,'SegEnds_NonXtal_Prot#'!A:AL,28,FALSE)</f>
        <v>56</v>
      </c>
      <c r="AJ251" s="1">
        <f>VLOOKUP(A251,'SegEnds_NonXtal_Prot#'!A:AL,34,FALSE)-VLOOKUP(A251,'SegEnds_NonXtal_Prot#'!A:AL,31,FALSE)</f>
        <v>35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274</v>
      </c>
      <c r="B252" s="1" t="str">
        <f>VLOOKUP(A252,Xtal_Templ!A:B,2,FALSE)</f>
        <v>ednrb_human</v>
      </c>
      <c r="C252" s="5">
        <f>VLOOKUP($B252&amp;"__wt",'SegEnds_Xtal_BW#'!$A:$Z,3,FALSE)</f>
        <v>22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52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28</v>
      </c>
      <c r="T252" s="1">
        <f t="array" ref="T252">INDEX(ICL3_classA!$G$2:$G$39,MATCH(MIN(ABS(AI252-ICL3_classA!$F$2:$F$39)),ABS(AI252-ICL3_classA!$F$2:$F$39),0))</f>
        <v>73</v>
      </c>
      <c r="U252" s="1">
        <f t="array" ref="U252">INDEX(ICL3_classA!$H$2:$H$39,MATCH(MIN(ABS(AI252-ICL3_classA!$F$2:$F$39)),ABS(AI252-ICL3_classA!$F$2:$F$39),0))</f>
        <v>22</v>
      </c>
      <c r="V252" s="1">
        <v>61</v>
      </c>
      <c r="W252" s="1">
        <v>28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60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26</v>
      </c>
      <c r="AH252" s="1">
        <f>VLOOKUP(A252,'SegEnds_NonXtal_Prot#'!A:AL,28,FALSE)-VLOOKUP(A252,'SegEnds_NonXtal_Prot#'!A:AL,22,FALSE)</f>
        <v>57</v>
      </c>
      <c r="AI252" s="1">
        <f>VLOOKUP(A252,'SegEnds_NonXtal_Prot#'!A:AL,31,FALSE)-VLOOKUP(A252,'SegEnds_NonXtal_Prot#'!A:AL,28,FALSE)</f>
        <v>57</v>
      </c>
      <c r="AJ252" s="1">
        <f>VLOOKUP(A252,'SegEnds_NonXtal_Prot#'!A:AL,34,FALSE)-VLOOKUP(A252,'SegEnds_NonXtal_Prot#'!A:AL,31,FALSE)</f>
        <v>40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289</v>
      </c>
      <c r="B253" s="1" t="str">
        <f>VLOOKUP(A253,Xtal_Templ!A:B,2,FALSE)</f>
        <v>cltr2_human</v>
      </c>
      <c r="C253" s="5">
        <f>VLOOKUP($B253&amp;"__wt",'SegEnds_Xtal_BW#'!$A:$Z,3,FALSE)</f>
        <v>25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21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v>38</v>
      </c>
      <c r="P253" s="1">
        <f>VLOOKUP($B253&amp;"__wt",'SegEnds_Xtal_BW#'!$A:$Z,16,FALSE)</f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32</v>
      </c>
      <c r="T253" s="1">
        <f t="array" ref="T253">INDEX(ICL3_classA!$G$2:$G$39,MATCH(MIN(ABS(AI253-ICL3_classA!$F$2:$F$39)),ABS(AI253-ICL3_classA!$F$2:$F$39),0))</f>
        <v>67</v>
      </c>
      <c r="U253" s="1">
        <f t="array" ref="U253">INDEX(ICL3_classA!$H$2:$H$39,MATCH(MIN(ABS(AI253-ICL3_classA!$F$2:$F$39)),ABS(AI253-ICL3_classA!$F$2:$F$39),0))</f>
        <v>26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60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19</v>
      </c>
      <c r="AE253" s="1">
        <f>VLOOKUP(A253,'SegEnds_NonXtal_Prot#'!A:AL,16,FALSE)-VLOOKUP(A253,'SegEnds_NonXtal_Prot#'!A:AL,10,FALSE)</f>
        <v>51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28</v>
      </c>
      <c r="AH253" s="1">
        <f>VLOOKUP(A253,'SegEnds_NonXtal_Prot#'!A:AL,28,FALSE)-VLOOKUP(A253,'SegEnds_NonXtal_Prot#'!A:AL,22,FALSE)</f>
        <v>57</v>
      </c>
      <c r="AI253" s="1">
        <f>VLOOKUP(A253,'SegEnds_NonXtal_Prot#'!A:AL,31,FALSE)-VLOOKUP(A253,'SegEnds_NonXtal_Prot#'!A:AL,28,FALSE)</f>
        <v>46</v>
      </c>
      <c r="AJ253" s="1">
        <f>VLOOKUP(A253,'SegEnds_NonXtal_Prot#'!A:AL,34,FALSE)-VLOOKUP(A253,'SegEnds_NonXtal_Prot#'!A:AL,31,FALSE)</f>
        <v>45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4" t="s">
        <v>318</v>
      </c>
      <c r="B254" s="4" t="str">
        <f>VLOOKUP(A254,Xtal_Templ!A:B,2,FALSE)</f>
        <v>ntr1_rat</v>
      </c>
      <c r="C254" s="5">
        <f>VLOOKUP($B254&amp;"__wt",'SegEnds_Xtal_BW#'!$A:$Z,3,FALSE)</f>
        <v>29</v>
      </c>
      <c r="D254" s="4">
        <f>VLOOKUP($B254&amp;"__wt",'SegEnds_Xtal_BW#'!$A:$Z,4,FALSE)</f>
        <v>60</v>
      </c>
      <c r="E254" s="4" t="str">
        <f>VLOOKUP($B254&amp;"__wt",'SegEnds_Xtal_BW#'!$A:$Z,5,FALSE)</f>
        <v>-</v>
      </c>
      <c r="F254" s="4" t="str">
        <f>VLOOKUP($B254&amp;"__wt",'SegEnds_Xtal_BW#'!$A:$Z,6,FALSE)</f>
        <v>-</v>
      </c>
      <c r="G254" s="4">
        <v>37</v>
      </c>
      <c r="H254" s="11">
        <v>66</v>
      </c>
      <c r="I254" s="4">
        <f>VLOOKUP($B254&amp;"__wt",'SegEnds_Xtal_BW#'!$A:$Z,9,FALSE)</f>
        <v>49</v>
      </c>
      <c r="J254" s="4">
        <f>VLOOKUP($B254&amp;"__wt",'SegEnds_Xtal_BW#'!$A:$Z,10,FALSE)</f>
        <v>52</v>
      </c>
      <c r="K254" s="11">
        <v>18</v>
      </c>
      <c r="L254" s="4">
        <f>VLOOKUP($B254&amp;"__wt",'SegEnds_Xtal_BW#'!$A:$Z,12,FALSE)</f>
        <v>56</v>
      </c>
      <c r="M254" s="4">
        <f>VLOOKUP($B254&amp;"__wt",'SegEnds_Xtal_BW#'!$A:$Z,13,FALSE)</f>
        <v>50</v>
      </c>
      <c r="N254" s="11">
        <v>57</v>
      </c>
      <c r="O254" s="87">
        <f>VLOOKUP($B254&amp;"__wt",'SegEnds_Xtal_BW#'!$A:$Z,15,FALSE)</f>
        <v>38</v>
      </c>
      <c r="P254" s="4">
        <f>VLOOKUP($B254&amp;"__wt",'SegEnds_Xtal_BW#'!$A:$Z,16,FALSE)</f>
        <v>64</v>
      </c>
      <c r="Q254" s="4">
        <f>VLOOKUP($B254&amp;"__wt",'SegEnds_Xtal_BW#'!$A:$Z,17,FALSE)</f>
        <v>50</v>
      </c>
      <c r="R254" s="4">
        <f>VLOOKUP($B254&amp;"__wt",'SegEnds_Xtal_BW#'!$A:$Z,18,FALSE)</f>
        <v>52</v>
      </c>
      <c r="S254" s="4">
        <f>VLOOKUP($B254&amp;"__wt",'SegEnds_Xtal_BW#'!$A:$Z,19,FALSE)</f>
        <v>32</v>
      </c>
      <c r="T254" s="4">
        <f t="array" ref="T254">INDEX(ICL3_classA!$G$2:$G$39,MATCH(MIN(ABS(AI254-ICL3_classA!$F$2:$F$39)),ABS(AI254-ICL3_classA!$F$2:$F$39),0))</f>
        <v>76</v>
      </c>
      <c r="U254" s="4">
        <f t="array" ref="U254">INDEX(ICL3_classA!$H$2:$H$39,MATCH(MIN(ABS(AI254-ICL3_classA!$F$2:$F$39)),ABS(AI254-ICL3_classA!$F$2:$F$39),0))</f>
        <v>24</v>
      </c>
      <c r="V254" s="4">
        <v>61</v>
      </c>
      <c r="W254" s="4">
        <v>28</v>
      </c>
      <c r="X254" s="4">
        <f>VLOOKUP($B254&amp;"__wt",'SegEnds_Xtal_BW#'!$A:$Z,24,FALSE)</f>
        <v>56</v>
      </c>
      <c r="Y254" s="4">
        <f>VLOOKUP($B254&amp;"__wt",'SegEnds_Xtal_BW#'!$A:$Z,25,FALSE)</f>
        <v>47</v>
      </c>
      <c r="Z254" s="4">
        <f>VLOOKUP($B254&amp;"__wt",'SegEnds_Xtal_BW#'!$A:$Z,26,FALSE)</f>
        <v>62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4">
        <f>VLOOKUP(A254,'SegEnds_NonXtal_Prot#'!A:AL,10,FALSE)-VLOOKUP(A254,'SegEnds_NonXtal_Prot#'!A:AL,7,FALSE)</f>
        <v>15</v>
      </c>
      <c r="AD254" s="4">
        <f>VLOOKUP(A254,'SegEnds_NonXtal_Prot#'!A:AL,13,FALSE)-VLOOKUP(A254,'SegEnds_NonXtal_Prot#'!A:AL,10,FALSE)</f>
        <v>19</v>
      </c>
      <c r="AE254" s="4">
        <f>VLOOKUP(A254,'SegEnds_NonXtal_Prot#'!A:AL,16,FALSE)-VLOOKUP(A254,'SegEnds_NonXtal_Prot#'!A:AL,10,FALSE)</f>
        <v>53</v>
      </c>
      <c r="AF254" s="1">
        <f>VLOOKUP(A254,'SegEnds_NonXtal_Prot#'!A:AL,22,FALSE)-VLOOKUP(A254,'SegEnds_NonXtal_Prot#'!A:AL,19,FALSE)</f>
        <v>20</v>
      </c>
      <c r="AG254" s="4">
        <f>VLOOKUP(A254,'SegEnds_NonXtal_Prot#'!A:AL,28,FALSE)-VLOOKUP(A254,'SegEnds_NonXtal_Prot#'!A:AL,25,FALSE)</f>
        <v>24</v>
      </c>
      <c r="AH254" s="1">
        <f>VLOOKUP(A254,'SegEnds_NonXtal_Prot#'!A:AL,28,FALSE)-VLOOKUP(A254,'SegEnds_NonXtal_Prot#'!A:AL,22,FALSE)</f>
        <v>57</v>
      </c>
      <c r="AI254" s="4">
        <f>VLOOKUP(A254,'SegEnds_NonXtal_Prot#'!A:AL,31,FALSE)-VLOOKUP(A254,'SegEnds_NonXtal_Prot#'!A:AL,28,FALSE)</f>
        <v>69</v>
      </c>
      <c r="AJ254" s="4">
        <f>VLOOKUP(A254,'SegEnds_NonXtal_Prot#'!A:AL,34,FALSE)-VLOOKUP(A254,'SegEnds_NonXtal_Prot#'!A:AL,31,FALSE)</f>
        <v>41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319</v>
      </c>
      <c r="B255" s="1" t="str">
        <f>VLOOKUP(A255,Xtal_Templ!A:B,2,FALSE)</f>
        <v>ntr1_rat</v>
      </c>
      <c r="C255" s="5">
        <f>VLOOKUP($B255&amp;"__wt",'SegEnds_Xtal_BW#'!$A:$Z,3,FALSE)</f>
        <v>29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INDEX(ICL3_classA!$G$2:$G$39,MATCH(MIN(ABS(AI255-ICL3_classA!$F$2:$F$39)),ABS(AI255-ICL3_classA!$F$2:$F$39),0))</f>
        <v>73</v>
      </c>
      <c r="U255" s="1">
        <f t="array" ref="U255">INDEX(ICL3_classA!$H$2:$H$39,MATCH(MIN(ABS(AI255-ICL3_classA!$F$2:$F$39)),ABS(AI255-ICL3_classA!$F$2:$F$39),0))</f>
        <v>22</v>
      </c>
      <c r="V255" s="1">
        <v>61</v>
      </c>
      <c r="W255" s="1">
        <v>28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62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19</v>
      </c>
      <c r="AE255" s="1">
        <f>VLOOKUP(A255,'SegEnds_NonXtal_Prot#'!A:AL,16,FALSE)-VLOOKUP(A255,'SegEnds_NonXtal_Prot#'!A:AL,10,FALSE)</f>
        <v>53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24</v>
      </c>
      <c r="AH255" s="1">
        <f>VLOOKUP(A255,'SegEnds_NonXtal_Prot#'!A:AL,28,FALSE)-VLOOKUP(A255,'SegEnds_NonXtal_Prot#'!A:AL,22,FALSE)</f>
        <v>57</v>
      </c>
      <c r="AI255" s="1">
        <f>VLOOKUP(A255,'SegEnds_NonXtal_Prot#'!A:AL,31,FALSE)-VLOOKUP(A255,'SegEnds_NonXtal_Prot#'!A:AL,28,FALSE)</f>
        <v>55</v>
      </c>
      <c r="AJ255" s="1">
        <f>VLOOKUP(A255,'SegEnds_NonXtal_Prot#'!A:AL,34,FALSE)-VLOOKUP(A255,'SegEnds_NonXtal_Prot#'!A:AL,31,FALSE)</f>
        <v>41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349</v>
      </c>
      <c r="B256" s="1" t="str">
        <f>VLOOKUP(A256,Xtal_Templ!A:B,2,FALSE)</f>
        <v>par2_human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>
        <f>VLOOKUP($B256&amp;"__wt",'SegEnds_Xtal_BW#'!$A:$Z,9,FALSE)</f>
        <v>47</v>
      </c>
      <c r="J256" s="1">
        <f>VLOOKUP($B256&amp;"__wt",'SegEnds_Xtal_BW#'!$A:$Z,10,FALSE)</f>
        <v>52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62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31</v>
      </c>
      <c r="T256" s="1">
        <f t="array" ref="T256">INDEX(ICL3_classA!$G$2:$G$39,MATCH(MIN(ABS(AI256-ICL3_classA!$F$2:$F$39)),ABS(AI256-ICL3_classA!$F$2:$F$39),0))</f>
        <v>67</v>
      </c>
      <c r="U256" s="1">
        <f t="array" ref="U256">INDEX(ICL3_classA!$H$2:$H$39,MATCH(MIN(ABS(AI256-ICL3_classA!$F$2:$F$39)),ABS(AI256-ICL3_classA!$F$2:$F$39),0))</f>
        <v>26</v>
      </c>
      <c r="V256" s="1">
        <v>61</v>
      </c>
      <c r="W256" s="131">
        <f>VLOOKUP($B256&amp;"__wt",'SegEnds_Xtal_BW#'!$A:$Z,23,FALSE)</f>
        <v>31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61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 t="e">
        <f>VLOOKUP(A256,'SegEnds_NonXtal_Prot#'!A:AL,10,FALSE)-VLOOKUP(A256,'SegEnds_NonXtal_Prot#'!A:AL,7,FALSE)</f>
        <v>#VALUE!</v>
      </c>
      <c r="AD256" s="1">
        <f>VLOOKUP(A256,'SegEnds_NonXtal_Prot#'!A:AL,13,FALSE)-VLOOKUP(A256,'SegEnds_NonXtal_Prot#'!A:AL,10,FALSE)</f>
        <v>20</v>
      </c>
      <c r="AE256" s="1">
        <f>VLOOKUP(A256,'SegEnds_NonXtal_Prot#'!A:AL,16,FALSE)-VLOOKUP(A256,'SegEnds_NonXtal_Prot#'!A:AL,10,FALSE)</f>
        <v>52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30</v>
      </c>
      <c r="AH256" s="1">
        <f>VLOOKUP(A256,'SegEnds_NonXtal_Prot#'!A:AL,28,FALSE)-VLOOKUP(A256,'SegEnds_NonXtal_Prot#'!A:AL,22,FALSE)</f>
        <v>57</v>
      </c>
      <c r="AI256" s="1">
        <f>VLOOKUP(A256,'SegEnds_NonXtal_Prot#'!A:AL,31,FALSE)-VLOOKUP(A256,'SegEnds_NonXtal_Prot#'!A:AL,28,FALSE)</f>
        <v>47</v>
      </c>
      <c r="AJ256" s="1">
        <f>VLOOKUP(A256,'SegEnds_NonXtal_Prot#'!A:AL,34,FALSE)-VLOOKUP(A256,'SegEnds_NonXtal_Prot#'!A:AL,31,FALSE)</f>
        <v>38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367</v>
      </c>
      <c r="B257" s="1" t="str">
        <f>VLOOKUP(A257,Xtal_Templ!A:B,2,FALSE)</f>
        <v>npy1r_human</v>
      </c>
      <c r="C257" s="5">
        <f>VLOOKUP($B257&amp;"__wt",'SegEnds_Xtal_BW#'!$A:$Z,3,FALSE)</f>
        <v>28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68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 t="str">
        <f>VLOOKUP($B257&amp;"__wt",'SegEnds_Xtal_BW#'!$A:$Z,13,FALSE)</f>
        <v>-</v>
      </c>
      <c r="N257" s="108" t="s">
        <v>23</v>
      </c>
      <c r="O257" s="87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31</v>
      </c>
      <c r="T257" s="1">
        <f t="array" ref="T257">INDEX(ICL3_classA!$G$2:$G$39,MATCH(MIN(ABS(AI257-ICL3_classA!$F$2:$F$39)),ABS(AI257-ICL3_classA!$F$2:$F$39),0))</f>
        <v>73</v>
      </c>
      <c r="U257" s="1">
        <f t="array" ref="U257">INDEX(ICL3_classA!$H$2:$H$39,MATCH(MIN(ABS(AI257-ICL3_classA!$F$2:$F$39)),ABS(AI257-ICL3_classA!$F$2:$F$39),0))</f>
        <v>22</v>
      </c>
      <c r="V257" s="1">
        <v>61</v>
      </c>
      <c r="W257" s="1">
        <v>28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58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22</v>
      </c>
      <c r="AE257" s="1">
        <f>VLOOKUP(A257,'SegEnds_NonXtal_Prot#'!A:AL,16,FALSE)-VLOOKUP(A257,'SegEnds_NonXtal_Prot#'!A:AL,10,FALSE)</f>
        <v>54</v>
      </c>
      <c r="AF257" s="1" t="e">
        <f>VLOOKUP(A257,'SegEnds_NonXtal_Prot#'!A:AL,22,FALSE)-VLOOKUP(A257,'SegEnds_NonXtal_Prot#'!A:AL,19,FALSE)</f>
        <v>#VALUE!</v>
      </c>
      <c r="AG257" s="1">
        <f>VLOOKUP(A257,'SegEnds_NonXtal_Prot#'!A:AL,28,FALSE)-VLOOKUP(A257,'SegEnds_NonXtal_Prot#'!A:AL,25,FALSE)</f>
        <v>27</v>
      </c>
      <c r="AH257" s="1">
        <f>VLOOKUP(A257,'SegEnds_NonXtal_Prot#'!A:AL,28,FALSE)-VLOOKUP(A257,'SegEnds_NonXtal_Prot#'!A:AL,22,FALSE)</f>
        <v>57</v>
      </c>
      <c r="AI257" s="1">
        <f>VLOOKUP(A257,'SegEnds_NonXtal_Prot#'!A:AL,31,FALSE)-VLOOKUP(A257,'SegEnds_NonXtal_Prot#'!A:AL,28,FALSE)</f>
        <v>55</v>
      </c>
      <c r="AJ257" s="1">
        <f>VLOOKUP(A257,'SegEnds_NonXtal_Prot#'!A:AL,34,FALSE)-VLOOKUP(A257,'SegEnds_NonXtal_Prot#'!A:AL,31,FALSE)</f>
        <v>40</v>
      </c>
      <c r="AK257" s="1">
        <f>VLOOKUP(A257,'SegEnds_NonXtal_Prot#'!A:AL,37,FALSE)-VLOOKUP(A257,'SegEnds_NonXtal_Prot#'!A:AL,34,FALSE)</f>
        <v>11</v>
      </c>
      <c r="AL257" s="1" t="str">
        <f>IF(ISERROR(MATCH(A257,'SegEnds_Xtal_Prot#'!B:B, 0)), "NoXtal", "Xtal")</f>
        <v>NoXtal</v>
      </c>
    </row>
    <row r="258" spans="1:38" x14ac:dyDescent="0.2">
      <c r="A258" s="1" t="s">
        <v>368</v>
      </c>
      <c r="B258" s="1" t="str">
        <f>VLOOKUP(A258,Xtal_Templ!A:B,2,FALSE)</f>
        <v>npy1r_human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 t="str">
        <f>VLOOKUP($B258&amp;"__wt",'SegEnds_Xtal_BW#'!$A:$Z,13,FALSE)</f>
        <v>-</v>
      </c>
      <c r="N258" s="108" t="s">
        <v>23</v>
      </c>
      <c r="O258" s="87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31</v>
      </c>
      <c r="T258" s="1">
        <f t="array" ref="T258">INDEX(ICL3_classA!$G$2:$G$39,MATCH(MIN(ABS(AI258-ICL3_classA!$F$2:$F$39)),ABS(AI258-ICL3_classA!$F$2:$F$39),0))</f>
        <v>73</v>
      </c>
      <c r="U258" s="1">
        <f t="array" ref="U258">INDEX(ICL3_classA!$H$2:$H$39,MATCH(MIN(ABS(AI258-ICL3_classA!$F$2:$F$39)),ABS(AI258-ICL3_classA!$F$2:$F$39),0))</f>
        <v>22</v>
      </c>
      <c r="V258" s="1">
        <v>61</v>
      </c>
      <c r="W258" s="1">
        <v>28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22</v>
      </c>
      <c r="AE258" s="1">
        <f>VLOOKUP(A258,'SegEnds_NonXtal_Prot#'!A:AL,16,FALSE)-VLOOKUP(A258,'SegEnds_NonXtal_Prot#'!A:AL,10,FALSE)</f>
        <v>54</v>
      </c>
      <c r="AF258" s="1" t="e">
        <f>VLOOKUP(A258,'SegEnds_NonXtal_Prot#'!A:AL,22,FALSE)-VLOOKUP(A258,'SegEnds_NonXtal_Prot#'!A:AL,19,FALSE)</f>
        <v>#VALUE!</v>
      </c>
      <c r="AG258" s="1">
        <f>VLOOKUP(A258,'SegEnds_NonXtal_Prot#'!A:AL,28,FALSE)-VLOOKUP(A258,'SegEnds_NonXtal_Prot#'!A:AL,25,FALSE)</f>
        <v>27</v>
      </c>
      <c r="AH258" s="1">
        <f>VLOOKUP(A258,'SegEnds_NonXtal_Prot#'!A:AL,28,FALSE)-VLOOKUP(A258,'SegEnds_NonXtal_Prot#'!A:AL,22,FALSE)</f>
        <v>57</v>
      </c>
      <c r="AI258" s="1">
        <f>VLOOKUP(A258,'SegEnds_NonXtal_Prot#'!A:AL,31,FALSE)-VLOOKUP(A258,'SegEnds_NonXtal_Prot#'!A:AL,28,FALSE)</f>
        <v>55</v>
      </c>
      <c r="AJ258" s="1">
        <f>VLOOKUP(A258,'SegEnds_NonXtal_Prot#'!A:AL,34,FALSE)-VLOOKUP(A258,'SegEnds_NonXtal_Prot#'!A:AL,31,FALSE)</f>
        <v>40</v>
      </c>
      <c r="AK258" s="1">
        <f>VLOOKUP(A258,'SegEnds_NonXtal_Prot#'!A:AL,37,FALSE)-VLOOKUP(A258,'SegEnds_NonXtal_Prot#'!A:AL,34,FALSE)</f>
        <v>11</v>
      </c>
      <c r="AL258" s="1" t="str">
        <f>IF(ISERROR(MATCH(A258,'SegEnds_Xtal_Prot#'!B:B, 0)), "NoXtal", "Xtal")</f>
        <v>NoXtal</v>
      </c>
    </row>
    <row r="259" spans="1:38" x14ac:dyDescent="0.2">
      <c r="A259" s="1" t="s">
        <v>373</v>
      </c>
      <c r="B259" s="1" t="str">
        <f>VLOOKUP(A259,Xtal_Templ!A:B,2,FALSE)</f>
        <v>agtr1_human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58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34</v>
      </c>
      <c r="T259" s="1">
        <f t="array" ref="T259">INDEX(ICL3_classA!$G$2:$G$39,MATCH(MIN(ABS(AI259-ICL3_classA!$F$2:$F$39)),ABS(AI259-ICL3_classA!$F$2:$F$39),0))</f>
        <v>74</v>
      </c>
      <c r="U259" s="1">
        <f t="array" ref="U259">INDEX(ICL3_classA!$H$2:$H$39,MATCH(MIN(ABS(AI259-ICL3_classA!$F$2:$F$39)),ABS(AI259-ICL3_classA!$F$2:$F$39),0))</f>
        <v>21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61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29</v>
      </c>
      <c r="AC259" s="1">
        <f>VLOOKUP(A259,'SegEnds_NonXtal_Prot#'!A:AL,10,FALSE)-VLOOKUP(A259,'SegEnds_NonXtal_Prot#'!A:AL,7,FALSE)</f>
        <v>16</v>
      </c>
      <c r="AD259" s="1">
        <f>VLOOKUP(A259,'SegEnds_NonXtal_Prot#'!A:AL,13,FALSE)-VLOOKUP(A259,'SegEnds_NonXtal_Prot#'!A:AL,10,FALSE)</f>
        <v>20</v>
      </c>
      <c r="AE259" s="1">
        <f>VLOOKUP(A259,'SegEnds_NonXtal_Prot#'!A:AL,16,FALSE)-VLOOKUP(A259,'SegEnds_NonXtal_Prot#'!A:AL,10,FALSE)</f>
        <v>52</v>
      </c>
      <c r="AF259" s="1" t="e">
        <f>VLOOKUP(A259,'SegEnds_NonXtal_Prot#'!A:AL,22,FALSE)-VLOOKUP(A259,'SegEnds_NonXtal_Prot#'!A:AL,19,FALSE)</f>
        <v>#VALUE!</v>
      </c>
      <c r="AG259" s="1">
        <f>VLOOKUP(A259,'SegEnds_NonXtal_Prot#'!A:AL,28,FALSE)-VLOOKUP(A259,'SegEnds_NonXtal_Prot#'!A:AL,25,FALSE)</f>
        <v>32</v>
      </c>
      <c r="AH259" s="1">
        <f>VLOOKUP(A259,'SegEnds_NonXtal_Prot#'!A:AL,28,FALSE)-VLOOKUP(A259,'SegEnds_NonXtal_Prot#'!A:AL,22,FALSE)</f>
        <v>57</v>
      </c>
      <c r="AI259" s="1">
        <f>VLOOKUP(A259,'SegEnds_NonXtal_Prot#'!A:AL,31,FALSE)-VLOOKUP(A259,'SegEnds_NonXtal_Prot#'!A:AL,28,FALSE)</f>
        <v>62</v>
      </c>
      <c r="AJ259" s="1">
        <f>VLOOKUP(A259,'SegEnds_NonXtal_Prot#'!A:AL,34,FALSE)-VLOOKUP(A259,'SegEnds_NonXtal_Prot#'!A:AL,31,FALSE)</f>
        <v>45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1" t="s">
        <v>134</v>
      </c>
      <c r="B260" s="1" t="str">
        <f>VLOOKUP(A260,Xtal_Templ!A:B,2,FALSE)</f>
        <v>adrb2_human</v>
      </c>
      <c r="C260" s="5">
        <f>VLOOKUP($B260&amp;"__wt",'SegEnds_Xtal_BW#'!$A:$Z,3,FALSE)</f>
        <v>25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67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35</v>
      </c>
      <c r="T260" s="1">
        <f t="array" ref="T260">INDEX(ICL3_classA!$G$2:$G$39,MATCH(MIN(ABS(AI260-ICL3_classA!$F$2:$F$39)),ABS(AI260-ICL3_classA!$F$2:$F$39),0))</f>
        <v>76</v>
      </c>
      <c r="U260" s="1">
        <f t="array" ref="U260">INDEX(ICL3_classA!$H$2:$H$39,MATCH(MIN(ABS(AI260-ICL3_classA!$F$2:$F$39)),ABS(AI260-ICL3_classA!$F$2:$F$39),0))</f>
        <v>24</v>
      </c>
      <c r="V260" s="1">
        <v>61</v>
      </c>
      <c r="W260" s="1">
        <v>31</v>
      </c>
      <c r="X260" s="125">
        <v>56</v>
      </c>
      <c r="Y260" s="1">
        <f>VLOOKUP($B260&amp;"__wt",'SegEnds_Xtal_BW#'!$A:$Z,25,FALSE)</f>
        <v>47</v>
      </c>
      <c r="Z260" s="1">
        <f>VLOOKUP($B260&amp;"__wt",'SegEnds_Xtal_BW#'!$A:$Z,26,FALSE)</f>
        <v>59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29</v>
      </c>
      <c r="AC260" s="1">
        <f>VLOOKUP(A260,'SegEnds_NonXtal_Prot#'!A:AL,10,FALSE)-VLOOKUP(A260,'SegEnds_NonXtal_Prot#'!A:AL,7,FALSE)</f>
        <v>16</v>
      </c>
      <c r="AD260" s="1">
        <f>VLOOKUP(A260,'SegEnds_NonXtal_Prot#'!A:AL,13,FALSE)-VLOOKUP(A260,'SegEnds_NonXtal_Prot#'!A:AL,10,FALSE)</f>
        <v>20</v>
      </c>
      <c r="AE260" s="1">
        <f>VLOOKUP(A260,'SegEnds_NonXtal_Prot#'!A:AL,16,FALSE)-VLOOKUP(A260,'SegEnds_NonXtal_Prot#'!A:AL,10,FALSE)</f>
        <v>52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20</v>
      </c>
      <c r="AH260" s="1">
        <f>VLOOKUP(A260,'SegEnds_NonXtal_Prot#'!A:AL,28,FALSE)-VLOOKUP(A260,'SegEnds_NonXtal_Prot#'!A:AL,22,FALSE)</f>
        <v>58</v>
      </c>
      <c r="AI260" s="1">
        <f>VLOOKUP(A260,'SegEnds_NonXtal_Prot#'!A:AL,31,FALSE)-VLOOKUP(A260,'SegEnds_NonXtal_Prot#'!A:AL,28,FALSE)</f>
        <v>70</v>
      </c>
      <c r="AJ260" s="1">
        <f>VLOOKUP(A260,'SegEnds_NonXtal_Prot#'!A:AL,34,FALSE)-VLOOKUP(A260,'SegEnds_NonXtal_Prot#'!A:AL,31,FALSE)</f>
        <v>35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190</v>
      </c>
      <c r="B261" s="1" t="str">
        <f>VLOOKUP(A261,Xtal_Templ!A:B,2,FALSE)</f>
        <v>adrb2_human</v>
      </c>
      <c r="C261" s="5">
        <f>VLOOKUP($B261&amp;"__wt",'SegEnds_Xtal_BW#'!$A:$Z,3,FALSE)</f>
        <v>25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21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INDEX(ICL3_classA!$G$2:$G$39,MATCH(MIN(ABS(AI261-ICL3_classA!$F$2:$F$39)),ABS(AI261-ICL3_classA!$F$2:$F$39),0))</f>
        <v>76</v>
      </c>
      <c r="U261" s="1">
        <f t="array" ref="U261">INDEX(ICL3_classA!$H$2:$H$39,MATCH(MIN(ABS(AI261-ICL3_classA!$F$2:$F$39)),ABS(AI261-ICL3_classA!$F$2:$F$39),0))</f>
        <v>24</v>
      </c>
      <c r="V261" s="1">
        <v>61</v>
      </c>
      <c r="W261" s="1">
        <v>28</v>
      </c>
      <c r="X261" s="1">
        <f>VLOOKUP($B261&amp;"__wt",'SegEnds_Xtal_BW#'!$A:$Z,24,FALSE)</f>
        <v>55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29</v>
      </c>
      <c r="AC261" s="1">
        <f>VLOOKUP(A261,'SegEnds_NonXtal_Prot#'!A:AL,10,FALSE)-VLOOKUP(A261,'SegEnds_NonXtal_Prot#'!A:AL,7,FALSE)</f>
        <v>16</v>
      </c>
      <c r="AD261" s="1">
        <f>VLOOKUP(A261,'SegEnds_NonXtal_Prot#'!A:AL,13,FALSE)-VLOOKUP(A261,'SegEnds_NonXtal_Prot#'!A:AL,10,FALSE)</f>
        <v>20</v>
      </c>
      <c r="AE261" s="1">
        <f>VLOOKUP(A261,'SegEnds_NonXtal_Prot#'!A:AL,16,FALSE)-VLOOKUP(A261,'SegEnds_NonXtal_Prot#'!A:AL,10,FALSE)</f>
        <v>51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20</v>
      </c>
      <c r="AH261" s="1">
        <f>VLOOKUP(A261,'SegEnds_NonXtal_Prot#'!A:AL,28,FALSE)-VLOOKUP(A261,'SegEnds_NonXtal_Prot#'!A:AL,22,FALSE)</f>
        <v>58</v>
      </c>
      <c r="AI261" s="1">
        <f>VLOOKUP(A261,'SegEnds_NonXtal_Prot#'!A:AL,31,FALSE)-VLOOKUP(A261,'SegEnds_NonXtal_Prot#'!A:AL,28,FALSE)</f>
        <v>81</v>
      </c>
      <c r="AJ261" s="1">
        <f>VLOOKUP(A261,'SegEnds_NonXtal_Prot#'!A:AL,34,FALSE)-VLOOKUP(A261,'SegEnds_NonXtal_Prot#'!A:AL,31,FALSE)</f>
        <v>41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245</v>
      </c>
      <c r="B262" s="1" t="str">
        <f>VLOOKUP(A262,Xtal_Templ!A:B,2,FALSE)</f>
        <v>5ht2c_human</v>
      </c>
      <c r="C262" s="5">
        <f>VLOOKUP($B262&amp;"__wt",'SegEnds_Xtal_BW#'!$A:$Z,3,FALSE)</f>
        <v>33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53</v>
      </c>
      <c r="O262" s="87">
        <f>VLOOKUP($B262&amp;"__wt",'SegEnds_Xtal_BW#'!$A:$Z,15,FALSE)</f>
        <v>38</v>
      </c>
      <c r="P262" s="1">
        <v>63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INDEX(ICL3_classA!$G$2:$G$39,MATCH(MIN(ABS(AI262-ICL3_classA!$F$2:$F$39)),ABS(AI262-ICL3_classA!$F$2:$F$39),0))</f>
        <v>74</v>
      </c>
      <c r="U262" s="1">
        <f t="array" ref="U262">INDEX(ICL3_classA!$H$2:$H$39,MATCH(MIN(ABS(AI262-ICL3_classA!$F$2:$F$39)),ABS(AI262-ICL3_classA!$F$2:$F$39),0))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60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29</v>
      </c>
      <c r="AC262" s="1">
        <f>VLOOKUP(A262,'SegEnds_NonXtal_Prot#'!A:AL,10,FALSE)-VLOOKUP(A262,'SegEnds_NonXtal_Prot#'!A:AL,7,FALSE)</f>
        <v>16</v>
      </c>
      <c r="AD262" s="1" t="e">
        <f>VLOOKUP(A262,'SegEnds_NonXtal_Prot#'!A:AL,13,FALSE)-VLOOKUP(A262,'SegEnds_NonXtal_Prot#'!A:AL,10,FALSE)</f>
        <v>#VALUE!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18</v>
      </c>
      <c r="AG262" s="1">
        <f>VLOOKUP(A262,'SegEnds_NonXtal_Prot#'!A:AL,28,FALSE)-VLOOKUP(A262,'SegEnds_NonXtal_Prot#'!A:AL,25,FALSE)</f>
        <v>26</v>
      </c>
      <c r="AH262" s="1">
        <f>VLOOKUP(A262,'SegEnds_NonXtal_Prot#'!A:AL,28,FALSE)-VLOOKUP(A262,'SegEnds_NonXtal_Prot#'!A:AL,22,FALSE)</f>
        <v>58</v>
      </c>
      <c r="AI262" s="1">
        <f>VLOOKUP(A262,'SegEnds_NonXtal_Prot#'!A:AL,31,FALSE)-VLOOKUP(A262,'SegEnds_NonXtal_Prot#'!A:AL,28,FALSE)</f>
        <v>105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326</v>
      </c>
      <c r="B263" s="1" t="str">
        <f>VLOOKUP(A263,Xtal_Templ!A:B,2,FALSE)</f>
        <v>ox1r_human</v>
      </c>
      <c r="C263" s="5">
        <f>VLOOKUP($B263&amp;"__wt",'SegEnds_Xtal_BW#'!$A:$Z,3,FALSE)</f>
        <v>32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56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33</v>
      </c>
      <c r="T263" s="1">
        <f t="array" ref="T263">INDEX(ICL3_classA!$G$2:$G$39,MATCH(MIN(ABS(AI263-ICL3_classA!$F$2:$F$39)),ABS(AI263-ICL3_classA!$F$2:$F$39),0))</f>
        <v>72</v>
      </c>
      <c r="U263" s="1">
        <f t="array" ref="U263">INDEX(ICL3_classA!$H$2:$H$39,MATCH(MIN(ABS(AI263-ICL3_classA!$F$2:$F$39)),ABS(AI263-ICL3_classA!$F$2:$F$39),0))</f>
        <v>23</v>
      </c>
      <c r="V263" s="1">
        <v>61</v>
      </c>
      <c r="W263" s="131">
        <f>VLOOKUP($B263&amp;"__wt",'SegEnds_Xtal_BW#'!$A:$Z,23,FALSE)</f>
        <v>27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63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20</v>
      </c>
      <c r="AE263" s="1">
        <f>VLOOKUP(A263,'SegEnds_NonXtal_Prot#'!A:AL,16,FALSE)-VLOOKUP(A263,'SegEnds_NonXtal_Prot#'!A:AL,10,FALSE)</f>
        <v>52</v>
      </c>
      <c r="AF263" s="1" t="e">
        <f>VLOOKUP(A263,'SegEnds_NonXtal_Prot#'!A:AL,22,FALSE)-VLOOKUP(A263,'SegEnds_NonXtal_Prot#'!A:AL,19,FALSE)</f>
        <v>#VALUE!</v>
      </c>
      <c r="AG263" s="1">
        <f>VLOOKUP(A263,'SegEnds_NonXtal_Prot#'!A:AL,28,FALSE)-VLOOKUP(A263,'SegEnds_NonXtal_Prot#'!A:AL,25,FALSE)</f>
        <v>28</v>
      </c>
      <c r="AH263" s="1">
        <f>VLOOKUP(A263,'SegEnds_NonXtal_Prot#'!A:AL,28,FALSE)-VLOOKUP(A263,'SegEnds_NonXtal_Prot#'!A:AL,22,FALSE)</f>
        <v>58</v>
      </c>
      <c r="AI263" s="1">
        <f>VLOOKUP(A263,'SegEnds_NonXtal_Prot#'!A:AL,31,FALSE)-VLOOKUP(A263,'SegEnds_NonXtal_Prot#'!A:AL,28,FALSE)</f>
        <v>52</v>
      </c>
      <c r="AJ263" s="1">
        <f>VLOOKUP(A263,'SegEnds_NonXtal_Prot#'!A:AL,34,FALSE)-VLOOKUP(A263,'SegEnds_NonXtal_Prot#'!A:AL,31,FALSE)</f>
        <v>39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330</v>
      </c>
      <c r="B264" s="1" t="str">
        <f>VLOOKUP(A264,Xtal_Templ!A:B,2,FALSE)</f>
        <v>ntr1_rat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 t="str">
        <f>VLOOKUP($B264&amp;"__wt",'SegEnds_Xtal_BW#'!$A:$Z,5,FALSE)</f>
        <v>-</v>
      </c>
      <c r="F264" s="1" t="str">
        <f>VLOOKUP($B264&amp;"__wt",'SegEnds_Xtal_BW#'!$A:$Z,6,FALSE)</f>
        <v>-</v>
      </c>
      <c r="G264" s="1">
        <v>37</v>
      </c>
      <c r="H264" s="12">
        <f>VLOOKUP($B264&amp;"__wt",'SegEnds_Xtal_BW#'!$A:$Z,8,FALSE)</f>
        <v>68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INDEX(ICL3_classA!$G$2:$G$39,MATCH(MIN(ABS(AI264-ICL3_classA!$F$2:$F$39)),ABS(AI264-ICL3_classA!$F$2:$F$39),0))</f>
        <v>74</v>
      </c>
      <c r="U264" s="1">
        <f t="array" ref="U264">INDEX(ICL3_classA!$H$2:$H$39,MATCH(MIN(ABS(AI264-ICL3_classA!$F$2:$F$39)),ABS(AI264-ICL3_classA!$F$2:$F$39),0))</f>
        <v>24</v>
      </c>
      <c r="V264" s="1">
        <v>61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62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29</v>
      </c>
      <c r="AC264" s="1" t="e">
        <f>VLOOKUP(A264,'SegEnds_NonXtal_Prot#'!A:AL,10,FALSE)-VLOOKUP(A264,'SegEnds_NonXtal_Prot#'!A:AL,7,FALSE)</f>
        <v>#VALUE!</v>
      </c>
      <c r="AD264" s="1">
        <f>VLOOKUP(A264,'SegEnds_NonXtal_Prot#'!A:AL,13,FALSE)-VLOOKUP(A264,'SegEnds_NonXtal_Prot#'!A:AL,10,FALSE)</f>
        <v>22</v>
      </c>
      <c r="AE264" s="1">
        <f>VLOOKUP(A264,'SegEnds_NonXtal_Prot#'!A:AL,16,FALSE)-VLOOKUP(A264,'SegEnds_NonXtal_Prot#'!A:AL,10,FALSE)</f>
        <v>54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24</v>
      </c>
      <c r="AH264" s="1">
        <f>VLOOKUP(A264,'SegEnds_NonXtal_Prot#'!A:AL,28,FALSE)-VLOOKUP(A264,'SegEnds_NonXtal_Prot#'!A:AL,22,FALSE)</f>
        <v>58</v>
      </c>
      <c r="AI264" s="1">
        <f>VLOOKUP(A264,'SegEnds_NonXtal_Prot#'!A:AL,31,FALSE)-VLOOKUP(A264,'SegEnds_NonXtal_Prot#'!A:AL,28,FALSE)</f>
        <v>94</v>
      </c>
      <c r="AJ264" s="1">
        <f>VLOOKUP(A264,'SegEnds_NonXtal_Prot#'!A:AL,34,FALSE)-VLOOKUP(A264,'SegEnds_NonXtal_Prot#'!A:AL,31,FALSE)</f>
        <v>43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1174</v>
      </c>
      <c r="B265" s="1" t="str">
        <f>VLOOKUP(A265,Xtal_Templ!A:B,2,FALSE)</f>
        <v>ox1r_human</v>
      </c>
      <c r="C265" s="5">
        <f>VLOOKUP($B265&amp;"__wt",'SegEnds_Xtal_BW#'!$A:$Z,3,FALSE)</f>
        <v>32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68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53</v>
      </c>
      <c r="O265" s="87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INDEX(ICL3_classA!$G$2:$G$39,MATCH(MIN(ABS(AI265-ICL3_classA!$F$2:$F$39)),ABS(AI265-ICL3_classA!$F$2:$F$39),0))</f>
        <v>76</v>
      </c>
      <c r="U265" s="1">
        <v>20</v>
      </c>
      <c r="V265" s="1">
        <v>61</v>
      </c>
      <c r="W265" s="1">
        <v>28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63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>
        <f>VLOOKUP(A265,'SegEnds_NonXtal_Prot#'!A:AL,13,FALSE)-VLOOKUP(A265,'SegEnds_NonXtal_Prot#'!A:AL,10,FALSE)</f>
        <v>20</v>
      </c>
      <c r="AE265" s="1">
        <f>VLOOKUP(A265,'SegEnds_NonXtal_Prot#'!A:AL,16,FALSE)-VLOOKUP(A265,'SegEnds_NonXtal_Prot#'!A:AL,10,FALSE)</f>
        <v>52</v>
      </c>
      <c r="AF265" s="1">
        <f>VLOOKUP(A265,'SegEnds_NonXtal_Prot#'!A:AL,22,FALSE)-VLOOKUP(A265,'SegEnds_NonXtal_Prot#'!A:AL,19,FALSE)</f>
        <v>18</v>
      </c>
      <c r="AG265" s="1">
        <f>VLOOKUP(A265,'SegEnds_NonXtal_Prot#'!A:AL,28,FALSE)-VLOOKUP(A265,'SegEnds_NonXtal_Prot#'!A:AL,25,FALSE)</f>
        <v>25</v>
      </c>
      <c r="AH265" s="1">
        <f>VLOOKUP(A265,'SegEnds_NonXtal_Prot#'!A:AL,28,FALSE)-VLOOKUP(A265,'SegEnds_NonXtal_Prot#'!A:AL,22,FALSE)</f>
        <v>58</v>
      </c>
      <c r="AI265" s="12">
        <f>VLOOKUP(A265,'SegEnds_NonXtal_Prot#'!A:AL,31,FALSE)-VLOOKUP(A265,'SegEnds_NonXtal_Prot#'!A:AL,28,FALSE)</f>
        <v>86</v>
      </c>
      <c r="AJ265" s="1">
        <f>VLOOKUP(A265,'SegEnds_NonXtal_Prot#'!A:AL,34,FALSE)-VLOOKUP(A265,'SegEnds_NonXtal_Prot#'!A:AL,31,FALSE)</f>
        <v>42</v>
      </c>
      <c r="AK265" s="1">
        <f>VLOOKUP(A265,'SegEnds_NonXtal_Prot#'!A:AL,37,FALSE)-VLOOKUP(A265,'SegEnds_NonXtal_Prot#'!A:AL,34,FALSE)</f>
        <v>10</v>
      </c>
      <c r="AL265" s="12" t="str">
        <f>IF(ISERROR(MATCH(A265,'SegEnds_Xtal_Prot#'!B:B, 0)), "NoXtal", "Xtal")</f>
        <v>Xtal</v>
      </c>
    </row>
    <row r="266" spans="1:38" x14ac:dyDescent="0.2">
      <c r="A266" s="1" t="s">
        <v>1175</v>
      </c>
      <c r="B266" s="1" t="str">
        <f>VLOOKUP(A266,Xtal_Templ!A:B,2,FALSE)</f>
        <v>ox2r_human</v>
      </c>
      <c r="C266" s="5">
        <f>VLOOKUP($B266&amp;"__wt",'SegEnds_Xtal_BW#'!$A:$Z,3,FALSE)</f>
        <v>31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53</v>
      </c>
      <c r="O266" s="87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INDEX(ICL3_classA!$G$2:$G$39,MATCH(MIN(ABS(AI266-ICL3_classA!$F$2:$F$39)),ABS(AI266-ICL3_classA!$F$2:$F$39),0))</f>
        <v>76</v>
      </c>
      <c r="U266" s="1">
        <v>20</v>
      </c>
      <c r="V266" s="1">
        <v>61</v>
      </c>
      <c r="W266" s="108">
        <v>27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63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20</v>
      </c>
      <c r="AE266" s="1">
        <f>VLOOKUP(A266,'SegEnds_NonXtal_Prot#'!A:AL,16,FALSE)-VLOOKUP(A266,'SegEnds_NonXtal_Prot#'!A:AL,10,FALSE)</f>
        <v>52</v>
      </c>
      <c r="AF266" s="1">
        <f>VLOOKUP(A266,'SegEnds_NonXtal_Prot#'!A:AL,22,FALSE)-VLOOKUP(A266,'SegEnds_NonXtal_Prot#'!A:AL,19,FALSE)</f>
        <v>18</v>
      </c>
      <c r="AG266" s="1">
        <f>VLOOKUP(A266,'SegEnds_NonXtal_Prot#'!A:AL,28,FALSE)-VLOOKUP(A266,'SegEnds_NonXtal_Prot#'!A:AL,25,FALSE)</f>
        <v>25</v>
      </c>
      <c r="AH266" s="1">
        <f>VLOOKUP(A266,'SegEnds_NonXtal_Prot#'!A:AL,28,FALSE)-VLOOKUP(A266,'SegEnds_NonXtal_Prot#'!A:AL,22,FALSE)</f>
        <v>58</v>
      </c>
      <c r="AI266" s="12">
        <f>VLOOKUP(A266,'SegEnds_NonXtal_Prot#'!A:AL,31,FALSE)-VLOOKUP(A266,'SegEnds_NonXtal_Prot#'!A:AL,28,FALSE)</f>
        <v>84</v>
      </c>
      <c r="AJ266" s="1">
        <f>VLOOKUP(A266,'SegEnds_NonXtal_Prot#'!A:AL,34,FALSE)-VLOOKUP(A266,'SegEnds_NonXtal_Prot#'!A:AL,31,FALSE)</f>
        <v>42</v>
      </c>
      <c r="AK266" s="1">
        <f>VLOOKUP(A266,'SegEnds_NonXtal_Prot#'!A:AL,37,FALSE)-VLOOKUP(A266,'SegEnds_NonXtal_Prot#'!A:AL,34,FALSE)</f>
        <v>10</v>
      </c>
      <c r="AL266" s="12" t="str">
        <f>IF(ISERROR(MATCH(A266,'SegEnds_Xtal_Prot#'!B:B, 0)), "NoXtal", "Xtal")</f>
        <v>Xtal</v>
      </c>
    </row>
    <row r="267" spans="1:38" x14ac:dyDescent="0.2">
      <c r="A267" s="1" t="s">
        <v>160</v>
      </c>
      <c r="B267" s="1" t="str">
        <f>VLOOKUP(A267,Xtal_Templ!A:B,2,FALSE)</f>
        <v>apj_human</v>
      </c>
      <c r="C267" s="5">
        <f>VLOOKUP($B267&amp;"__wt",'SegEnds_Xtal_BW#'!$A:$Z,3,FALSE)</f>
        <v>33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52</v>
      </c>
      <c r="G267" s="1">
        <v>37</v>
      </c>
      <c r="H267" s="12">
        <f>VLOOKUP($B267&amp;"__wt",'SegEnds_Xtal_BW#'!$A:$Z,8,FALSE)</f>
        <v>67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57</v>
      </c>
      <c r="O267" s="87"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30</v>
      </c>
      <c r="T267" s="1">
        <f t="array" ref="T267">INDEX(ICL3_classA!$G$2:$G$39,MATCH(MIN(ABS(AI267-ICL3_classA!$F$2:$F$39)),ABS(AI267-ICL3_classA!$F$2:$F$39),0))</f>
        <v>72</v>
      </c>
      <c r="U267" s="1">
        <f t="array" ref="U267">INDEX(ICL3_classA!$H$2:$H$39,MATCH(MIN(ABS(AI267-ICL3_classA!$F$2:$F$39)),ABS(AI267-ICL3_classA!$F$2:$F$39),0))</f>
        <v>29</v>
      </c>
      <c r="V267" s="108">
        <v>63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61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29</v>
      </c>
      <c r="AC267" s="1">
        <f>VLOOKUP(A267,'SegEnds_NonXtal_Prot#'!A:AL,10,FALSE)-VLOOKUP(A267,'SegEnds_NonXtal_Prot#'!A:AL,7,FALSE)</f>
        <v>16</v>
      </c>
      <c r="AD267" s="1">
        <f>VLOOKUP(A267,'SegEnds_NonXtal_Prot#'!A:AL,13,FALSE)-VLOOKUP(A267,'SegEnds_NonXtal_Prot#'!A:AL,10,FALSE)</f>
        <v>20</v>
      </c>
      <c r="AE267" s="1">
        <f>VLOOKUP(A267,'SegEnds_NonXtal_Prot#'!A:AL,16,FALSE)-VLOOKUP(A267,'SegEnds_NonXtal_Prot#'!A:AL,10,FALSE)</f>
        <v>52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32</v>
      </c>
      <c r="AH267" s="1">
        <f>VLOOKUP(A267,'SegEnds_NonXtal_Prot#'!A:AL,28,FALSE)-VLOOKUP(A267,'SegEnds_NonXtal_Prot#'!A:AL,22,FALSE)</f>
        <v>59</v>
      </c>
      <c r="AI267" s="1">
        <f>VLOOKUP(A267,'SegEnds_NonXtal_Prot#'!A:AL,31,FALSE)-VLOOKUP(A267,'SegEnds_NonXtal_Prot#'!A:AL,28,FALSE)</f>
        <v>50</v>
      </c>
      <c r="AJ267" s="1">
        <f>VLOOKUP(A267,'SegEnds_NonXtal_Prot#'!A:AL,34,FALSE)-VLOOKUP(A267,'SegEnds_NonXtal_Prot#'!A:AL,31,FALSE)</f>
        <v>43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Xtal</v>
      </c>
    </row>
    <row r="268" spans="1:38" x14ac:dyDescent="0.2">
      <c r="A268" s="1" t="s">
        <v>196</v>
      </c>
      <c r="B268" s="1" t="str">
        <f>VLOOKUP(A268,Xtal_Templ!A:B,2,FALSE)</f>
        <v>ednrb_human</v>
      </c>
      <c r="C268" s="5">
        <f>VLOOKUP($B268&amp;"__wt",'SegEnds_Xtal_BW#'!$A:$Z,3,FALSE)</f>
        <v>22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52</v>
      </c>
      <c r="G268" s="1">
        <v>38</v>
      </c>
      <c r="H268" s="12">
        <f>VLOOKUP($B268&amp;"__wt",'SegEnds_Xtal_BW#'!$A:$Z,8,FALSE)</f>
        <v>67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21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f>VLOOKUP($B268&amp;"__wt",'SegEnds_Xtal_BW#'!$A:$Z,14,FALSE)</f>
        <v>57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28</v>
      </c>
      <c r="T268" s="1">
        <f t="array" ref="T268">INDEX(ICL3_classA!$G$2:$G$39,MATCH(MIN(ABS(AI268-ICL3_classA!$F$2:$F$39)),ABS(AI268-ICL3_classA!$F$2:$F$39),0))</f>
        <v>72</v>
      </c>
      <c r="U268" s="1">
        <f t="array" ref="U268">INDEX(ICL3_classA!$H$2:$H$39,MATCH(MIN(ABS(AI268-ICL3_classA!$F$2:$F$39)),ABS(AI268-ICL3_classA!$F$2:$F$39),0))</f>
        <v>24</v>
      </c>
      <c r="V268" s="1">
        <v>62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60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20</v>
      </c>
      <c r="AE268" s="1">
        <f>VLOOKUP(A268,'SegEnds_NonXtal_Prot#'!A:AL,16,FALSE)-VLOOKUP(A268,'SegEnds_NonXtal_Prot#'!A:AL,10,FALSE)</f>
        <v>52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30</v>
      </c>
      <c r="AH268" s="1">
        <f>VLOOKUP(A268,'SegEnds_NonXtal_Prot#'!A:AL,28,FALSE)-VLOOKUP(A268,'SegEnds_NonXtal_Prot#'!A:AL,22,FALSE)</f>
        <v>59</v>
      </c>
      <c r="AI268" s="1">
        <f>VLOOKUP(A268,'SegEnds_NonXtal_Prot#'!A:AL,31,FALSE)-VLOOKUP(A268,'SegEnds_NonXtal_Prot#'!A:AL,28,FALSE)</f>
        <v>53</v>
      </c>
      <c r="AJ268" s="1">
        <f>VLOOKUP(A268,'SegEnds_NonXtal_Prot#'!A:AL,34,FALSE)-VLOOKUP(A268,'SegEnds_NonXtal_Prot#'!A:AL,31,FALSE)</f>
        <v>45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Xtal</v>
      </c>
    </row>
    <row r="269" spans="1:38" x14ac:dyDescent="0.2">
      <c r="A269" s="1" t="s">
        <v>210</v>
      </c>
      <c r="B269" s="1" t="str">
        <f>VLOOKUP(A269,Xtal_Templ!A:B,2,FALSE)</f>
        <v>apj_human</v>
      </c>
      <c r="C269" s="5">
        <f>VLOOKUP($B269&amp;"__wt",'SegEnds_Xtal_BW#'!$A:$Z,3,FALSE)</f>
        <v>33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52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21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53</v>
      </c>
      <c r="O269" s="87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30</v>
      </c>
      <c r="T269" s="1">
        <f t="array" ref="T269">INDEX(ICL3_classA!$G$2:$G$39,MATCH(MIN(ABS(AI269-ICL3_classA!$F$2:$F$39)),ABS(AI269-ICL3_classA!$F$2:$F$39),0))</f>
        <v>74</v>
      </c>
      <c r="U269" s="1">
        <f t="array" ref="U269">INDEX(ICL3_classA!$H$2:$H$39,MATCH(MIN(ABS(AI269-ICL3_classA!$F$2:$F$39)),ABS(AI269-ICL3_classA!$F$2:$F$39),0))</f>
        <v>21</v>
      </c>
      <c r="V269" s="1">
        <v>61</v>
      </c>
      <c r="W269" s="108">
        <v>25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61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34</v>
      </c>
      <c r="AC269" s="1">
        <f>VLOOKUP(A269,'SegEnds_NonXtal_Prot#'!A:AL,10,FALSE)-VLOOKUP(A269,'SegEnds_NonXtal_Prot#'!A:AL,7,FALSE)</f>
        <v>14</v>
      </c>
      <c r="AD269" s="1">
        <f>VLOOKUP(A269,'SegEnds_NonXtal_Prot#'!A:AL,13,FALSE)-VLOOKUP(A269,'SegEnds_NonXtal_Prot#'!A:AL,10,FALSE)</f>
        <v>20</v>
      </c>
      <c r="AE269" s="1">
        <f>VLOOKUP(A269,'SegEnds_NonXtal_Prot#'!A:AL,16,FALSE)-VLOOKUP(A269,'SegEnds_NonXtal_Prot#'!A:AL,10,FALSE)</f>
        <v>52</v>
      </c>
      <c r="AF269" s="1">
        <f>VLOOKUP(A269,'SegEnds_NonXtal_Prot#'!A:AL,22,FALSE)-VLOOKUP(A269,'SegEnds_NonXtal_Prot#'!A:AL,19,FALSE)</f>
        <v>18</v>
      </c>
      <c r="AG269" s="1">
        <f>VLOOKUP(A269,'SegEnds_NonXtal_Prot#'!A:AL,28,FALSE)-VLOOKUP(A269,'SegEnds_NonXtal_Prot#'!A:AL,25,FALSE)</f>
        <v>23</v>
      </c>
      <c r="AH269" s="1">
        <f>VLOOKUP(A269,'SegEnds_NonXtal_Prot#'!A:AL,28,FALSE)-VLOOKUP(A269,'SegEnds_NonXtal_Prot#'!A:AL,22,FALSE)</f>
        <v>59</v>
      </c>
      <c r="AI269" s="1">
        <f>VLOOKUP(A269,'SegEnds_NonXtal_Prot#'!A:AL,31,FALSE)-VLOOKUP(A269,'SegEnds_NonXtal_Prot#'!A:AL,28,FALSE)</f>
        <v>59</v>
      </c>
      <c r="AJ269" s="1">
        <f>VLOOKUP(A269,'SegEnds_NonXtal_Prot#'!A:AL,34,FALSE)-VLOOKUP(A269,'SegEnds_NonXtal_Prot#'!A:AL,31,FALSE)</f>
        <v>38</v>
      </c>
      <c r="AK269" s="1" t="e">
        <f>VLOOKUP(A269,'SegEnds_NonXtal_Prot#'!A:AL,37,FALSE)-VLOOKUP(A269,'SegEnds_NonXtal_Prot#'!A:AL,34,FALSE)</f>
        <v>#VALUE!</v>
      </c>
      <c r="AL269" s="1" t="str">
        <f>IF(ISERROR(MATCH(A269,'SegEnds_Xtal_Prot#'!B:B, 0)), "NoXtal", "Xtal")</f>
        <v>NoXtal</v>
      </c>
    </row>
    <row r="270" spans="1:38" x14ac:dyDescent="0.2">
      <c r="A270" s="1" t="s">
        <v>328</v>
      </c>
      <c r="B270" s="1" t="str">
        <f>VLOOKUP(A270,Xtal_Templ!A:B,2,FALSE)</f>
        <v>npy1r_human</v>
      </c>
      <c r="C270" s="5">
        <f>VLOOKUP($B270&amp;"__wt",'SegEnds_Xtal_BW#'!$A:$Z,3,FALSE)</f>
        <v>28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68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 t="str">
        <f>VLOOKUP($B270&amp;"__wt",'SegEnds_Xtal_BW#'!$A:$Z,13,FALSE)</f>
        <v>-</v>
      </c>
      <c r="N270" s="108" t="s">
        <v>23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31</v>
      </c>
      <c r="T270" s="1">
        <f t="array" ref="T270">INDEX(ICL3_classA!$G$2:$G$39,MATCH(MIN(ABS(AI270-ICL3_classA!$F$2:$F$39)),ABS(AI270-ICL3_classA!$F$2:$F$39),0))</f>
        <v>76</v>
      </c>
      <c r="U270" s="1">
        <f t="array" ref="U270">INDEX(ICL3_classA!$H$2:$H$39,MATCH(MIN(ABS(AI270-ICL3_classA!$F$2:$F$39)),ABS(AI270-ICL3_classA!$F$2:$F$39),0))</f>
        <v>24</v>
      </c>
      <c r="V270" s="1">
        <v>61</v>
      </c>
      <c r="W270" s="131">
        <f>VLOOKUP($B270&amp;"__wt",'SegEnds_Xtal_BW#'!$A:$Z,23,FALSE)</f>
        <v>28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58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20</v>
      </c>
      <c r="AE270" s="1">
        <f>VLOOKUP(A270,'SegEnds_NonXtal_Prot#'!A:AL,16,FALSE)-VLOOKUP(A270,'SegEnds_NonXtal_Prot#'!A:AL,10,FALSE)</f>
        <v>52</v>
      </c>
      <c r="AF270" s="1" t="e">
        <f>VLOOKUP(A270,'SegEnds_NonXtal_Prot#'!A:AL,22,FALSE)-VLOOKUP(A270,'SegEnds_NonXtal_Prot#'!A:AL,19,FALSE)</f>
        <v>#VALUE!</v>
      </c>
      <c r="AG270" s="1">
        <f>VLOOKUP(A270,'SegEnds_NonXtal_Prot#'!A:AL,28,FALSE)-VLOOKUP(A270,'SegEnds_NonXtal_Prot#'!A:AL,25,FALSE)</f>
        <v>25</v>
      </c>
      <c r="AH270" s="1">
        <f>VLOOKUP(A270,'SegEnds_NonXtal_Prot#'!A:AL,28,FALSE)-VLOOKUP(A270,'SegEnds_NonXtal_Prot#'!A:AL,22,FALSE)</f>
        <v>59</v>
      </c>
      <c r="AI270" s="1">
        <f>VLOOKUP(A270,'SegEnds_NonXtal_Prot#'!A:AL,31,FALSE)-VLOOKUP(A270,'SegEnds_NonXtal_Prot#'!A:AL,28,FALSE)</f>
        <v>160</v>
      </c>
      <c r="AJ270" s="1">
        <f>VLOOKUP(A270,'SegEnds_NonXtal_Prot#'!A:AL,34,FALSE)-VLOOKUP(A270,'SegEnds_NonXtal_Prot#'!A:AL,31,FALSE)</f>
        <v>39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363</v>
      </c>
      <c r="B271" s="1" t="str">
        <f>VLOOKUP(A271,Xtal_Templ!A:B,2,FALSE)</f>
        <v>pe2r3_human</v>
      </c>
      <c r="C271" s="5">
        <f>VLOOKUP($B271&amp;"__wt",'SegEnds_Xtal_BW#'!$A:$Z,3,FALSE)</f>
        <v>36</v>
      </c>
      <c r="D271" s="1">
        <f>VLOOKUP($B271&amp;"__wt",'SegEnds_Xtal_BW#'!$A:$Z,4,FALSE)</f>
        <v>62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f>VLOOKUP($B271&amp;"__wt",'SegEnds_Xtal_BW#'!$A:$Z,8,FALSE)</f>
        <v>68</v>
      </c>
      <c r="I271" s="1">
        <v>49</v>
      </c>
      <c r="J271" s="1">
        <f>VLOOKUP($B271&amp;"__wt",'SegEnds_Xtal_BW#'!$A:$Z,10,FALSE)</f>
        <v>56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f>VLOOKUP($B271&amp;"__wt",'SegEnds_Xtal_BW#'!$A:$Z,15,FALSE)</f>
        <v>38</v>
      </c>
      <c r="P271" s="1">
        <f>VLOOKUP($B271&amp;"__wt",'SegEnds_Xtal_BW#'!$A:$Z,16,FALSE)</f>
        <v>63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34</v>
      </c>
      <c r="T271" s="1">
        <f t="array" ref="T271">INDEX(ICL3_classA!$G$2:$G$39,MATCH(MIN(ABS(AI271-ICL3_classA!$F$2:$F$39)),ABS(AI271-ICL3_classA!$F$2:$F$39),0))</f>
        <v>73</v>
      </c>
      <c r="U271" s="1">
        <f t="array" ref="U271">INDEX(ICL3_classA!$H$2:$H$39,MATCH(MIN(ABS(AI271-ICL3_classA!$F$2:$F$39)),ABS(AI271-ICL3_classA!$F$2:$F$39),0))</f>
        <v>22</v>
      </c>
      <c r="V271" s="1">
        <v>64</v>
      </c>
      <c r="W271" s="1">
        <v>24</v>
      </c>
      <c r="X271" s="1">
        <f>VLOOKUP($B271&amp;"__wt",'SegEnds_Xtal_BW#'!$A:$Z,24,FALSE)</f>
        <v>53</v>
      </c>
      <c r="Y271" s="1">
        <f>VLOOKUP($B271&amp;"__wt",'SegEnds_Xtal_BW#'!$A:$Z,25,FALSE)</f>
        <v>44</v>
      </c>
      <c r="Z271" s="1">
        <f>VLOOKUP($B271&amp;"__wt",'SegEnds_Xtal_BW#'!$A:$Z,26,FALSE)</f>
        <v>66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33</v>
      </c>
      <c r="AC271" s="1" t="e">
        <f>VLOOKUP(A271,'SegEnds_NonXtal_Prot#'!A:AL,10,FALSE)-VLOOKUP(A271,'SegEnds_NonXtal_Prot#'!A:AL,7,FALSE)</f>
        <v>#VALUE!</v>
      </c>
      <c r="AD271" s="1">
        <f>VLOOKUP(A271,'SegEnds_NonXtal_Prot#'!A:AL,13,FALSE)-VLOOKUP(A271,'SegEnds_NonXtal_Prot#'!A:AL,10,FALSE)</f>
        <v>21</v>
      </c>
      <c r="AE271" s="1">
        <f>VLOOKUP(A271,'SegEnds_NonXtal_Prot#'!A:AL,16,FALSE)-VLOOKUP(A271,'SegEnds_NonXtal_Prot#'!A:AL,10,FALSE)</f>
        <v>56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33</v>
      </c>
      <c r="AH271" s="1">
        <f>VLOOKUP(A271,'SegEnds_NonXtal_Prot#'!A:AL,28,FALSE)-VLOOKUP(A271,'SegEnds_NonXtal_Prot#'!A:AL,22,FALSE)</f>
        <v>59</v>
      </c>
      <c r="AI271" s="1">
        <f>VLOOKUP(A271,'SegEnds_NonXtal_Prot#'!A:AL,31,FALSE)-VLOOKUP(A271,'SegEnds_NonXtal_Prot#'!A:AL,28,FALSE)</f>
        <v>56</v>
      </c>
      <c r="AJ271" s="1">
        <f>VLOOKUP(A271,'SegEnds_NonXtal_Prot#'!A:AL,34,FALSE)-VLOOKUP(A271,'SegEnds_NonXtal_Prot#'!A:AL,31,FALSE)</f>
        <v>46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Xtal</v>
      </c>
    </row>
    <row r="272" spans="1:38" x14ac:dyDescent="0.2">
      <c r="A272" s="1" t="s">
        <v>138</v>
      </c>
      <c r="B272" s="1" t="str">
        <f>VLOOKUP(A272,Xtal_Templ!A:B,2,FALSE)</f>
        <v>aa1r_human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50</v>
      </c>
      <c r="J272" s="1">
        <f>VLOOKUP($B272&amp;"__wt",'SegEnds_Xtal_BW#'!$A:$Z,10,FALSE)</f>
        <v>52</v>
      </c>
      <c r="K272" s="12">
        <v>24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v>38</v>
      </c>
      <c r="P272" s="1">
        <f>VLOOKUP($B272&amp;"__wt",'SegEnds_Xtal_BW#'!$A:$Z,16,FALSE)</f>
        <v>63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34</v>
      </c>
      <c r="T272" s="1">
        <f t="array" ref="T272">INDEX(ICL3_classA!$G$2:$G$39,MATCH(MIN(ABS(AI272-ICL3_classA!$F$2:$F$39)),ABS(AI272-ICL3_classA!$F$2:$F$39),0))</f>
        <v>73</v>
      </c>
      <c r="U272" s="1">
        <f t="array" ref="U272">INDEX(ICL3_classA!$H$2:$H$39,MATCH(MIN(ABS(AI272-ICL3_classA!$F$2:$F$39)),ABS(AI272-ICL3_classA!$F$2:$F$39),0))</f>
        <v>22</v>
      </c>
      <c r="V272" s="1">
        <v>61</v>
      </c>
      <c r="W272" s="1">
        <v>31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18</v>
      </c>
      <c r="AE272" s="1">
        <f>VLOOKUP(A272,'SegEnds_NonXtal_Prot#'!A:AL,16,FALSE)-VLOOKUP(A272,'SegEnds_NonXtal_Prot#'!A:AL,10,FALSE)</f>
        <v>50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23</v>
      </c>
      <c r="AH272" s="1">
        <f>VLOOKUP(A272,'SegEnds_NonXtal_Prot#'!A:AL,28,FALSE)-VLOOKUP(A272,'SegEnds_NonXtal_Prot#'!A:AL,22,FALSE)</f>
        <v>60</v>
      </c>
      <c r="AI272" s="1">
        <f>VLOOKUP(A272,'SegEnds_NonXtal_Prot#'!A:AL,31,FALSE)-VLOOKUP(A272,'SegEnds_NonXtal_Prot#'!A:AL,28,FALSE)</f>
        <v>57</v>
      </c>
      <c r="AJ272" s="1">
        <f>VLOOKUP(A272,'SegEnds_NonXtal_Prot#'!A:AL,34,FALSE)-VLOOKUP(A272,'SegEnds_NonXtal_Prot#'!A:AL,31,FALSE)</f>
        <v>36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Xtal</v>
      </c>
    </row>
    <row r="273" spans="1:38" x14ac:dyDescent="0.2">
      <c r="A273" s="1" t="s">
        <v>139</v>
      </c>
      <c r="B273" s="1" t="str">
        <f>VLOOKUP(A273,Xtal_Templ!A:B,2,FALSE)</f>
        <v>aa2ar_human</v>
      </c>
      <c r="C273" s="5">
        <f>VLOOKUP($B273&amp;"__wt",'SegEnds_Xtal_BW#'!$A:$Z,3,FALSE)</f>
        <v>27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50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f>VLOOKUP($B273&amp;"__wt",'SegEnds_Xtal_BW#'!$A:$Z,15,FALSE)</f>
        <v>38</v>
      </c>
      <c r="P273" s="1">
        <f>VLOOKUP($B273&amp;"__wt",'SegEnds_Xtal_BW#'!$A:$Z,16,FALSE)</f>
        <v>63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34</v>
      </c>
      <c r="T273" s="1">
        <f t="array" ref="T273">INDEX(ICL3_classA!$G$2:$G$39,MATCH(MIN(ABS(AI273-ICL3_classA!$F$2:$F$39)),ABS(AI273-ICL3_classA!$F$2:$F$39),0))</f>
        <v>74</v>
      </c>
      <c r="U273" s="1">
        <f t="array" ref="U273">INDEX(ICL3_classA!$H$2:$H$39,MATCH(MIN(ABS(AI273-ICL3_classA!$F$2:$F$39)),ABS(AI273-ICL3_classA!$F$2:$F$39),0))</f>
        <v>21</v>
      </c>
      <c r="V273" s="1">
        <v>61</v>
      </c>
      <c r="W273" s="1">
        <v>31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69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18</v>
      </c>
      <c r="AE273" s="1">
        <f>VLOOKUP(A273,'SegEnds_NonXtal_Prot#'!A:AL,16,FALSE)-VLOOKUP(A273,'SegEnds_NonXtal_Prot#'!A:AL,10,FALSE)</f>
        <v>50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23</v>
      </c>
      <c r="AH273" s="1">
        <f>VLOOKUP(A273,'SegEnds_NonXtal_Prot#'!A:AL,28,FALSE)-VLOOKUP(A273,'SegEnds_NonXtal_Prot#'!A:AL,22,FALSE)</f>
        <v>60</v>
      </c>
      <c r="AI273" s="1">
        <f>VLOOKUP(A273,'SegEnds_NonXtal_Prot#'!A:AL,31,FALSE)-VLOOKUP(A273,'SegEnds_NonXtal_Prot#'!A:AL,28,FALSE)</f>
        <v>59</v>
      </c>
      <c r="AJ273" s="1">
        <f>VLOOKUP(A273,'SegEnds_NonXtal_Prot#'!A:AL,34,FALSE)-VLOOKUP(A273,'SegEnds_NonXtal_Prot#'!A:AL,31,FALSE)</f>
        <v>37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Xtal</v>
      </c>
    </row>
    <row r="274" spans="1:38" x14ac:dyDescent="0.2">
      <c r="A274" s="1" t="s">
        <v>325</v>
      </c>
      <c r="B274" s="1" t="str">
        <f>VLOOKUP(A274,Xtal_Templ!A:B,2,FALSE)</f>
        <v>npy1r_human</v>
      </c>
      <c r="C274" s="5">
        <f>VLOOKUP($B274&amp;"__wt",'SegEnds_Xtal_BW#'!$A:$Z,3,FALSE)</f>
        <v>28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 t="str">
        <f>VLOOKUP($B274&amp;"__wt",'SegEnds_Xtal_BW#'!$A:$Z,13,FALSE)</f>
        <v>-</v>
      </c>
      <c r="N274" s="108" t="s">
        <v>23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31</v>
      </c>
      <c r="T274" s="1">
        <f t="array" ref="T274">INDEX(ICL3_classA!$G$2:$G$39,MATCH(MIN(ABS(AI274-ICL3_classA!$F$2:$F$39)),ABS(AI274-ICL3_classA!$F$2:$F$39),0))</f>
        <v>73</v>
      </c>
      <c r="U274" s="1">
        <f t="array" ref="U274">INDEX(ICL3_classA!$H$2:$H$39,MATCH(MIN(ABS(AI274-ICL3_classA!$F$2:$F$39)),ABS(AI274-ICL3_classA!$F$2:$F$39),0))</f>
        <v>22</v>
      </c>
      <c r="V274" s="1">
        <v>61</v>
      </c>
      <c r="W274" s="131">
        <f>VLOOKUP($B274&amp;"__wt",'SegEnds_Xtal_BW#'!$A:$Z,23,FALSE)</f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58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20</v>
      </c>
      <c r="AE274" s="1">
        <f>VLOOKUP(A274,'SegEnds_NonXtal_Prot#'!A:AL,16,FALSE)-VLOOKUP(A274,'SegEnds_NonXtal_Prot#'!A:AL,10,FALSE)</f>
        <v>52</v>
      </c>
      <c r="AF274" s="1" t="e">
        <f>VLOOKUP(A274,'SegEnds_NonXtal_Prot#'!A:AL,22,FALSE)-VLOOKUP(A274,'SegEnds_NonXtal_Prot#'!A:AL,19,FALSE)</f>
        <v>#VALUE!</v>
      </c>
      <c r="AG274" s="1">
        <f>VLOOKUP(A274,'SegEnds_NonXtal_Prot#'!A:AL,28,FALSE)-VLOOKUP(A274,'SegEnds_NonXtal_Prot#'!A:AL,25,FALSE)</f>
        <v>25</v>
      </c>
      <c r="AH274" s="1">
        <f>VLOOKUP(A274,'SegEnds_NonXtal_Prot#'!A:AL,28,FALSE)-VLOOKUP(A274,'SegEnds_NonXtal_Prot#'!A:AL,22,FALSE)</f>
        <v>60</v>
      </c>
      <c r="AI274" s="1">
        <f>VLOOKUP(A274,'SegEnds_NonXtal_Prot#'!A:AL,31,FALSE)-VLOOKUP(A274,'SegEnds_NonXtal_Prot#'!A:AL,28,FALSE)</f>
        <v>55</v>
      </c>
      <c r="AJ274" s="1">
        <f>VLOOKUP(A274,'SegEnds_NonXtal_Prot#'!A:AL,34,FALSE)-VLOOKUP(A274,'SegEnds_NonXtal_Prot#'!A:AL,31,FALSE)</f>
        <v>39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Xtal</v>
      </c>
    </row>
    <row r="275" spans="1:38" x14ac:dyDescent="0.2">
      <c r="A275" s="1" t="s">
        <v>1637</v>
      </c>
      <c r="B275" s="1" t="str">
        <f>VLOOKUP(A275,Xtal_Templ!A:B,2,FALSE)</f>
        <v>aa2ar_human</v>
      </c>
      <c r="C275" s="5">
        <f>VLOOKUP($B275&amp;"__wt",'SegEnds_Xtal_BW#'!$A:$Z,3,FALSE)</f>
        <v>27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08">
        <v>66</v>
      </c>
      <c r="I275" s="1">
        <f>VLOOKUP($B275&amp;"__wt",'SegEnds_Xtal_BW#'!$A:$Z,9,FALSE)</f>
        <v>50</v>
      </c>
      <c r="J275" s="1">
        <f>VLOOKUP($B275&amp;"__wt",'SegEnds_Xtal_BW#'!$A:$Z,10,FALSE)</f>
        <v>52</v>
      </c>
      <c r="K275" s="12">
        <f>VLOOKUP($B275&amp;"__wt",'SegEnds_Xtal_BW#'!$A:$Z,11,FALSE)</f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57</v>
      </c>
      <c r="O275" s="87">
        <f>VLOOKUP($B275&amp;"__wt",'SegEnds_Xtal_BW#'!$A:$Z,15,FALSE)</f>
        <v>38</v>
      </c>
      <c r="P275" s="108"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08">
        <v>35</v>
      </c>
      <c r="T275" s="1">
        <f t="array" ref="T275">INDEX(ICL3_classA!$G$2:$G$39,MATCH(MIN(ABS(AI275-ICL3_classA!$F$2:$F$39)),ABS(AI275-ICL3_classA!$F$2:$F$39),0))</f>
        <v>72</v>
      </c>
      <c r="U275" s="1">
        <f t="array" ref="U275">INDEX(ICL3_classA!$H$2:$H$39,MATCH(MIN(ABS(AI275-ICL3_classA!$F$2:$F$39)),ABS(AI275-ICL3_classA!$F$2:$F$39),0))</f>
        <v>23</v>
      </c>
      <c r="V275" s="108">
        <v>54</v>
      </c>
      <c r="W275" s="108">
        <v>32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69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 t="e">
        <f>VLOOKUP(A275,'SegEnds_NonXtal_Prot#'!A:AL,13,FALSE)-VLOOKUP(A275,'SegEnds_NonXtal_Prot#'!A:AL,10,FALSE)</f>
        <v>#VALUE!</v>
      </c>
      <c r="AE275" s="1">
        <f>VLOOKUP(A275,'SegEnds_NonXtal_Prot#'!A:AL,16,FALSE)-VLOOKUP(A275,'SegEnds_NonXtal_Prot#'!A:AL,10,FALSE)</f>
        <v>52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20</v>
      </c>
      <c r="AH275" s="1">
        <f>VLOOKUP(A275,'SegEnds_NonXtal_Prot#'!A:AL,28,FALSE)-VLOOKUP(A275,'SegEnds_NonXtal_Prot#'!A:AL,22,FALSE)</f>
        <v>60</v>
      </c>
      <c r="AI275" s="1">
        <f>VLOOKUP(A275,'SegEnds_NonXtal_Prot#'!A:AL,31,FALSE)-VLOOKUP(A275,'SegEnds_NonXtal_Prot#'!A:AL,28,FALSE)</f>
        <v>52</v>
      </c>
      <c r="AJ275" s="1">
        <f>VLOOKUP(A275,'SegEnds_NonXtal_Prot#'!A:AL,34,FALSE)-VLOOKUP(A275,'SegEnds_NonXtal_Prot#'!A:AL,31,FALSE)</f>
        <v>24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x14ac:dyDescent="0.2">
      <c r="A276" s="1" t="s">
        <v>1642</v>
      </c>
      <c r="B276" s="1" t="str">
        <f>VLOOKUP(A276,Xtal_Templ!A:B,2,FALSE)</f>
        <v>c5ar1_human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 t="str">
        <f>VLOOKUP($B276&amp;"__wt",'SegEnds_Xtal_BW#'!$A:$Z,5,FALSE)</f>
        <v>-</v>
      </c>
      <c r="F276" s="1" t="str">
        <f>VLOOKUP($B276&amp;"__wt",'SegEnds_Xtal_BW#'!$A:$Z,6,FALSE)</f>
        <v>-</v>
      </c>
      <c r="G276" s="1">
        <v>37</v>
      </c>
      <c r="H276" s="108"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f>VLOOKUP($B276&amp;"__wt",'SegEnds_Xtal_BW#'!$A:$Z,11,FALSE)</f>
        <v>21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57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15">
        <v>35</v>
      </c>
      <c r="T276" s="1">
        <f t="array" ref="T276">INDEX(ICL3_classA!$G$2:$G$39,MATCH(MIN(ABS(AI276-ICL3_classA!$F$2:$F$39)),ABS(AI276-ICL3_classA!$F$2:$F$39),0))</f>
        <v>72</v>
      </c>
      <c r="U276" s="1">
        <f t="array" ref="U276">INDEX(ICL3_classA!$H$2:$H$39,MATCH(MIN(ABS(AI276-ICL3_classA!$F$2:$F$39)),ABS(AI276-ICL3_classA!$F$2:$F$39),0))</f>
        <v>23</v>
      </c>
      <c r="V276" s="108">
        <v>54</v>
      </c>
      <c r="W276" s="108">
        <v>32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56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 t="e">
        <f>VLOOKUP(A276,'SegEnds_NonXtal_Prot#'!A:AL,13,FALSE)-VLOOKUP(A276,'SegEnds_NonXtal_Prot#'!A:AL,10,FALSE)</f>
        <v>#VALUE!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21</v>
      </c>
      <c r="AH276" s="1">
        <f>VLOOKUP(A276,'SegEnds_NonXtal_Prot#'!A:AL,28,FALSE)-VLOOKUP(A276,'SegEnds_NonXtal_Prot#'!A:AL,22,FALSE)</f>
        <v>61</v>
      </c>
      <c r="AI276" s="1">
        <f>VLOOKUP(A276,'SegEnds_NonXtal_Prot#'!A:AL,31,FALSE)-VLOOKUP(A276,'SegEnds_NonXtal_Prot#'!A:AL,28,FALSE)</f>
        <v>52</v>
      </c>
      <c r="AJ276" s="1">
        <f>VLOOKUP(A276,'SegEnds_NonXtal_Prot#'!A:AL,34,FALSE)-VLOOKUP(A276,'SegEnds_NonXtal_Prot#'!A:AL,31,FALSE)</f>
        <v>25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1640</v>
      </c>
      <c r="B277" s="1" t="str">
        <f>VLOOKUP(A277,Xtal_Templ!A:B,2,FALSE)</f>
        <v>ccr2_human</v>
      </c>
      <c r="C277" s="5">
        <f>VLOOKUP($B277&amp;"__wt",'SegEnds_Xtal_BW#'!$A:$Z,3,FALSE)</f>
        <v>27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08"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f>VLOOKUP($B277&amp;"__wt",'SegEnds_Xtal_BW#'!$A:$Z,11,FALSE)</f>
        <v>21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f>VLOOKUP($B277&amp;"__wt",'SegEnds_Xtal_BW#'!$A:$Z,14,FALSE)</f>
        <v>57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08">
        <v>35</v>
      </c>
      <c r="T277" s="1">
        <f t="array" ref="T277">INDEX(ICL3_classA!$G$2:$G$39,MATCH(MIN(ABS(AI277-ICL3_classA!$F$2:$F$39)),ABS(AI277-ICL3_classA!$F$2:$F$39),0))</f>
        <v>72</v>
      </c>
      <c r="U277" s="1">
        <f t="array" ref="U277">INDEX(ICL3_classA!$H$2:$H$39,MATCH(MIN(ABS(AI277-ICL3_classA!$F$2:$F$39)),ABS(AI277-ICL3_classA!$F$2:$F$39),0))</f>
        <v>24</v>
      </c>
      <c r="V277" s="108">
        <v>54</v>
      </c>
      <c r="W277" s="108">
        <v>32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58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 t="e">
        <f>VLOOKUP(A277,'SegEnds_NonXtal_Prot#'!A:AL,13,FALSE)-VLOOKUP(A277,'SegEnds_NonXtal_Prot#'!A:AL,10,FALSE)</f>
        <v>#VALUE!</v>
      </c>
      <c r="AE277" s="1">
        <f>VLOOKUP(A277,'SegEnds_NonXtal_Prot#'!A:AL,16,FALSE)-VLOOKUP(A277,'SegEnds_NonXtal_Prot#'!A:AL,10,FALSE)</f>
        <v>52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21</v>
      </c>
      <c r="AH277" s="1">
        <f>VLOOKUP(A277,'SegEnds_NonXtal_Prot#'!A:AL,28,FALSE)-VLOOKUP(A277,'SegEnds_NonXtal_Prot#'!A:AL,22,FALSE)</f>
        <v>61</v>
      </c>
      <c r="AI277" s="1">
        <f>VLOOKUP(A277,'SegEnds_NonXtal_Prot#'!A:AL,31,FALSE)-VLOOKUP(A277,'SegEnds_NonXtal_Prot#'!A:AL,28,FALSE)</f>
        <v>53</v>
      </c>
      <c r="AJ277" s="1">
        <f>VLOOKUP(A277,'SegEnds_NonXtal_Prot#'!A:AL,34,FALSE)-VLOOKUP(A277,'SegEnds_NonXtal_Prot#'!A:AL,31,FALSE)</f>
        <v>24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251</v>
      </c>
      <c r="B278" s="1" t="str">
        <f>VLOOKUP(A278,Xtal_Templ!A:B,2,FALSE)</f>
        <v>fpr2_human</v>
      </c>
      <c r="C278" s="5">
        <f>VLOOKUP($B278&amp;"__wt",'SegEnds_Xtal_BW#'!$A:$Z,3,FALSE)</f>
        <v>25</v>
      </c>
      <c r="D278" s="1">
        <f>VLOOKUP($B278&amp;"__wt",'SegEnds_Xtal_BW#'!$A:$Z,4,FALSE)</f>
        <v>61</v>
      </c>
      <c r="E278" s="1" t="str">
        <f>VLOOKUP($B278&amp;"__wt",'SegEnds_Xtal_BW#'!$A:$Z,5,FALSE)</f>
        <v>-</v>
      </c>
      <c r="F278" s="1" t="str">
        <f>VLOOKUP($B278&amp;"__wt",'SegEnds_Xtal_BW#'!$A:$Z,6,FALSE)</f>
        <v>-</v>
      </c>
      <c r="G278" s="1">
        <v>37</v>
      </c>
      <c r="H278" s="12"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21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23</v>
      </c>
      <c r="T278" s="1">
        <f t="array" ref="T278">INDEX(ICL3_classA!$G$2:$G$39,MATCH(MIN(ABS(AI278-ICL3_classA!$F$2:$F$39)),ABS(AI278-ICL3_classA!$F$2:$F$39),0))</f>
        <v>68</v>
      </c>
      <c r="U278" s="1">
        <f t="array" ref="U278">INDEX(ICL3_classA!$H$2:$H$39,MATCH(MIN(ABS(AI278-ICL3_classA!$F$2:$F$39)),ABS(AI278-ICL3_classA!$F$2:$F$39),0))</f>
        <v>30</v>
      </c>
      <c r="V278" s="1">
        <v>61</v>
      </c>
      <c r="W278" s="1">
        <v>28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27</v>
      </c>
      <c r="AC278" s="1" t="e">
        <f>VLOOKUP(A278,'SegEnds_NonXtal_Prot#'!A:AL,10,FALSE)-VLOOKUP(A278,'SegEnds_NonXtal_Prot#'!A:AL,7,FALSE)</f>
        <v>#VALUE!</v>
      </c>
      <c r="AD278" s="1">
        <f>VLOOKUP(A278,'SegEnds_NonXtal_Prot#'!A:AL,13,FALSE)-VLOOKUP(A278,'SegEnds_NonXtal_Prot#'!A:AL,10,FALSE)</f>
        <v>19</v>
      </c>
      <c r="AE278" s="1">
        <f>VLOOKUP(A278,'SegEnds_NonXtal_Prot#'!A:AL,16,FALSE)-VLOOKUP(A278,'SegEnds_NonXtal_Prot#'!A:AL,10,FALSE)</f>
        <v>51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37</v>
      </c>
      <c r="AH278" s="1">
        <f>VLOOKUP(A278,'SegEnds_NonXtal_Prot#'!A:AL,28,FALSE)-VLOOKUP(A278,'SegEnds_NonXtal_Prot#'!A:AL,22,FALSE)</f>
        <v>62</v>
      </c>
      <c r="AI278" s="1">
        <f>VLOOKUP(A278,'SegEnds_NonXtal_Prot#'!A:AL,31,FALSE)-VLOOKUP(A278,'SegEnds_NonXtal_Prot#'!A:AL,28,FALSE)</f>
        <v>43</v>
      </c>
      <c r="AJ278" s="1">
        <f>VLOOKUP(A278,'SegEnds_NonXtal_Prot#'!A:AL,34,FALSE)-VLOOKUP(A278,'SegEnds_NonXtal_Prot#'!A:AL,31,FALSE)</f>
        <v>42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s="12" customFormat="1" x14ac:dyDescent="0.2">
      <c r="A279" s="1" t="s">
        <v>322</v>
      </c>
      <c r="B279" s="1" t="str">
        <f>VLOOKUP(A279,Xtal_Templ!A:B,2,FALSE)</f>
        <v>ox1r_human</v>
      </c>
      <c r="C279" s="5">
        <f>VLOOKUP($B279&amp;"__wt",'SegEnds_Xtal_BW#'!$A:$Z,3,FALSE)</f>
        <v>32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68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56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33</v>
      </c>
      <c r="T279" s="1">
        <f t="array" ref="T279">INDEX(ICL3_classA!$G$2:$G$39,MATCH(MIN(ABS(AI279-ICL3_classA!$F$2:$F$39)),ABS(AI279-ICL3_classA!$F$2:$F$39),0))</f>
        <v>73</v>
      </c>
      <c r="U279" s="1">
        <f t="array" ref="U279">INDEX(ICL3_classA!$H$2:$H$39,MATCH(MIN(ABS(AI279-ICL3_classA!$F$2:$F$39)),ABS(AI279-ICL3_classA!$F$2:$F$39),0))</f>
        <v>22</v>
      </c>
      <c r="V279" s="1">
        <v>61</v>
      </c>
      <c r="W279" s="1"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63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 t="e">
        <f>VLOOKUP(A279,'SegEnds_NonXtal_Prot#'!A:AL,22,FALSE)-VLOOKUP(A279,'SegEnds_NonXtal_Prot#'!A:AL,19,FALSE)</f>
        <v>#VALUE!</v>
      </c>
      <c r="AG279" s="1">
        <f>VLOOKUP(A279,'SegEnds_NonXtal_Prot#'!A:AL,28,FALSE)-VLOOKUP(A279,'SegEnds_NonXtal_Prot#'!A:AL,25,FALSE)</f>
        <v>25</v>
      </c>
      <c r="AH279" s="1">
        <f>VLOOKUP(A279,'SegEnds_NonXtal_Prot#'!A:AL,28,FALSE)-VLOOKUP(A279,'SegEnds_NonXtal_Prot#'!A:AL,22,FALSE)</f>
        <v>62</v>
      </c>
      <c r="AI279" s="1">
        <f>VLOOKUP(A279,'SegEnds_NonXtal_Prot#'!A:AL,31,FALSE)-VLOOKUP(A279,'SegEnds_NonXtal_Prot#'!A:AL,28,FALSE)</f>
        <v>57</v>
      </c>
      <c r="AJ279" s="1">
        <f>VLOOKUP(A279,'SegEnds_NonXtal_Prot#'!A:AL,34,FALSE)-VLOOKUP(A279,'SegEnds_NonXtal_Prot#'!A:AL,31,FALSE)</f>
        <v>41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s="12" customFormat="1" x14ac:dyDescent="0.2">
      <c r="A280" s="1" t="s">
        <v>327</v>
      </c>
      <c r="B280" s="1" t="str">
        <f>VLOOKUP(A280,Xtal_Templ!A:B,2,FALSE)</f>
        <v>npy1r_human</v>
      </c>
      <c r="C280" s="5">
        <f>VLOOKUP($B280&amp;"__wt",'SegEnds_Xtal_BW#'!$A:$Z,3,FALSE)</f>
        <v>28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68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 t="str">
        <f>VLOOKUP($B280&amp;"__wt",'SegEnds_Xtal_BW#'!$A:$Z,13,FALSE)</f>
        <v>-</v>
      </c>
      <c r="N280" s="108" t="s">
        <v>23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31</v>
      </c>
      <c r="T280" s="1">
        <f t="array" ref="T280">INDEX(ICL3_classA!$G$2:$G$39,MATCH(MIN(ABS(AI280-ICL3_classA!$F$2:$F$39)),ABS(AI280-ICL3_classA!$F$2:$F$39),0))</f>
        <v>72</v>
      </c>
      <c r="U280" s="1">
        <f t="array" ref="U280">INDEX(ICL3_classA!$H$2:$H$39,MATCH(MIN(ABS(AI280-ICL3_classA!$F$2:$F$39)),ABS(AI280-ICL3_classA!$F$2:$F$39),0))</f>
        <v>24</v>
      </c>
      <c r="V280" s="1">
        <v>61</v>
      </c>
      <c r="W280" s="131">
        <f>VLOOKUP($B280&amp;"__wt",'SegEnds_Xtal_BW#'!$A:$Z,23,FALSE)</f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>
        <f>VLOOKUP(A280,'SegEnds_NonXtal_Prot#'!A:AL,10,FALSE)-VLOOKUP(A280,'SegEnds_NonXtal_Prot#'!A:AL,7,FALSE)</f>
        <v>15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 t="e">
        <f>VLOOKUP(A280,'SegEnds_NonXtal_Prot#'!A:AL,22,FALSE)-VLOOKUP(A280,'SegEnds_NonXtal_Prot#'!A:AL,19,FALSE)</f>
        <v>#VALUE!</v>
      </c>
      <c r="AG280" s="1">
        <f>VLOOKUP(A280,'SegEnds_NonXtal_Prot#'!A:AL,28,FALSE)-VLOOKUP(A280,'SegEnds_NonXtal_Prot#'!A:AL,25,FALSE)</f>
        <v>25</v>
      </c>
      <c r="AH280" s="1">
        <f>VLOOKUP(A280,'SegEnds_NonXtal_Prot#'!A:AL,28,FALSE)-VLOOKUP(A280,'SegEnds_NonXtal_Prot#'!A:AL,22,FALSE)</f>
        <v>62</v>
      </c>
      <c r="AI280" s="1">
        <f>VLOOKUP(A280,'SegEnds_NonXtal_Prot#'!A:AL,31,FALSE)-VLOOKUP(A280,'SegEnds_NonXtal_Prot#'!A:AL,28,FALSE)</f>
        <v>54</v>
      </c>
      <c r="AJ280" s="1">
        <f>VLOOKUP(A280,'SegEnds_NonXtal_Prot#'!A:AL,34,FALSE)-VLOOKUP(A280,'SegEnds_NonXtal_Prot#'!A:AL,31,FALSE)</f>
        <v>39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329</v>
      </c>
      <c r="B281" s="1" t="str">
        <f>VLOOKUP(A281,Xtal_Templ!A:B,2,FALSE)</f>
        <v>npy1r_human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68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 t="str">
        <f>VLOOKUP($B281&amp;"__wt",'SegEnds_Xtal_BW#'!$A:$Z,13,FALSE)</f>
        <v>-</v>
      </c>
      <c r="N281" s="12" t="str">
        <f>VLOOKUP($B281&amp;"__wt",'SegEnds_Xtal_BW#'!$A:$Z,14,FALSE)</f>
        <v>-</v>
      </c>
      <c r="O281" s="87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31</v>
      </c>
      <c r="T281" s="1">
        <f t="array" ref="T281">INDEX(ICL3_classA!$G$2:$G$39,MATCH(MIN(ABS(AI281-ICL3_classA!$F$2:$F$39)),ABS(AI281-ICL3_classA!$F$2:$F$39),0))</f>
        <v>73</v>
      </c>
      <c r="U281" s="1">
        <f t="array" ref="U281">INDEX(ICL3_classA!$H$2:$H$39,MATCH(MIN(ABS(AI281-ICL3_classA!$F$2:$F$39)),ABS(AI281-ICL3_classA!$F$2:$F$39),0))</f>
        <v>22</v>
      </c>
      <c r="V281" s="1">
        <v>61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58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29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 t="e">
        <f>VLOOKUP(A281,'SegEnds_NonXtal_Prot#'!A:AL,22,FALSE)-VLOOKUP(A281,'SegEnds_NonXtal_Prot#'!A:AL,19,FALSE)</f>
        <v>#VALUE!</v>
      </c>
      <c r="AG281" s="1" t="e">
        <f>VLOOKUP(A281,'SegEnds_NonXtal_Prot#'!A:AL,28,FALSE)-VLOOKUP(A281,'SegEnds_NonXtal_Prot#'!A:AL,25,FALSE)</f>
        <v>#VALUE!</v>
      </c>
      <c r="AH281" s="1">
        <f>VLOOKUP(A281,'SegEnds_NonXtal_Prot#'!A:AL,28,FALSE)-VLOOKUP(A281,'SegEnds_NonXtal_Prot#'!A:AL,22,FALSE)</f>
        <v>62</v>
      </c>
      <c r="AI281" s="1">
        <f>VLOOKUP(A281,'SegEnds_NonXtal_Prot#'!A:AL,31,FALSE)-VLOOKUP(A281,'SegEnds_NonXtal_Prot#'!A:AL,28,FALSE)</f>
        <v>55</v>
      </c>
      <c r="AJ281" s="1" t="e">
        <f>VLOOKUP(A281,'SegEnds_NonXtal_Prot#'!A:AL,34,FALSE)-VLOOKUP(A281,'SegEnds_NonXtal_Prot#'!A:AL,31,FALSE)</f>
        <v>#VALUE!</v>
      </c>
      <c r="AK281" s="1" t="e">
        <f>VLOOKUP(A281,'SegEnds_NonXtal_Prot#'!A:AL,37,FALSE)-VLOOKUP(A281,'SegEnds_NonXtal_Prot#'!A:AL,34,FALSE)</f>
        <v>#VALUE!</v>
      </c>
      <c r="AL281" s="1" t="str">
        <f>IF(ISERROR(MATCH(A281,'SegEnds_Xtal_Prot#'!B:B, 0)), "NoXtal", "Xtal")</f>
        <v>NoXtal</v>
      </c>
    </row>
    <row r="282" spans="1:38" x14ac:dyDescent="0.2">
      <c r="A282" s="1" t="s">
        <v>360</v>
      </c>
      <c r="B282" s="1" t="str">
        <f>VLOOKUP(A282,Xtal_Templ!A:B,2,FALSE)</f>
        <v>pd2r2_human</v>
      </c>
      <c r="C282" s="5">
        <f>VLOOKUP($B282&amp;"__wt",'SegEnds_Xtal_BW#'!$A:$Z,3,FALSE)</f>
        <v>32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26</v>
      </c>
      <c r="T282" s="1">
        <f t="array" ref="T282">INDEX(ICL3_classA!$G$2:$G$39,MATCH(MIN(ABS(AI282-ICL3_classA!$F$2:$F$39)),ABS(AI282-ICL3_classA!$F$2:$F$39),0))</f>
        <v>68</v>
      </c>
      <c r="U282" s="1">
        <f t="array" ref="U282">INDEX(ICL3_classA!$H$2:$H$39,MATCH(MIN(ABS(AI282-ICL3_classA!$F$2:$F$39)),ABS(AI282-ICL3_classA!$F$2:$F$39),0))</f>
        <v>30</v>
      </c>
      <c r="V282" s="1">
        <v>61</v>
      </c>
      <c r="W282" s="108">
        <v>27</v>
      </c>
      <c r="X282" s="124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64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27</v>
      </c>
      <c r="AC282" s="1" t="e">
        <f>VLOOKUP(A282,'SegEnds_NonXtal_Prot#'!A:AL,10,FALSE)-VLOOKUP(A282,'SegEnds_NonXtal_Prot#'!A:AL,7,FALSE)</f>
        <v>#VALUE!</v>
      </c>
      <c r="AD282" s="1">
        <f>VLOOKUP(A282,'SegEnds_NonXtal_Prot#'!A:AL,13,FALSE)-VLOOKUP(A282,'SegEnds_NonXtal_Prot#'!A:AL,10,FALSE)</f>
        <v>20</v>
      </c>
      <c r="AE282" s="1">
        <f>VLOOKUP(A282,'SegEnds_NonXtal_Prot#'!A:AL,16,FALSE)-VLOOKUP(A282,'SegEnds_NonXtal_Prot#'!A:AL,10,FALSE)</f>
        <v>52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36</v>
      </c>
      <c r="AH282" s="1">
        <f>VLOOKUP(A282,'SegEnds_NonXtal_Prot#'!A:AL,28,FALSE)-VLOOKUP(A282,'SegEnds_NonXtal_Prot#'!A:AL,22,FALSE)</f>
        <v>62</v>
      </c>
      <c r="AI282" s="1">
        <f>VLOOKUP(A282,'SegEnds_NonXtal_Prot#'!A:AL,31,FALSE)-VLOOKUP(A282,'SegEnds_NonXtal_Prot#'!A:AL,28,FALSE)</f>
        <v>43</v>
      </c>
      <c r="AJ282" s="1">
        <f>VLOOKUP(A282,'SegEnds_NonXtal_Prot#'!A:AL,34,FALSE)-VLOOKUP(A282,'SegEnds_NonXtal_Prot#'!A:AL,31,FALSE)</f>
        <v>40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Xtal</v>
      </c>
    </row>
    <row r="283" spans="1:38" x14ac:dyDescent="0.2">
      <c r="A283" s="1" t="s">
        <v>1172</v>
      </c>
      <c r="B283" s="1" t="str">
        <f>VLOOKUP(A283,Xtal_Templ!A:B,2,FALSE)</f>
        <v>ffar1_human</v>
      </c>
      <c r="C283" s="5">
        <f>VLOOKUP($B283&amp;"__wt",'SegEnds_Xtal_BW#'!$A:$Z,3,FALSE)</f>
        <v>31</v>
      </c>
      <c r="D283" s="1">
        <f>VLOOKUP($B283&amp;"__wt",'SegEnds_Xtal_BW#'!$A:$Z,4,FALSE)</f>
        <v>64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f>VLOOKUP($B283&amp;"__wt",'SegEnds_Xtal_BW#'!$A:$Z,8,FALSE)</f>
        <v>67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f>VLOOKUP($B283&amp;"__wt",'SegEnds_Xtal_BW#'!$A:$Z,14,FALSE)</f>
        <v>57</v>
      </c>
      <c r="O283" s="87">
        <f>VLOOKUP($B283&amp;"__wt",'SegEnds_Xtal_BW#'!$A:$Z,15,FALSE)</f>
        <v>38</v>
      </c>
      <c r="P283" s="1">
        <f>VLOOKUP($B283&amp;"__wt",'SegEnds_Xtal_BW#'!$A:$Z,16,FALSE)</f>
        <v>65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31</v>
      </c>
      <c r="T283" s="1">
        <f t="array" ref="T283">INDEX(ICL3_classA!$G$2:$G$39,MATCH(MIN(ABS(AI283-ICL3_classA!$F$2:$F$39)),ABS(AI283-ICL3_classA!$F$2:$F$39),0))</f>
        <v>67</v>
      </c>
      <c r="U283" s="1">
        <f t="array" ref="U283">INDEX(ICL3_classA!$H$2:$H$39,MATCH(MIN(ABS(AI283-ICL3_classA!$F$2:$F$39)),ABS(AI283-ICL3_classA!$F$2:$F$39),0))</f>
        <v>28</v>
      </c>
      <c r="V283" s="1">
        <v>61</v>
      </c>
      <c r="W283" s="1">
        <v>32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61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29</v>
      </c>
      <c r="AC283" s="1" t="e">
        <f>VLOOKUP(A283,'SegEnds_NonXtal_Prot#'!A:AL,10,FALSE)-VLOOKUP(A283,'SegEnds_NonXtal_Prot#'!A:AL,7,FALSE)</f>
        <v>#VALUE!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24</v>
      </c>
      <c r="AH283" s="1">
        <f>VLOOKUP(A283,'SegEnds_NonXtal_Prot#'!A:AL,28,FALSE)-VLOOKUP(A283,'SegEnds_NonXtal_Prot#'!A:AL,22,FALSE)</f>
        <v>63</v>
      </c>
      <c r="AI283" s="1">
        <f>VLOOKUP(A283,'SegEnds_NonXtal_Prot#'!A:AL,31,FALSE)-VLOOKUP(A283,'SegEnds_NonXtal_Prot#'!A:AL,28,FALSE)</f>
        <v>45</v>
      </c>
      <c r="AJ283" s="1">
        <f>VLOOKUP(A283,'SegEnds_NonXtal_Prot#'!A:AL,34,FALSE)-VLOOKUP(A283,'SegEnds_NonXtal_Prot#'!A:AL,31,FALSE)</f>
        <v>34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Xtal</v>
      </c>
    </row>
    <row r="284" spans="1:38" x14ac:dyDescent="0.2">
      <c r="A284" s="1" t="s">
        <v>201</v>
      </c>
      <c r="B284" s="1" t="str">
        <f>VLOOKUP(A284,Xtal_Templ!A:B,2,FALSE)</f>
        <v>fpr2_human</v>
      </c>
      <c r="C284" s="5">
        <f>VLOOKUP($B284&amp;"__wt",'SegEnds_Xtal_BW#'!$A:$Z,3,FALSE)</f>
        <v>25</v>
      </c>
      <c r="D284" s="1">
        <f>VLOOKUP($B284&amp;"__wt",'SegEnds_Xtal_BW#'!$A:$Z,4,FALSE)</f>
        <v>61</v>
      </c>
      <c r="E284" s="1" t="str">
        <f>VLOOKUP($B284&amp;"__wt",'SegEnds_Xtal_BW#'!$A:$Z,5,FALSE)</f>
        <v>-</v>
      </c>
      <c r="F284" s="1" t="str">
        <f>VLOOKUP($B284&amp;"__wt",'SegEnds_Xtal_BW#'!$A:$Z,6,FALSE)</f>
        <v>-</v>
      </c>
      <c r="G284" s="1">
        <v>37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23</v>
      </c>
      <c r="T284" s="1">
        <f t="array" ref="T284">INDEX(ICL3_classA!$G$2:$G$39,MATCH(MIN(ABS(AI284-ICL3_classA!$F$2:$F$39)),ABS(AI284-ICL3_classA!$F$2:$F$39),0))</f>
        <v>68</v>
      </c>
      <c r="U284" s="1">
        <f t="array" ref="U284">INDEX(ICL3_classA!$H$2:$H$39,MATCH(MIN(ABS(AI284-ICL3_classA!$F$2:$F$39)),ABS(AI284-ICL3_classA!$F$2:$F$39),0))</f>
        <v>30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27</v>
      </c>
      <c r="AC284" s="1" t="e">
        <f>VLOOKUP(A284,'SegEnds_NonXtal_Prot#'!A:AL,10,FALSE)-VLOOKUP(A284,'SegEnds_NonXtal_Prot#'!A:AL,7,FALSE)</f>
        <v>#VALUE!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37</v>
      </c>
      <c r="AH284" s="1">
        <f>VLOOKUP(A284,'SegEnds_NonXtal_Prot#'!A:AL,28,FALSE)-VLOOKUP(A284,'SegEnds_NonXtal_Prot#'!A:AL,22,FALSE)</f>
        <v>63</v>
      </c>
      <c r="AI284" s="1">
        <f>VLOOKUP(A284,'SegEnds_NonXtal_Prot#'!A:AL,31,FALSE)-VLOOKUP(A284,'SegEnds_NonXtal_Prot#'!A:AL,28,FALSE)</f>
        <v>43</v>
      </c>
      <c r="AJ284" s="1">
        <f>VLOOKUP(A284,'SegEnds_NonXtal_Prot#'!A:AL,34,FALSE)-VLOOKUP(A284,'SegEnds_NonXtal_Prot#'!A:AL,31,FALSE)</f>
        <v>42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202</v>
      </c>
      <c r="B285" s="1" t="str">
        <f>VLOOKUP(A285,Xtal_Templ!A:B,2,FALSE)</f>
        <v>fpr2_human</v>
      </c>
      <c r="C285" s="5">
        <f>VLOOKUP($B285&amp;"__wt",'SegEnds_Xtal_BW#'!$A:$Z,3,FALSE)</f>
        <v>25</v>
      </c>
      <c r="D285" s="1">
        <f>VLOOKUP($B285&amp;"__wt",'SegEnds_Xtal_BW#'!$A:$Z,4,FALSE)</f>
        <v>61</v>
      </c>
      <c r="E285" s="1" t="str">
        <f>VLOOKUP($B285&amp;"__wt",'SegEnds_Xtal_BW#'!$A:$Z,5,FALSE)</f>
        <v>-</v>
      </c>
      <c r="F285" s="1" t="str">
        <f>VLOOKUP($B285&amp;"__wt",'SegEnds_Xtal_BW#'!$A:$Z,6,FALSE)</f>
        <v>-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f>VLOOKUP($B285&amp;"__wt",'SegEnds_Xtal_BW#'!$A:$Z,14,FALSE)</f>
        <v>57</v>
      </c>
      <c r="O285" s="87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23</v>
      </c>
      <c r="T285" s="108">
        <v>69</v>
      </c>
      <c r="U285" s="108">
        <v>31</v>
      </c>
      <c r="V285" s="1">
        <v>61</v>
      </c>
      <c r="W285" s="108">
        <f>VLOOKUP($B285&amp;"__wt",'SegEnds_Xtal_BW#'!$A:$Z,23,FALSE)</f>
        <v>28</v>
      </c>
      <c r="X285" s="108">
        <v>56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27</v>
      </c>
      <c r="AC285" s="1" t="e">
        <f>VLOOKUP(A285,'SegEnds_NonXtal_Prot#'!A:AL,10,FALSE)-VLOOKUP(A285,'SegEnds_NonXtal_Prot#'!A:AL,7,FALSE)</f>
        <v>#VALUE!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37</v>
      </c>
      <c r="AH285" s="1">
        <f>VLOOKUP(A285,'SegEnds_NonXtal_Prot#'!A:AL,28,FALSE)-VLOOKUP(A285,'SegEnds_NonXtal_Prot#'!A:AL,22,FALSE)</f>
        <v>63</v>
      </c>
      <c r="AI285" s="1">
        <f>VLOOKUP(A285,'SegEnds_NonXtal_Prot#'!A:AL,31,FALSE)-VLOOKUP(A285,'SegEnds_NonXtal_Prot#'!A:AL,28,FALSE)</f>
        <v>43</v>
      </c>
      <c r="AJ285" s="1">
        <f>VLOOKUP(A285,'SegEnds_NonXtal_Prot#'!A:AL,34,FALSE)-VLOOKUP(A285,'SegEnds_NonXtal_Prot#'!A:AL,31,FALSE)</f>
        <v>43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Xtal</v>
      </c>
    </row>
    <row r="286" spans="1:38" x14ac:dyDescent="0.2">
      <c r="A286" s="1" t="s">
        <v>203</v>
      </c>
      <c r="B286" s="1" t="str">
        <f>VLOOKUP(A286,Xtal_Templ!A:B,2,FALSE)</f>
        <v>fpr2_human</v>
      </c>
      <c r="C286" s="5">
        <f>VLOOKUP($B286&amp;"__wt",'SegEnds_Xtal_BW#'!$A:$Z,3,FALSE)</f>
        <v>25</v>
      </c>
      <c r="D286" s="1">
        <f>VLOOKUP($B286&amp;"__wt",'SegEnds_Xtal_BW#'!$A:$Z,4,FALSE)</f>
        <v>61</v>
      </c>
      <c r="E286" s="1" t="str">
        <f>VLOOKUP($B286&amp;"__wt",'SegEnds_Xtal_BW#'!$A:$Z,5,FALSE)</f>
        <v>-</v>
      </c>
      <c r="F286" s="1" t="str">
        <f>VLOOKUP($B286&amp;"__wt",'SegEnds_Xtal_BW#'!$A:$Z,6,FALSE)</f>
        <v>-</v>
      </c>
      <c r="G286" s="1">
        <v>37</v>
      </c>
      <c r="H286" s="12">
        <f>VLOOKUP($B286&amp;"__wt",'SegEnds_Xtal_BW#'!$A:$Z,8,FALSE)</f>
        <v>67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f>VLOOKUP($B286&amp;"__wt",'SegEnds_Xtal_BW#'!$A:$Z,14,FALSE)</f>
        <v>57</v>
      </c>
      <c r="O286" s="87"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23</v>
      </c>
      <c r="T286" s="1">
        <f t="array" ref="T286">INDEX(ICL3_classA!$G$2:$G$39,MATCH(MIN(ABS(AI286-ICL3_classA!$F$2:$F$39)),ABS(AI286-ICL3_classA!$F$2:$F$39),0))</f>
        <v>68</v>
      </c>
      <c r="U286" s="1">
        <f t="array" ref="U286">INDEX(ICL3_classA!$H$2:$H$39,MATCH(MIN(ABS(AI286-ICL3_classA!$F$2:$F$39)),ABS(AI286-ICL3_classA!$F$2:$F$39),0))</f>
        <v>30</v>
      </c>
      <c r="V286" s="1">
        <v>61</v>
      </c>
      <c r="W286" s="1">
        <v>24</v>
      </c>
      <c r="X286" s="108"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27</v>
      </c>
      <c r="AC286" s="1" t="e">
        <f>VLOOKUP(A286,'SegEnds_NonXtal_Prot#'!A:AL,10,FALSE)-VLOOKUP(A286,'SegEnds_NonXtal_Prot#'!A:AL,7,FALSE)</f>
        <v>#VALUE!</v>
      </c>
      <c r="AD286" s="1">
        <f>VLOOKUP(A286,'SegEnds_NonXtal_Prot#'!A:AL,13,FALSE)-VLOOKUP(A286,'SegEnds_NonXtal_Prot#'!A:AL,10,FALSE)</f>
        <v>20</v>
      </c>
      <c r="AE286" s="1">
        <f>VLOOKUP(A286,'SegEnds_NonXtal_Prot#'!A:AL,16,FALSE)-VLOOKUP(A286,'SegEnds_NonXtal_Prot#'!A:AL,10,FALSE)</f>
        <v>52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37</v>
      </c>
      <c r="AH286" s="1">
        <f>VLOOKUP(A286,'SegEnds_NonXtal_Prot#'!A:AL,28,FALSE)-VLOOKUP(A286,'SegEnds_NonXtal_Prot#'!A:AL,22,FALSE)</f>
        <v>63</v>
      </c>
      <c r="AI286" s="1">
        <f>VLOOKUP(A286,'SegEnds_NonXtal_Prot#'!A:AL,31,FALSE)-VLOOKUP(A286,'SegEnds_NonXtal_Prot#'!A:AL,28,FALSE)</f>
        <v>43</v>
      </c>
      <c r="AJ286" s="1">
        <f>VLOOKUP(A286,'SegEnds_NonXtal_Prot#'!A:AL,34,FALSE)-VLOOKUP(A286,'SegEnds_NonXtal_Prot#'!A:AL,31,FALSE)</f>
        <v>43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323</v>
      </c>
      <c r="B287" s="1" t="str">
        <f>VLOOKUP(A287,Xtal_Templ!A:B,2,FALSE)</f>
        <v>ox1r_human</v>
      </c>
      <c r="C287" s="5">
        <f>VLOOKUP($B287&amp;"__wt",'SegEnds_Xtal_BW#'!$A:$Z,3,FALSE)</f>
        <v>32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56</v>
      </c>
      <c r="O287" s="87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INDEX(ICL3_classA!$G$2:$G$39,MATCH(MIN(ABS(AI287-ICL3_classA!$F$2:$F$39)),ABS(AI287-ICL3_classA!$F$2:$F$39),0))</f>
        <v>73</v>
      </c>
      <c r="U287" s="1">
        <f t="array" ref="U287">INDEX(ICL3_classA!$H$2:$H$39,MATCH(MIN(ABS(AI287-ICL3_classA!$F$2:$F$39)),ABS(AI287-ICL3_classA!$F$2:$F$39),0))</f>
        <v>24</v>
      </c>
      <c r="V287" s="1">
        <v>61</v>
      </c>
      <c r="W287" s="1">
        <v>28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63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>
        <f>VLOOKUP(A287,'SegEnds_NonXtal_Prot#'!A:AL,13,FALSE)-VLOOKUP(A287,'SegEnds_NonXtal_Prot#'!A:AL,10,FALSE)</f>
        <v>20</v>
      </c>
      <c r="AE287" s="1">
        <f>VLOOKUP(A287,'SegEnds_NonXtal_Prot#'!A:AL,16,FALSE)-VLOOKUP(A287,'SegEnds_NonXtal_Prot#'!A:AL,10,FALSE)</f>
        <v>52</v>
      </c>
      <c r="AF287" s="1" t="e">
        <f>VLOOKUP(A287,'SegEnds_NonXtal_Prot#'!A:AL,22,FALSE)-VLOOKUP(A287,'SegEnds_NonXtal_Prot#'!A:AL,19,FALSE)</f>
        <v>#VALUE!</v>
      </c>
      <c r="AG287" s="1">
        <f>VLOOKUP(A287,'SegEnds_NonXtal_Prot#'!A:AL,28,FALSE)-VLOOKUP(A287,'SegEnds_NonXtal_Prot#'!A:AL,25,FALSE)</f>
        <v>25</v>
      </c>
      <c r="AH287" s="1">
        <f>VLOOKUP(A287,'SegEnds_NonXtal_Prot#'!A:AL,28,FALSE)-VLOOKUP(A287,'SegEnds_NonXtal_Prot#'!A:AL,22,FALSE)</f>
        <v>63</v>
      </c>
      <c r="AI287" s="1">
        <f>VLOOKUP(A287,'SegEnds_NonXtal_Prot#'!A:AL,31,FALSE)-VLOOKUP(A287,'SegEnds_NonXtal_Prot#'!A:AL,28,FALSE)</f>
        <v>58</v>
      </c>
      <c r="AJ287" s="1">
        <f>VLOOKUP(A287,'SegEnds_NonXtal_Prot#'!A:AL,34,FALSE)-VLOOKUP(A287,'SegEnds_NonXtal_Prot#'!A:AL,31,FALSE)</f>
        <v>41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351</v>
      </c>
      <c r="B288" s="1" t="str">
        <f>VLOOKUP(A288,Xtal_Templ!A:B,2,FALSE)</f>
        <v>p2ry1_human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 t="str">
        <f>VLOOKUP($B288&amp;"__wt",'SegEnds_Xtal_BW#'!$A:$Z,5,FALSE)</f>
        <v>-</v>
      </c>
      <c r="F288" s="1" t="str">
        <f>VLOOKUP($B288&amp;"__wt",'SegEnds_Xtal_BW#'!$A:$Z,6,FALSE)</f>
        <v>-</v>
      </c>
      <c r="G288" s="1">
        <v>37</v>
      </c>
      <c r="H288" s="12">
        <f>VLOOKUP($B288&amp;"__wt",'SegEnds_Xtal_BW#'!$A:$Z,8,FALSE)</f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32</v>
      </c>
      <c r="T288" s="1">
        <f t="array" ref="T288">INDEX(ICL3_classA!$G$2:$G$39,MATCH(MIN(ABS(AI288-ICL3_classA!$F$2:$F$39)),ABS(AI288-ICL3_classA!$F$2:$F$39),0))</f>
        <v>67</v>
      </c>
      <c r="U288" s="1">
        <f t="array" ref="U288">INDEX(ICL3_classA!$H$2:$H$39,MATCH(MIN(ABS(AI288-ICL3_classA!$F$2:$F$39)),ABS(AI288-ICL3_classA!$F$2:$F$39),0))</f>
        <v>26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29</v>
      </c>
      <c r="AC288" s="1" t="e">
        <f>VLOOKUP(A288,'SegEnds_NonXtal_Prot#'!A:AL,10,FALSE)-VLOOKUP(A288,'SegEnds_NonXtal_Prot#'!A:AL,7,FALSE)</f>
        <v>#VALUE!</v>
      </c>
      <c r="AD288" s="1">
        <f>VLOOKUP(A288,'SegEnds_NonXtal_Prot#'!A:AL,13,FALSE)-VLOOKUP(A288,'SegEnds_NonXtal_Prot#'!A:AL,10,FALSE)</f>
        <v>20</v>
      </c>
      <c r="AE288" s="1">
        <f>VLOOKUP(A288,'SegEnds_NonXtal_Prot#'!A:AL,16,FALSE)-VLOOKUP(A288,'SegEnds_NonXtal_Prot#'!A:AL,10,FALSE)</f>
        <v>52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26</v>
      </c>
      <c r="AH288" s="1">
        <f>VLOOKUP(A288,'SegEnds_NonXtal_Prot#'!A:AL,28,FALSE)-VLOOKUP(A288,'SegEnds_NonXtal_Prot#'!A:AL,22,FALSE)</f>
        <v>63</v>
      </c>
      <c r="AI288" s="1">
        <f>VLOOKUP(A288,'SegEnds_NonXtal_Prot#'!A:AL,31,FALSE)-VLOOKUP(A288,'SegEnds_NonXtal_Prot#'!A:AL,28,FALSE)</f>
        <v>46</v>
      </c>
      <c r="AJ288" s="1">
        <f>VLOOKUP(A288,'SegEnds_NonXtal_Prot#'!A:AL,34,FALSE)-VLOOKUP(A288,'SegEnds_NonXtal_Prot#'!A:AL,31,FALSE)</f>
        <v>55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140</v>
      </c>
      <c r="B289" s="1" t="str">
        <f>VLOOKUP(A289,Xtal_Templ!A:B,2,FALSE)</f>
        <v>aa2ar_human</v>
      </c>
      <c r="C289" s="5">
        <f>VLOOKUP($B289&amp;"__wt",'SegEnds_Xtal_BW#'!$A:$Z,3,FALSE)</f>
        <v>27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66</v>
      </c>
      <c r="I289" s="1">
        <f>VLOOKUP($B289&amp;"__wt",'SegEnds_Xtal_BW#'!$A:$Z,9,FALSE)</f>
        <v>50</v>
      </c>
      <c r="J289" s="1">
        <f>VLOOKUP($B289&amp;"__wt",'SegEnds_Xtal_BW#'!$A:$Z,10,FALSE)</f>
        <v>52</v>
      </c>
      <c r="K289" s="12">
        <v>24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v>38</v>
      </c>
      <c r="P289" s="1">
        <f>VLOOKUP($B289&amp;"__wt",'SegEnds_Xtal_BW#'!$A:$Z,16,FALSE)</f>
        <v>63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34</v>
      </c>
      <c r="T289" s="1">
        <f t="array" ref="T289">INDEX(ICL3_classA!$G$2:$G$39,MATCH(MIN(ABS(AI289-ICL3_classA!$F$2:$F$39)),ABS(AI289-ICL3_classA!$F$2:$F$39),0))</f>
        <v>73</v>
      </c>
      <c r="U289" s="1">
        <f t="array" ref="U289">INDEX(ICL3_classA!$H$2:$H$39,MATCH(MIN(ABS(AI289-ICL3_classA!$F$2:$F$39)),ABS(AI289-ICL3_classA!$F$2:$F$39),0))</f>
        <v>22</v>
      </c>
      <c r="V289" s="1">
        <v>61</v>
      </c>
      <c r="W289" s="131">
        <f>VLOOKUP($B289&amp;"__wt",'SegEnds_Xtal_BW#'!$A:$Z,23,FALSE)</f>
        <v>31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18</v>
      </c>
      <c r="AE289" s="1">
        <f>VLOOKUP(A289,'SegEnds_NonXtal_Prot#'!A:AL,16,FALSE)-VLOOKUP(A289,'SegEnds_NonXtal_Prot#'!A:AL,10,FALSE)</f>
        <v>50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23</v>
      </c>
      <c r="AH289" s="1">
        <f>VLOOKUP(A289,'SegEnds_NonXtal_Prot#'!A:AL,28,FALSE)-VLOOKUP(A289,'SegEnds_NonXtal_Prot#'!A:AL,22,FALSE)</f>
        <v>64</v>
      </c>
      <c r="AI289" s="1">
        <f>VLOOKUP(A289,'SegEnds_NonXtal_Prot#'!A:AL,31,FALSE)-VLOOKUP(A289,'SegEnds_NonXtal_Prot#'!A:AL,28,FALSE)</f>
        <v>55</v>
      </c>
      <c r="AJ289" s="1">
        <f>VLOOKUP(A289,'SegEnds_NonXtal_Prot#'!A:AL,34,FALSE)-VLOOKUP(A289,'SegEnds_NonXtal_Prot#'!A:AL,31,FALSE)</f>
        <v>38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252</v>
      </c>
      <c r="B290" s="1" t="str">
        <f>VLOOKUP(A290,Xtal_Templ!A:B,2,FALSE)</f>
        <v>fpr2_human</v>
      </c>
      <c r="C290" s="5">
        <f>VLOOKUP($B290&amp;"__wt",'SegEnds_Xtal_BW#'!$A:$Z,3,FALSE)</f>
        <v>25</v>
      </c>
      <c r="D290" s="1">
        <f>VLOOKUP($B290&amp;"__wt",'SegEnds_Xtal_BW#'!$A:$Z,4,FALSE)</f>
        <v>61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23</v>
      </c>
      <c r="T290" s="1">
        <f t="array" ref="T290">INDEX(ICL3_classA!$G$2:$G$39,MATCH(MIN(ABS(AI290-ICL3_classA!$F$2:$F$39)),ABS(AI290-ICL3_classA!$F$2:$F$39),0))</f>
        <v>68</v>
      </c>
      <c r="U290" s="1">
        <f t="array" ref="U290">INDEX(ICL3_classA!$H$2:$H$39,MATCH(MIN(ABS(AI290-ICL3_classA!$F$2:$F$39)),ABS(AI290-ICL3_classA!$F$2:$F$39),0))</f>
        <v>30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58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27</v>
      </c>
      <c r="AC290" s="1" t="e">
        <f>VLOOKUP(A290,'SegEnds_NonXtal_Prot#'!A:AL,10,FALSE)-VLOOKUP(A290,'SegEnds_NonXtal_Prot#'!A:AL,7,FALSE)</f>
        <v>#VALUE!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38</v>
      </c>
      <c r="AH290" s="1">
        <f>VLOOKUP(A290,'SegEnds_NonXtal_Prot#'!A:AL,28,FALSE)-VLOOKUP(A290,'SegEnds_NonXtal_Prot#'!A:AL,22,FALSE)</f>
        <v>64</v>
      </c>
      <c r="AI290" s="1">
        <f>VLOOKUP(A290,'SegEnds_NonXtal_Prot#'!A:AL,31,FALSE)-VLOOKUP(A290,'SegEnds_NonXtal_Prot#'!A:AL,28,FALSE)</f>
        <v>43</v>
      </c>
      <c r="AJ290" s="1">
        <f>VLOOKUP(A290,'SegEnds_NonXtal_Prot#'!A:AL,34,FALSE)-VLOOKUP(A290,'SegEnds_NonXtal_Prot#'!A:AL,31,FALSE)</f>
        <v>36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197</v>
      </c>
      <c r="B291" s="1" t="str">
        <f>VLOOKUP(A291,Xtal_Templ!A:B,2,FALSE)</f>
        <v>ednrb_human</v>
      </c>
      <c r="C291" s="5">
        <f>VLOOKUP($B291&amp;"__wt",'SegEnds_Xtal_BW#'!$A:$Z,3,FALSE)</f>
        <v>22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52</v>
      </c>
      <c r="G291" s="1">
        <v>37</v>
      </c>
      <c r="H291" s="12">
        <f>VLOOKUP($B291&amp;"__wt",'SegEnds_Xtal_BW#'!$A:$Z,8,FALSE)</f>
        <v>67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21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28</v>
      </c>
      <c r="T291" s="1">
        <f t="array" ref="T291">INDEX(ICL3_classA!$G$2:$G$39,MATCH(MIN(ABS(AI291-ICL3_classA!$F$2:$F$39)),ABS(AI291-ICL3_classA!$F$2:$F$39),0))</f>
        <v>72</v>
      </c>
      <c r="U291" s="1">
        <f t="array" ref="U291">INDEX(ICL3_classA!$H$2:$H$39,MATCH(MIN(ABS(AI291-ICL3_classA!$F$2:$F$39)),ABS(AI291-ICL3_classA!$F$2:$F$39),0))</f>
        <v>24</v>
      </c>
      <c r="V291" s="1">
        <v>61</v>
      </c>
      <c r="W291" s="131">
        <f>VLOOKUP($B291&amp;"__wt",'SegEnds_Xtal_BW#'!$A:$Z,23,FALSE)</f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60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 t="e">
        <f>VLOOKUP(A291,'SegEnds_NonXtal_Prot#'!A:AL,13,FALSE)-VLOOKUP(A291,'SegEnds_NonXtal_Prot#'!A:AL,10,FALSE)</f>
        <v>#VALUE!</v>
      </c>
      <c r="AE291" s="1">
        <f>VLOOKUP(A291,'SegEnds_NonXtal_Prot#'!A:AL,16,FALSE)-VLOOKUP(A291,'SegEnds_NonXtal_Prot#'!A:AL,10,FALSE)</f>
        <v>52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35</v>
      </c>
      <c r="AH291" s="1">
        <f>VLOOKUP(A291,'SegEnds_NonXtal_Prot#'!A:AL,28,FALSE)-VLOOKUP(A291,'SegEnds_NonXtal_Prot#'!A:AL,22,FALSE)</f>
        <v>65</v>
      </c>
      <c r="AI291" s="1">
        <f>VLOOKUP(A291,'SegEnds_NonXtal_Prot#'!A:AL,31,FALSE)-VLOOKUP(A291,'SegEnds_NonXtal_Prot#'!A:AL,28,FALSE)</f>
        <v>53</v>
      </c>
      <c r="AJ291" s="1">
        <f>VLOOKUP(A291,'SegEnds_NonXtal_Prot#'!A:AL,34,FALSE)-VLOOKUP(A291,'SegEnds_NonXtal_Prot#'!A:AL,31,FALSE)</f>
        <v>39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255</v>
      </c>
      <c r="B292" s="1" t="str">
        <f>VLOOKUP(A292,Xtal_Templ!A:B,2,FALSE)</f>
        <v>ednrb_human</v>
      </c>
      <c r="C292" s="5">
        <f>VLOOKUP($B292&amp;"__wt",'SegEnds_Xtal_BW#'!$A:$Z,3,FALSE)</f>
        <v>22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52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28</v>
      </c>
      <c r="T292" s="1">
        <f t="array" ref="T292">INDEX(ICL3_classA!$G$2:$G$39,MATCH(MIN(ABS(AI292-ICL3_classA!$F$2:$F$39)),ABS(AI292-ICL3_classA!$F$2:$F$39),0))</f>
        <v>72</v>
      </c>
      <c r="U292" s="1">
        <f t="array" ref="U292">INDEX(ICL3_classA!$H$2:$H$39,MATCH(MIN(ABS(AI292-ICL3_classA!$F$2:$F$39)),ABS(AI292-ICL3_classA!$F$2:$F$39),0))</f>
        <v>24</v>
      </c>
      <c r="V292" s="1">
        <v>61</v>
      </c>
      <c r="W292" s="131">
        <f>VLOOKUP($B292&amp;"__wt",'SegEnds_Xtal_BW#'!$A:$Z,23,FALSE)</f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60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15</v>
      </c>
      <c r="AD292" s="1">
        <f>VLOOKUP(A292,'SegEnds_NonXtal_Prot#'!A:AL,13,FALSE)-VLOOKUP(A292,'SegEnds_NonXtal_Prot#'!A:AL,10,FALSE)</f>
        <v>20</v>
      </c>
      <c r="AE292" s="1">
        <f>VLOOKUP(A292,'SegEnds_NonXtal_Prot#'!A:AL,16,FALSE)-VLOOKUP(A292,'SegEnds_NonXtal_Prot#'!A:AL,10,FALSE)</f>
        <v>52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35</v>
      </c>
      <c r="AH292" s="1">
        <f>VLOOKUP(A292,'SegEnds_NonXtal_Prot#'!A:AL,28,FALSE)-VLOOKUP(A292,'SegEnds_NonXtal_Prot#'!A:AL,22,FALSE)</f>
        <v>67</v>
      </c>
      <c r="AI292" s="1">
        <f>VLOOKUP(A292,'SegEnds_NonXtal_Prot#'!A:AL,31,FALSE)-VLOOKUP(A292,'SegEnds_NonXtal_Prot#'!A:AL,28,FALSE)</f>
        <v>53</v>
      </c>
      <c r="AJ292" s="1">
        <f>VLOOKUP(A292,'SegEnds_NonXtal_Prot#'!A:AL,34,FALSE)-VLOOKUP(A292,'SegEnds_NonXtal_Prot#'!A:AL,31,FALSE)</f>
        <v>39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181</v>
      </c>
      <c r="B293" s="1" t="str">
        <f>VLOOKUP(A293,Xtal_Templ!A:B,2,FALSE)</f>
        <v>fpr2_human</v>
      </c>
      <c r="C293" s="5">
        <f>VLOOKUP($B293&amp;"__wt",'SegEnds_Xtal_BW#'!$A:$Z,3,FALSE)</f>
        <v>25</v>
      </c>
      <c r="D293" s="1">
        <f>VLOOKUP($B293&amp;"__wt",'SegEnds_Xtal_BW#'!$A:$Z,4,FALSE)</f>
        <v>61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23</v>
      </c>
      <c r="T293" s="1">
        <f t="array" ref="T293">INDEX(ICL3_classA!$G$2:$G$39,MATCH(MIN(ABS(AI293-ICL3_classA!$F$2:$F$39)),ABS(AI293-ICL3_classA!$F$2:$F$39),0))</f>
        <v>68</v>
      </c>
      <c r="U293" s="1">
        <f t="array" ref="U293">INDEX(ICL3_classA!$H$2:$H$39,MATCH(MIN(ABS(AI293-ICL3_classA!$F$2:$F$39)),ABS(AI293-ICL3_classA!$F$2:$F$39),0))</f>
        <v>30</v>
      </c>
      <c r="V293" s="1">
        <v>61</v>
      </c>
      <c r="W293" s="108">
        <v>25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58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27</v>
      </c>
      <c r="AC293" s="1" t="e">
        <f>VLOOKUP(A293,'SegEnds_NonXtal_Prot#'!A:AL,10,FALSE)-VLOOKUP(A293,'SegEnds_NonXtal_Prot#'!A:AL,7,FALSE)</f>
        <v>#VALUE!</v>
      </c>
      <c r="AD293" s="1">
        <f>VLOOKUP(A293,'SegEnds_NonXtal_Prot#'!A:AL,13,FALSE)-VLOOKUP(A293,'SegEnds_NonXtal_Prot#'!A:AL,10,FALSE)</f>
        <v>20</v>
      </c>
      <c r="AE293" s="1">
        <f>VLOOKUP(A293,'SegEnds_NonXtal_Prot#'!A:AL,16,FALSE)-VLOOKUP(A293,'SegEnds_NonXtal_Prot#'!A:AL,10,FALSE)</f>
        <v>52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43</v>
      </c>
      <c r="AH293" s="1">
        <f>VLOOKUP(A293,'SegEnds_NonXtal_Prot#'!A:AL,28,FALSE)-VLOOKUP(A293,'SegEnds_NonXtal_Prot#'!A:AL,22,FALSE)</f>
        <v>68</v>
      </c>
      <c r="AI293" s="1">
        <f>VLOOKUP(A293,'SegEnds_NonXtal_Prot#'!A:AL,31,FALSE)-VLOOKUP(A293,'SegEnds_NonXtal_Prot#'!A:AL,28,FALSE)</f>
        <v>43</v>
      </c>
      <c r="AJ293" s="1">
        <f>VLOOKUP(A293,'SegEnds_NonXtal_Prot#'!A:AL,34,FALSE)-VLOOKUP(A293,'SegEnds_NonXtal_Prot#'!A:AL,31,FALSE)</f>
        <v>38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256</v>
      </c>
      <c r="B294" s="1" t="str">
        <f>VLOOKUP(A294,Xtal_Templ!A:B,2,FALSE)</f>
        <v>ntr1_rat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68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f>VLOOKUP($B294&amp;"__wt",'SegEnds_Xtal_BW#'!$A:$Z,14,FALSE)</f>
        <v>57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v>35</v>
      </c>
      <c r="T294" s="1">
        <f t="array" ref="T294">INDEX(ICL3_classA!$G$2:$G$39,MATCH(MIN(ABS(AI294-ICL3_classA!$F$2:$F$39)),ABS(AI294-ICL3_classA!$F$2:$F$39),0))</f>
        <v>76</v>
      </c>
      <c r="U294" s="1">
        <f t="array" ref="U294">INDEX(ICL3_classA!$H$2:$H$39,MATCH(MIN(ABS(AI294-ICL3_classA!$F$2:$F$39)),ABS(AI294-ICL3_classA!$F$2:$F$39),0))</f>
        <v>24</v>
      </c>
      <c r="V294" s="1">
        <v>61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62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31</v>
      </c>
      <c r="AC294" s="1" t="e">
        <f>VLOOKUP(A294,'SegEnds_NonXtal_Prot#'!A:AL,10,FALSE)-VLOOKUP(A294,'SegEnds_NonXtal_Prot#'!A:AL,7,FALSE)</f>
        <v>#VALUE!</v>
      </c>
      <c r="AD294" s="1" t="e">
        <f>VLOOKUP(A294,'SegEnds_NonXtal_Prot#'!A:AL,13,FALSE)-VLOOKUP(A294,'SegEnds_NonXtal_Prot#'!A:AL,10,FALSE)</f>
        <v>#VALUE!</v>
      </c>
      <c r="AE294" s="1">
        <f>VLOOKUP(A294,'SegEnds_NonXtal_Prot#'!A:AL,16,FALSE)-VLOOKUP(A294,'SegEnds_NonXtal_Prot#'!A:AL,10,FALSE)</f>
        <v>54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21</v>
      </c>
      <c r="AH294" s="1">
        <f>VLOOKUP(A294,'SegEnds_NonXtal_Prot#'!A:AL,28,FALSE)-VLOOKUP(A294,'SegEnds_NonXtal_Prot#'!A:AL,22,FALSE)</f>
        <v>71</v>
      </c>
      <c r="AI294" s="1">
        <f>VLOOKUP(A294,'SegEnds_NonXtal_Prot#'!A:AL,31,FALSE)-VLOOKUP(A294,'SegEnds_NonXtal_Prot#'!A:AL,28,FALSE)</f>
        <v>67</v>
      </c>
      <c r="AJ294" s="1">
        <f>VLOOKUP(A294,'SegEnds_NonXtal_Prot#'!A:AL,34,FALSE)-VLOOKUP(A294,'SegEnds_NonXtal_Prot#'!A:AL,31,FALSE)</f>
        <v>43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194</v>
      </c>
      <c r="B295" s="1" t="str">
        <f>VLOOKUP(A295,Xtal_Templ!A:B,2,FALSE)</f>
        <v>adrb2_human</v>
      </c>
      <c r="C295" s="5">
        <f>VLOOKUP($B295&amp;"__wt",'SegEnds_Xtal_BW#'!$A:$Z,3,FALSE)</f>
        <v>25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21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35</v>
      </c>
      <c r="T295" s="1">
        <f t="array" ref="T295">INDEX(ICL3_classA!$G$2:$G$39,MATCH(MIN(ABS(AI295-ICL3_classA!$F$2:$F$39)),ABS(AI295-ICL3_classA!$F$2:$F$39),0))</f>
        <v>76</v>
      </c>
      <c r="U295" s="1">
        <f t="array" ref="U295">INDEX(ICL3_classA!$H$2:$H$39,MATCH(MIN(ABS(AI295-ICL3_classA!$F$2:$F$39)),ABS(AI295-ICL3_classA!$F$2:$F$39),0))</f>
        <v>24</v>
      </c>
      <c r="V295" s="1">
        <v>64</v>
      </c>
      <c r="W295" s="1">
        <v>24</v>
      </c>
      <c r="X295" s="125"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29</v>
      </c>
      <c r="AC295" s="1">
        <f>VLOOKUP(A295,'SegEnds_NonXtal_Prot#'!A:AL,10,FALSE)-VLOOKUP(A295,'SegEnds_NonXtal_Prot#'!A:AL,7,FALSE)</f>
        <v>16</v>
      </c>
      <c r="AD295" s="1">
        <f>VLOOKUP(A295,'SegEnds_NonXtal_Prot#'!A:AL,13,FALSE)-VLOOKUP(A295,'SegEnds_NonXtal_Prot#'!A:AL,10,FALSE)</f>
        <v>20</v>
      </c>
      <c r="AE295" s="1">
        <f>VLOOKUP(A295,'SegEnds_NonXtal_Prot#'!A:AL,16,FALSE)-VLOOKUP(A295,'SegEnds_NonXtal_Prot#'!A:AL,10,FALSE)</f>
        <v>51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20</v>
      </c>
      <c r="AH295" s="1">
        <f>VLOOKUP(A295,'SegEnds_NonXtal_Prot#'!A:AL,28,FALSE)-VLOOKUP(A295,'SegEnds_NonXtal_Prot#'!A:AL,22,FALSE)</f>
        <v>72</v>
      </c>
      <c r="AI295" s="1">
        <f>VLOOKUP(A295,'SegEnds_NonXtal_Prot#'!A:AL,31,FALSE)-VLOOKUP(A295,'SegEnds_NonXtal_Prot#'!A:AL,28,FALSE)</f>
        <v>74</v>
      </c>
      <c r="AJ295" s="1">
        <f>VLOOKUP(A295,'SegEnds_NonXtal_Prot#'!A:AL,34,FALSE)-VLOOKUP(A295,'SegEnds_NonXtal_Prot#'!A:AL,31,FALSE)</f>
        <v>45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273</v>
      </c>
      <c r="B296" s="1" t="str">
        <f>VLOOKUP(A296,Xtal_Templ!A:B,2,FALSE)</f>
        <v>ox1r_human</v>
      </c>
      <c r="C296" s="5">
        <f>VLOOKUP($B296&amp;"__wt",'SegEnds_Xtal_BW#'!$A:$Z,3,FALSE)</f>
        <v>32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INDEX(ICL3_classA!$G$2:$G$39,MATCH(MIN(ABS(AI296-ICL3_classA!$F$2:$F$39)),ABS(AI296-ICL3_classA!$F$2:$F$39),0))</f>
        <v>74</v>
      </c>
      <c r="U296" s="1">
        <f t="array" ref="U296">INDEX(ICL3_classA!$H$2:$H$39,MATCH(MIN(ABS(AI296-ICL3_classA!$F$2:$F$39)),ABS(AI296-ICL3_classA!$F$2:$F$39),0))</f>
        <v>21</v>
      </c>
      <c r="V296" s="1">
        <v>61</v>
      </c>
      <c r="W296" s="1">
        <v>32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63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 t="e">
        <f>VLOOKUP(A296,'SegEnds_NonXtal_Prot#'!A:AL,13,FALSE)-VLOOKUP(A296,'SegEnds_NonXtal_Prot#'!A:AL,10,FALSE)</f>
        <v>#VALUE!</v>
      </c>
      <c r="AE296" s="1">
        <f>VLOOKUP(A296,'SegEnds_NonXtal_Prot#'!A:AL,16,FALSE)-VLOOKUP(A296,'SegEnds_NonXtal_Prot#'!A:AL,10,FALSE)</f>
        <v>61</v>
      </c>
      <c r="AF296" s="1">
        <f>VLOOKUP(A296,'SegEnds_NonXtal_Prot#'!A:AL,22,FALSE)-VLOOKUP(A296,'SegEnds_NonXtal_Prot#'!A:AL,19,FALSE)</f>
        <v>20</v>
      </c>
      <c r="AG296" s="1" t="e">
        <f>VLOOKUP(A296,'SegEnds_NonXtal_Prot#'!A:AL,28,FALSE)-VLOOKUP(A296,'SegEnds_NonXtal_Prot#'!A:AL,25,FALSE)</f>
        <v>#VALUE!</v>
      </c>
      <c r="AH296" s="1">
        <f>VLOOKUP(A296,'SegEnds_NonXtal_Prot#'!A:AL,28,FALSE)-VLOOKUP(A296,'SegEnds_NonXtal_Prot#'!A:AL,22,FALSE)</f>
        <v>72</v>
      </c>
      <c r="AI296" s="1">
        <f>VLOOKUP(A296,'SegEnds_NonXtal_Prot#'!A:AL,31,FALSE)-VLOOKUP(A296,'SegEnds_NonXtal_Prot#'!A:AL,28,FALSE)</f>
        <v>61</v>
      </c>
      <c r="AJ296" s="1">
        <f>VLOOKUP(A296,'SegEnds_NonXtal_Prot#'!A:AL,34,FALSE)-VLOOKUP(A296,'SegEnds_NonXtal_Prot#'!A:AL,31,FALSE)</f>
        <v>34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222</v>
      </c>
      <c r="B297" s="1" t="str">
        <f>VLOOKUP(A297,Xtal_Templ!A:B,2,FALSE)</f>
        <v>cxcr4_human</v>
      </c>
      <c r="C297" s="5">
        <f>VLOOKUP($B297&amp;"__wt",'SegEnds_Xtal_BW#'!$A:$Z,3,FALSE)</f>
        <v>24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f>VLOOKUP($B297&amp;"__wt",'SegEnds_Xtal_BW#'!$A:$Z,14,FALSE)</f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32</v>
      </c>
      <c r="T297" s="1">
        <f t="array" ref="T297">INDEX(ICL3_classA!$G$2:$G$39,MATCH(MIN(ABS(AI297-ICL3_classA!$F$2:$F$39)),ABS(AI297-ICL3_classA!$F$2:$F$39),0))</f>
        <v>74</v>
      </c>
      <c r="U297" s="1">
        <f t="array" ref="U297">INDEX(ICL3_classA!$H$2:$H$39,MATCH(MIN(ABS(AI297-ICL3_classA!$F$2:$F$39)),ABS(AI297-ICL3_classA!$F$2:$F$39),0))</f>
        <v>21</v>
      </c>
      <c r="V297" s="1">
        <v>61</v>
      </c>
      <c r="W297" s="131">
        <f>VLOOKUP($B297&amp;"__wt",'SegEnds_Xtal_BW#'!$A:$Z,23,FALSE)</f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33</v>
      </c>
      <c r="AC297" s="1" t="e">
        <f>VLOOKUP(A297,'SegEnds_NonXtal_Prot#'!A:AL,10,FALSE)-VLOOKUP(A297,'SegEnds_NonXtal_Prot#'!A:AL,7,FALSE)</f>
        <v>#VALUE!</v>
      </c>
      <c r="AD297" s="1" t="e">
        <f>VLOOKUP(A297,'SegEnds_NonXtal_Prot#'!A:AL,13,FALSE)-VLOOKUP(A297,'SegEnds_NonXtal_Prot#'!A:AL,10,FALSE)</f>
        <v>#VALUE!</v>
      </c>
      <c r="AE297" s="1">
        <f>VLOOKUP(A297,'SegEnds_NonXtal_Prot#'!A:AL,16,FALSE)-VLOOKUP(A297,'SegEnds_NonXtal_Prot#'!A:AL,10,FALSE)</f>
        <v>54</v>
      </c>
      <c r="AF297" s="1" t="e">
        <f>VLOOKUP(A297,'SegEnds_NonXtal_Prot#'!A:AL,22,FALSE)-VLOOKUP(A297,'SegEnds_NonXtal_Prot#'!A:AL,19,FALSE)</f>
        <v>#VALUE!</v>
      </c>
      <c r="AG297" s="1">
        <f>VLOOKUP(A297,'SegEnds_NonXtal_Prot#'!A:AL,28,FALSE)-VLOOKUP(A297,'SegEnds_NonXtal_Prot#'!A:AL,25,FALSE)</f>
        <v>27</v>
      </c>
      <c r="AH297" s="1">
        <f>VLOOKUP(A297,'SegEnds_NonXtal_Prot#'!A:AL,28,FALSE)-VLOOKUP(A297,'SegEnds_NonXtal_Prot#'!A:AL,22,FALSE)</f>
        <v>75</v>
      </c>
      <c r="AI297" s="1">
        <f>VLOOKUP(A297,'SegEnds_NonXtal_Prot#'!A:AL,31,FALSE)-VLOOKUP(A297,'SegEnds_NonXtal_Prot#'!A:AL,28,FALSE)</f>
        <v>66</v>
      </c>
      <c r="AJ297" s="1">
        <f>VLOOKUP(A297,'SegEnds_NonXtal_Prot#'!A:AL,34,FALSE)-VLOOKUP(A297,'SegEnds_NonXtal_Prot#'!A:AL,31,FALSE)</f>
        <v>39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230</v>
      </c>
      <c r="B298" s="1" t="str">
        <f>VLOOKUP(A298,Xtal_Templ!A:B,2,FALSE)</f>
        <v>5ht2a_human</v>
      </c>
      <c r="C298" s="5">
        <f>VLOOKUP($B298&amp;"__wt",'SegEnds_Xtal_BW#'!$A:$Z,3,FALSE)</f>
        <v>27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68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f>VLOOKUP($B298&amp;"__wt",'SegEnds_Xtal_BW#'!$A:$Z,15,FALSE)</f>
        <v>38</v>
      </c>
      <c r="P298" s="1">
        <f>VLOOKUP($B298&amp;"__wt",'SegEnds_Xtal_BW#'!$A:$Z,16,FALSE)</f>
        <v>67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INDEX(ICL3_classA!$G$2:$G$39,MATCH(MIN(ABS(AI298-ICL3_classA!$F$2:$F$39)),ABS(AI298-ICL3_classA!$F$2:$F$39),0))</f>
        <v>74</v>
      </c>
      <c r="U298" s="1">
        <f t="array" ref="U298">INDEX(ICL3_classA!$H$2:$H$39,MATCH(MIN(ABS(AI298-ICL3_classA!$F$2:$F$39)),ABS(AI298-ICL3_classA!$F$2:$F$39),0))</f>
        <v>21</v>
      </c>
      <c r="V298" s="1">
        <v>61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60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>
        <f>VLOOKUP(A298,'SegEnds_NonXtal_Prot#'!A:AL,10,FALSE)-VLOOKUP(A298,'SegEnds_NonXtal_Prot#'!A:AL,7,FALSE)</f>
        <v>15</v>
      </c>
      <c r="AD298" s="1">
        <f>VLOOKUP(A298,'SegEnds_NonXtal_Prot#'!A:AL,13,FALSE)-VLOOKUP(A298,'SegEnds_NonXtal_Prot#'!A:AL,10,FALSE)</f>
        <v>21</v>
      </c>
      <c r="AE298" s="1">
        <f>VLOOKUP(A298,'SegEnds_NonXtal_Prot#'!A:AL,16,FALSE)-VLOOKUP(A298,'SegEnds_NonXtal_Prot#'!A:AL,10,FALSE)</f>
        <v>53</v>
      </c>
      <c r="AF298" s="1">
        <f>VLOOKUP(A298,'SegEnds_NonXtal_Prot#'!A:AL,22,FALSE)-VLOOKUP(A298,'SegEnds_NonXtal_Prot#'!A:AL,19,FALSE)</f>
        <v>20</v>
      </c>
      <c r="AG298" s="1">
        <f>VLOOKUP(A298,'SegEnds_NonXtal_Prot#'!A:AL,28,FALSE)-VLOOKUP(A298,'SegEnds_NonXtal_Prot#'!A:AL,25,FALSE)</f>
        <v>61</v>
      </c>
      <c r="AH298" s="1">
        <f>VLOOKUP(A298,'SegEnds_NonXtal_Prot#'!A:AL,28,FALSE)-VLOOKUP(A298,'SegEnds_NonXtal_Prot#'!A:AL,22,FALSE)</f>
        <v>87</v>
      </c>
      <c r="AI298" s="1">
        <f>VLOOKUP(A298,'SegEnds_NonXtal_Prot#'!A:AL,31,FALSE)-VLOOKUP(A298,'SegEnds_NonXtal_Prot#'!A:AL,28,FALSE)</f>
        <v>66</v>
      </c>
      <c r="AJ298" s="1">
        <f>VLOOKUP(A298,'SegEnds_NonXtal_Prot#'!A:AL,34,FALSE)-VLOOKUP(A298,'SegEnds_NonXtal_Prot#'!A:AL,31,FALSE)</f>
        <v>36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x14ac:dyDescent="0.2">
      <c r="A299" s="1" t="s">
        <v>271</v>
      </c>
      <c r="B299" s="1" t="str">
        <f>VLOOKUP(A299,Xtal_Templ!A:B,2,FALSE)</f>
        <v>5ht2c_human</v>
      </c>
      <c r="C299" s="5">
        <f>VLOOKUP($B299&amp;"__wt",'SegEnds_Xtal_BW#'!$A:$Z,3,FALSE)</f>
        <v>33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">
        <f>VLOOKUP($B299&amp;"__wt",'SegEnds_Xtal_BW#'!$A:$Z,8,FALSE)</f>
        <v>68</v>
      </c>
      <c r="I299" s="1">
        <f>VLOOKUP($B299&amp;"__wt",'SegEnds_Xtal_BW#'!$A:$Z,9,FALSE)</f>
        <v>49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2">
        <v>57</v>
      </c>
      <c r="O299" s="87">
        <f>VLOOKUP($B299&amp;"__wt",'SegEnds_Xtal_BW#'!$A:$Z,15,FALSE)</f>
        <v>38</v>
      </c>
      <c r="P299" s="1">
        <f>VLOOKUP($B299&amp;"__wt",'SegEnds_Xtal_BW#'!$A:$Z,16,FALSE)</f>
        <v>67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v>35</v>
      </c>
      <c r="T299" s="1">
        <f t="array" ref="T299">INDEX(ICL3_classA!$G$2:$G$39,MATCH(MIN(ABS(AI299-ICL3_classA!$F$2:$F$39)),ABS(AI299-ICL3_classA!$F$2:$F$39),0))</f>
        <v>76</v>
      </c>
      <c r="U299" s="1">
        <f t="array" ref="U299">INDEX(ICL3_classA!$H$2:$H$39,MATCH(MIN(ABS(AI299-ICL3_classA!$F$2:$F$39)),ABS(AI299-ICL3_classA!$F$2:$F$39),0))</f>
        <v>24</v>
      </c>
      <c r="V299" s="1">
        <v>61</v>
      </c>
      <c r="W299" s="1">
        <v>31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60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28</v>
      </c>
      <c r="AC299" s="1">
        <f>VLOOKUP(A299,'SegEnds_NonXtal_Prot#'!A:AL,10,FALSE)-VLOOKUP(A299,'SegEnds_NonXtal_Prot#'!A:AL,7,FALSE)</f>
        <v>15</v>
      </c>
      <c r="AD299" s="1">
        <f>VLOOKUP(A299,'SegEnds_NonXtal_Prot#'!A:AL,13,FALSE)-VLOOKUP(A299,'SegEnds_NonXtal_Prot#'!A:AL,10,FALSE)</f>
        <v>21</v>
      </c>
      <c r="AE299" s="1">
        <f>VLOOKUP(A299,'SegEnds_NonXtal_Prot#'!A:AL,16,FALSE)-VLOOKUP(A299,'SegEnds_NonXtal_Prot#'!A:AL,10,FALSE)</f>
        <v>53</v>
      </c>
      <c r="AF299" s="1">
        <f>VLOOKUP(A299,'SegEnds_NonXtal_Prot#'!A:AL,22,FALSE)-VLOOKUP(A299,'SegEnds_NonXtal_Prot#'!A:AL,19,FALSE)</f>
        <v>20</v>
      </c>
      <c r="AG299" s="1">
        <f>VLOOKUP(A299,'SegEnds_NonXtal_Prot#'!A:AL,28,FALSE)-VLOOKUP(A299,'SegEnds_NonXtal_Prot#'!A:AL,25,FALSE)</f>
        <v>61</v>
      </c>
      <c r="AH299" s="1">
        <f>VLOOKUP(A299,'SegEnds_NonXtal_Prot#'!A:AL,28,FALSE)-VLOOKUP(A299,'SegEnds_NonXtal_Prot#'!A:AL,22,FALSE)</f>
        <v>87</v>
      </c>
      <c r="AI299" s="1">
        <f>VLOOKUP(A299,'SegEnds_NonXtal_Prot#'!A:AL,31,FALSE)-VLOOKUP(A299,'SegEnds_NonXtal_Prot#'!A:AL,28,FALSE)</f>
        <v>67</v>
      </c>
      <c r="AJ299" s="1">
        <f>VLOOKUP(A299,'SegEnds_NonXtal_Prot#'!A:AL,34,FALSE)-VLOOKUP(A299,'SegEnds_NonXtal_Prot#'!A:AL,31,FALSE)</f>
        <v>36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1" t="s">
        <v>270</v>
      </c>
      <c r="B300" s="1" t="str">
        <f>VLOOKUP(A300,Xtal_Templ!A:B,2,FALSE)</f>
        <v>ednrb_human</v>
      </c>
      <c r="C300" s="5">
        <f>VLOOKUP($B300&amp;"__wt",'SegEnds_Xtal_BW#'!$A:$Z,3,FALSE)</f>
        <v>22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52</v>
      </c>
      <c r="G300" s="1">
        <v>37</v>
      </c>
      <c r="H300" s="12">
        <f>VLOOKUP($B300&amp;"__wt",'SegEnds_Xtal_BW#'!$A:$Z,8,FALSE)</f>
        <v>67</v>
      </c>
      <c r="I300" s="1">
        <f>VLOOKUP($B300&amp;"__wt",'SegEnds_Xtal_BW#'!$A:$Z,9,FALSE)</f>
        <v>49</v>
      </c>
      <c r="J300" s="1">
        <f>VLOOKUP($B300&amp;"__wt",'SegEnds_Xtal_BW#'!$A:$Z,10,FALSE)</f>
        <v>52</v>
      </c>
      <c r="K300" s="12">
        <v>21</v>
      </c>
      <c r="L300" s="1">
        <f>VLOOKUP($B300&amp;"__wt",'SegEnds_Xtal_BW#'!$A:$Z,12,FALSE)</f>
        <v>56</v>
      </c>
      <c r="M300" s="1">
        <f>VLOOKUP($B300&amp;"__wt",'SegEnds_Xtal_BW#'!$A:$Z,13,FALSE)</f>
        <v>50</v>
      </c>
      <c r="N300" s="12">
        <v>57</v>
      </c>
      <c r="O300" s="87">
        <v>38</v>
      </c>
      <c r="P300" s="1">
        <f>VLOOKUP($B300&amp;"__wt",'SegEnds_Xtal_BW#'!$A:$Z,16,FALSE)</f>
        <v>64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">
        <f>VLOOKUP($B300&amp;"__wt",'SegEnds_Xtal_BW#'!$A:$Z,19,FALSE)</f>
        <v>28</v>
      </c>
      <c r="T300" s="1">
        <f t="array" ref="T300">INDEX(ICL3_classA!$G$2:$G$39,MATCH(MIN(ABS(AI300-ICL3_classA!$F$2:$F$39)),ABS(AI300-ICL3_classA!$F$2:$F$39),0))</f>
        <v>74</v>
      </c>
      <c r="U300" s="1">
        <f t="array" ref="U300">INDEX(ICL3_classA!$H$2:$H$39,MATCH(MIN(ABS(AI300-ICL3_classA!$F$2:$F$39)),ABS(AI300-ICL3_classA!$F$2:$F$39),0))</f>
        <v>24</v>
      </c>
      <c r="V300" s="1">
        <v>61</v>
      </c>
      <c r="W300" s="1">
        <v>33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60</v>
      </c>
      <c r="AA300" s="27" t="str">
        <f>VLOOKUP(A300,Classification!A:B,2,FALSE)</f>
        <v>A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52</v>
      </c>
      <c r="AF300" s="1">
        <f>VLOOKUP(A300,'SegEnds_NonXtal_Prot#'!A:AL,22,FALSE)-VLOOKUP(A300,'SegEnds_NonXtal_Prot#'!A:AL,19,FALSE)</f>
        <v>20</v>
      </c>
      <c r="AG300" s="1">
        <f>VLOOKUP(A300,'SegEnds_NonXtal_Prot#'!A:AL,28,FALSE)-VLOOKUP(A300,'SegEnds_NonXtal_Prot#'!A:AL,25,FALSE)</f>
        <v>67</v>
      </c>
      <c r="AH300" s="1">
        <f>VLOOKUP(A300,'SegEnds_NonXtal_Prot#'!A:AL,28,FALSE)-VLOOKUP(A300,'SegEnds_NonXtal_Prot#'!A:AL,22,FALSE)</f>
        <v>90</v>
      </c>
      <c r="AI300" s="1">
        <f>VLOOKUP(A300,'SegEnds_NonXtal_Prot#'!A:AL,31,FALSE)-VLOOKUP(A300,'SegEnds_NonXtal_Prot#'!A:AL,28,FALSE)</f>
        <v>99</v>
      </c>
      <c r="AJ300" s="1">
        <f>VLOOKUP(A300,'SegEnds_NonXtal_Prot#'!A:AL,34,FALSE)-VLOOKUP(A300,'SegEnds_NonXtal_Prot#'!A:AL,31,FALSE)</f>
        <v>33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310</v>
      </c>
      <c r="B301" s="1" t="str">
        <f>VLOOKUP(A301,Xtal_Templ!A:B,2,FALSE)</f>
        <v>ntr1_rat</v>
      </c>
      <c r="C301" s="5">
        <f>VLOOKUP($B301&amp;"__wt",'SegEnds_Xtal_BW#'!$A:$Z,3,FALSE)</f>
        <v>29</v>
      </c>
      <c r="D301" s="1">
        <f>VLOOKUP($B301&amp;"__wt",'SegEnds_Xtal_BW#'!$A:$Z,4,FALSE)</f>
        <v>60</v>
      </c>
      <c r="E301" s="1" t="str">
        <f>VLOOKUP($B301&amp;"__wt",'SegEnds_Xtal_BW#'!$A:$Z,5,FALSE)</f>
        <v>-</v>
      </c>
      <c r="F301" s="1" t="str">
        <f>VLOOKUP($B301&amp;"__wt",'SegEnds_Xtal_BW#'!$A:$Z,6,FALSE)</f>
        <v>-</v>
      </c>
      <c r="G301" s="1">
        <v>37</v>
      </c>
      <c r="H301" s="12">
        <v>67</v>
      </c>
      <c r="I301" s="1">
        <f>VLOOKUP($B301&amp;"__wt",'SegEnds_Xtal_BW#'!$A:$Z,9,FALSE)</f>
        <v>49</v>
      </c>
      <c r="J301" s="1">
        <f>VLOOKUP($B301&amp;"__wt",'SegEnds_Xtal_BW#'!$A:$Z,10,FALSE)</f>
        <v>52</v>
      </c>
      <c r="K301" s="12">
        <v>18</v>
      </c>
      <c r="L301" s="1">
        <f>VLOOKUP($B301&amp;"__wt",'SegEnds_Xtal_BW#'!$A:$Z,12,FALSE)</f>
        <v>56</v>
      </c>
      <c r="M301" s="1">
        <f>VLOOKUP($B301&amp;"__wt",'SegEnds_Xtal_BW#'!$A:$Z,13,FALSE)</f>
        <v>50</v>
      </c>
      <c r="N301" s="12">
        <v>57</v>
      </c>
      <c r="O301" s="87">
        <f>VLOOKUP($B301&amp;"__wt",'SegEnds_Xtal_BW#'!$A:$Z,15,FALSE)</f>
        <v>38</v>
      </c>
      <c r="P301" s="1">
        <f>VLOOKUP($B301&amp;"__wt",'SegEnds_Xtal_BW#'!$A:$Z,16,FALSE)</f>
        <v>64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">
        <f>VLOOKUP($B301&amp;"__wt",'SegEnds_Xtal_BW#'!$A:$Z,19,FALSE)</f>
        <v>32</v>
      </c>
      <c r="T301" s="1">
        <f t="array" ref="T301">INDEX(ICL3_classA!$G$2:$G$39,MATCH(MIN(ABS(AI301-ICL3_classA!$F$2:$F$39)),ABS(AI301-ICL3_classA!$F$2:$F$39),0))</f>
        <v>72</v>
      </c>
      <c r="U301" s="1">
        <f t="array" ref="U301">INDEX(ICL3_classA!$H$2:$H$39,MATCH(MIN(ABS(AI301-ICL3_classA!$F$2:$F$39)),ABS(AI301-ICL3_classA!$F$2:$F$39),0))</f>
        <v>24</v>
      </c>
      <c r="V301" s="1">
        <v>61</v>
      </c>
      <c r="W301" s="131">
        <f>VLOOKUP($B301&amp;"__wt",'SegEnds_Xtal_BW#'!$A:$Z,23,FALSE)</f>
        <v>24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62</v>
      </c>
      <c r="AA301" s="27" t="str">
        <f>VLOOKUP(A301,Classification!A:B,2,FALSE)</f>
        <v>A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>
        <f>VLOOKUP(A301,'SegEnds_NonXtal_Prot#'!A:AL,13,FALSE)-VLOOKUP(A301,'SegEnds_NonXtal_Prot#'!A:AL,10,FALSE)</f>
        <v>20</v>
      </c>
      <c r="AE301" s="1">
        <f>VLOOKUP(A301,'SegEnds_NonXtal_Prot#'!A:AL,16,FALSE)-VLOOKUP(A301,'SegEnds_NonXtal_Prot#'!A:AL,10,FALSE)</f>
        <v>52</v>
      </c>
      <c r="AF301" s="1">
        <f>VLOOKUP(A301,'SegEnds_NonXtal_Prot#'!A:AL,22,FALSE)-VLOOKUP(A301,'SegEnds_NonXtal_Prot#'!A:AL,19,FALSE)</f>
        <v>20</v>
      </c>
      <c r="AG301" s="1">
        <f>VLOOKUP(A301,'SegEnds_NonXtal_Prot#'!A:AL,28,FALSE)-VLOOKUP(A301,'SegEnds_NonXtal_Prot#'!A:AL,25,FALSE)</f>
        <v>24</v>
      </c>
      <c r="AH301" s="1">
        <f>VLOOKUP(A301,'SegEnds_NonXtal_Prot#'!A:AL,28,FALSE)-VLOOKUP(A301,'SegEnds_NonXtal_Prot#'!A:AL,22,FALSE)</f>
        <v>96</v>
      </c>
      <c r="AI301" s="1">
        <f>VLOOKUP(A301,'SegEnds_NonXtal_Prot#'!A:AL,31,FALSE)-VLOOKUP(A301,'SegEnds_NonXtal_Prot#'!A:AL,28,FALSE)</f>
        <v>54</v>
      </c>
      <c r="AJ301" s="1">
        <f>VLOOKUP(A301,'SegEnds_NonXtal_Prot#'!A:AL,34,FALSE)-VLOOKUP(A301,'SegEnds_NonXtal_Prot#'!A:AL,31,FALSE)</f>
        <v>39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1" t="s">
        <v>164</v>
      </c>
      <c r="B302" s="1" t="str">
        <f>VLOOKUP(A302,Xtal_Templ!A:B,2,FALSE)</f>
        <v>c5ar1_human</v>
      </c>
      <c r="C302" s="5">
        <f>VLOOKUP($B302&amp;"__wt",'SegEnds_Xtal_BW#'!$A:$Z,3,FALSE)</f>
        <v>29</v>
      </c>
      <c r="D302" s="1">
        <f>VLOOKUP($B302&amp;"__wt",'SegEnds_Xtal_BW#'!$A:$Z,4,FALSE)</f>
        <v>60</v>
      </c>
      <c r="E302" s="1" t="str">
        <f>VLOOKUP($B302&amp;"__wt",'SegEnds_Xtal_BW#'!$A:$Z,5,FALSE)</f>
        <v>-</v>
      </c>
      <c r="F302" s="1" t="str">
        <f>VLOOKUP($B302&amp;"__wt",'SegEnds_Xtal_BW#'!$A:$Z,6,FALSE)</f>
        <v>-</v>
      </c>
      <c r="G302" s="1">
        <v>37</v>
      </c>
      <c r="H302" s="12">
        <f>VLOOKUP($B302&amp;"__wt",'SegEnds_Xtal_BW#'!$A:$Z,8,FALSE)</f>
        <v>67</v>
      </c>
      <c r="I302" s="1">
        <f>VLOOKUP($B302&amp;"__wt",'SegEnds_Xtal_BW#'!$A:$Z,9,FALSE)</f>
        <v>49</v>
      </c>
      <c r="J302" s="1">
        <f>VLOOKUP($B302&amp;"__wt",'SegEnds_Xtal_BW#'!$A:$Z,10,FALSE)</f>
        <v>52</v>
      </c>
      <c r="K302" s="12">
        <v>18</v>
      </c>
      <c r="L302" s="1">
        <f>VLOOKUP($B302&amp;"__wt",'SegEnds_Xtal_BW#'!$A:$Z,12,FALSE)</f>
        <v>56</v>
      </c>
      <c r="M302" s="1">
        <f>VLOOKUP($B302&amp;"__wt",'SegEnds_Xtal_BW#'!$A:$Z,13,FALSE)</f>
        <v>50</v>
      </c>
      <c r="N302" s="12">
        <v>57</v>
      </c>
      <c r="O302" s="87">
        <v>38</v>
      </c>
      <c r="P302" s="1">
        <f>VLOOKUP($B302&amp;"__wt",'SegEnds_Xtal_BW#'!$A:$Z,16,FALSE)</f>
        <v>64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f>VLOOKUP($B302&amp;"__wt",'SegEnds_Xtal_BW#'!$A:$Z,19,FALSE)</f>
        <v>31</v>
      </c>
      <c r="T302" s="1">
        <f t="array" ref="T302">INDEX(ICL3_classA!$G$2:$G$39,MATCH(MIN(ABS(AI302-ICL3_classA!$F$2:$F$39)),ABS(AI302-ICL3_classA!$F$2:$F$39),0))</f>
        <v>68</v>
      </c>
      <c r="U302" s="108">
        <v>31</v>
      </c>
      <c r="V302" s="1">
        <v>61</v>
      </c>
      <c r="W302" s="108">
        <v>25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56</v>
      </c>
      <c r="AA302" s="27" t="str">
        <f>VLOOKUP(A302,Classification!A:B,2,FALSE)</f>
        <v>A</v>
      </c>
      <c r="AB302" s="1">
        <f>VLOOKUP(A302,'SegEnds_NonXtal_Prot#'!A:AL,10,FALSE)-VLOOKUP(A302,'SegEnds_NonXtal_Prot#'!A:AL,4,FALSE)</f>
        <v>27</v>
      </c>
      <c r="AC302" s="1" t="e">
        <f>VLOOKUP(A302,'SegEnds_NonXtal_Prot#'!A:AL,10,FALSE)-VLOOKUP(A302,'SegEnds_NonXtal_Prot#'!A:AL,7,FALSE)</f>
        <v>#VALUE!</v>
      </c>
      <c r="AD302" s="1">
        <f>VLOOKUP(A302,'SegEnds_NonXtal_Prot#'!A:AL,13,FALSE)-VLOOKUP(A302,'SegEnds_NonXtal_Prot#'!A:AL,10,FALSE)</f>
        <v>20</v>
      </c>
      <c r="AE302" s="1">
        <f>VLOOKUP(A302,'SegEnds_NonXtal_Prot#'!A:AL,16,FALSE)-VLOOKUP(A302,'SegEnds_NonXtal_Prot#'!A:AL,10,FALSE)</f>
        <v>52</v>
      </c>
      <c r="AF302" s="1">
        <f>VLOOKUP(A302,'SegEnds_NonXtal_Prot#'!A:AL,22,FALSE)-VLOOKUP(A302,'SegEnds_NonXtal_Prot#'!A:AL,19,FALSE)</f>
        <v>20</v>
      </c>
      <c r="AG302" s="1">
        <f>VLOOKUP(A302,'SegEnds_NonXtal_Prot#'!A:AL,28,FALSE)-VLOOKUP(A302,'SegEnds_NonXtal_Prot#'!A:AL,25,FALSE)</f>
        <v>176</v>
      </c>
      <c r="AH302" s="1">
        <f>VLOOKUP(A302,'SegEnds_NonXtal_Prot#'!A:AL,28,FALSE)-VLOOKUP(A302,'SegEnds_NonXtal_Prot#'!A:AL,22,FALSE)</f>
        <v>201</v>
      </c>
      <c r="AI302" s="1">
        <f>VLOOKUP(A302,'SegEnds_NonXtal_Prot#'!A:AL,31,FALSE)-VLOOKUP(A302,'SegEnds_NonXtal_Prot#'!A:AL,28,FALSE)</f>
        <v>44</v>
      </c>
      <c r="AJ302" s="1">
        <f>VLOOKUP(A302,'SegEnds_NonXtal_Prot#'!A:AL,34,FALSE)-VLOOKUP(A302,'SegEnds_NonXtal_Prot#'!A:AL,31,FALSE)</f>
        <v>40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s="42" customFormat="1" x14ac:dyDescent="0.2">
      <c r="A303" s="42" t="s">
        <v>401</v>
      </c>
      <c r="B303" s="42" t="str">
        <f>VLOOKUP(A303,Xtal_Templ!A:B,2,FALSE)</f>
        <v>calcr_human</v>
      </c>
      <c r="C303" s="43">
        <f>VLOOKUP($B303&amp;"__wt",'SegEnds_Xtal_BW#'!$A:$Z,3,FALSE)</f>
        <v>19</v>
      </c>
      <c r="D303" s="42">
        <f>VLOOKUP($B303&amp;"__wt",'SegEnds_Xtal_BW#'!$A:$Z,4,FALSE)</f>
        <v>60</v>
      </c>
      <c r="E303" s="42">
        <f>VLOOKUP($B303&amp;"__wt",'SegEnds_Xtal_BW#'!$A:$Z,5,FALSE)</f>
        <v>48</v>
      </c>
      <c r="F303" s="42">
        <f>VLOOKUP($B303&amp;"__wt",'SegEnds_Xtal_BW#'!$A:$Z,6,FALSE)</f>
        <v>51</v>
      </c>
      <c r="G303" s="42">
        <v>37</v>
      </c>
      <c r="H303" s="116">
        <v>64</v>
      </c>
      <c r="I303" s="42" t="str">
        <f>VLOOKUP($B303&amp;"__wt",'SegEnds_Xtal_BW#'!$A:$Z,9,FALSE)</f>
        <v>-</v>
      </c>
      <c r="J303" s="42" t="str">
        <f>VLOOKUP($B303&amp;"__wt",'SegEnds_Xtal_BW#'!$A:$Z,10,FALSE)</f>
        <v>-</v>
      </c>
      <c r="K303" s="116">
        <v>23</v>
      </c>
      <c r="L303" s="42">
        <f>VLOOKUP($B303&amp;"__wt",'SegEnds_Xtal_BW#'!$A:$Z,12,FALSE)</f>
        <v>56</v>
      </c>
      <c r="M303" s="42" t="str">
        <f>VLOOKUP($B303&amp;"__wt",'SegEnds_Xtal_BW#'!$A:$Z,13,FALSE)</f>
        <v>-</v>
      </c>
      <c r="N303" s="101" t="str">
        <f>VLOOKUP($B303&amp;"__wt",'SegEnds_Xtal_BW#'!$A:$Z,14,FALSE)</f>
        <v>-</v>
      </c>
      <c r="O303" s="89">
        <f>VLOOKUP($B303&amp;"__wt",'SegEnds_Xtal_BW#'!$A:$Z,15,FALSE)</f>
        <v>41</v>
      </c>
      <c r="P303" s="42">
        <f>VLOOKUP($B303&amp;"__wt",'SegEnds_Xtal_BW#'!$A:$Z,16,FALSE)</f>
        <v>68</v>
      </c>
      <c r="Q303" s="42">
        <f>VLOOKUP($B303&amp;"__wt",'SegEnds_Xtal_BW#'!$A:$Z,17,FALSE)</f>
        <v>50</v>
      </c>
      <c r="R303" s="42">
        <f>VLOOKUP($B303&amp;"__wt",'SegEnds_Xtal_BW#'!$A:$Z,18,FALSE)</f>
        <v>52</v>
      </c>
      <c r="S303" s="1">
        <f>VLOOKUP($B303&amp;"__wt",'SegEnds_Xtal_BW#'!$A:$Z,19,FALSE)</f>
        <v>40</v>
      </c>
      <c r="T303" s="1">
        <f>VLOOKUP($B303&amp;"__wt",'SegEnds_Xtal_BW#'!$A:$Z,20,FALSE)</f>
        <v>70</v>
      </c>
      <c r="U303" s="1">
        <f>VLOOKUP($B303&amp;"__wt",'SegEnds_Xtal_BW#'!$A:$Z,21,FALSE)</f>
        <v>30</v>
      </c>
      <c r="V303" s="4">
        <f>VLOOKUP($B303&amp;"__wt",'SegEnds_Xtal_BW#'!$A:$Z,22,FALSE)</f>
        <v>53</v>
      </c>
      <c r="W303" s="116">
        <v>28</v>
      </c>
      <c r="X303" s="42">
        <f>VLOOKUP($B303&amp;"__wt",'SegEnds_Xtal_BW#'!$A:$Z,24,FALSE)</f>
        <v>56</v>
      </c>
      <c r="Y303" s="42">
        <f>VLOOKUP($B303&amp;"__wt",'SegEnds_Xtal_BW#'!$A:$Z,25,FALSE)</f>
        <v>47</v>
      </c>
      <c r="Z303" s="42">
        <f>VLOOKUP($B303&amp;"__wt",'SegEnds_Xtal_BW#'!$A:$Z,26,FALSE)</f>
        <v>72</v>
      </c>
      <c r="AA303" s="44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2">
        <f>VLOOKUP(A303,'SegEnds_NonXtal_Prot#'!A:AL,10,FALSE)-VLOOKUP(A303,'SegEnds_NonXtal_Prot#'!A:AL,7,FALSE)</f>
        <v>15</v>
      </c>
      <c r="AD303" s="42" t="e">
        <f>VLOOKUP(A303,'SegEnds_NonXtal_Prot#'!A:AL,13,FALSE)-VLOOKUP(A303,'SegEnds_NonXtal_Prot#'!A:AL,10,FALSE)</f>
        <v>#VALUE!</v>
      </c>
      <c r="AE303" s="42">
        <f>VLOOKUP(A303,'SegEnds_NonXtal_Prot#'!A:AL,16,FALSE)-VLOOKUP(A303,'SegEnds_NonXtal_Prot#'!A:AL,10,FALSE)</f>
        <v>53</v>
      </c>
      <c r="AF303" s="1" t="e">
        <f>VLOOKUP(A303,'SegEnds_NonXtal_Prot#'!A:AL,22,FALSE)-VLOOKUP(A303,'SegEnds_NonXtal_Prot#'!A:AL,19,FALSE)</f>
        <v>#VALUE!</v>
      </c>
      <c r="AG303" s="42">
        <f>VLOOKUP(A303,'SegEnds_NonXtal_Prot#'!A:AL,28,FALSE)-VLOOKUP(A303,'SegEnds_NonXtal_Prot#'!A:AL,25,FALSE)</f>
        <v>19</v>
      </c>
      <c r="AH303" s="1">
        <f>VLOOKUP(A303,'SegEnds_NonXtal_Prot#'!A:AL,28,FALSE)-VLOOKUP(A303,'SegEnds_NonXtal_Prot#'!A:AL,22,FALSE)</f>
        <v>41</v>
      </c>
      <c r="AI303" s="42">
        <f>VLOOKUP(A303,'SegEnds_NonXtal_Prot#'!A:AL,31,FALSE)-VLOOKUP(A303,'SegEnds_NonXtal_Prot#'!A:AL,28,FALSE)</f>
        <v>50</v>
      </c>
      <c r="AJ303" s="42">
        <f>VLOOKUP(A303,'SegEnds_NonXtal_Prot#'!A:AL,34,FALSE)-VLOOKUP(A303,'SegEnds_NonXtal_Prot#'!A:AL,31,FALSE)</f>
        <v>30</v>
      </c>
      <c r="AK303" s="1">
        <f>VLOOKUP(A303,'SegEnds_NonXtal_Prot#'!A:AL,37,FALSE)-VLOOKUP(A303,'SegEnds_NonXtal_Prot#'!A:AL,34,FALSE)</f>
        <v>10</v>
      </c>
      <c r="AL303" s="1" t="str">
        <f>IF(ISERROR(MATCH(A303,'SegEnds_Xtal_Prot#'!B:B, 0)), "NoXtal", "Xtal")</f>
        <v>Xtal</v>
      </c>
    </row>
    <row r="304" spans="1:38" x14ac:dyDescent="0.2">
      <c r="A304" s="1" t="s">
        <v>402</v>
      </c>
      <c r="B304" s="1" t="str">
        <f>VLOOKUP(A304,Xtal_Templ!A:B,2,FALSE)</f>
        <v>calrl_human</v>
      </c>
      <c r="C304" s="5">
        <f>VLOOKUP($B304&amp;"__wt",'SegEnds_Xtal_BW#'!$A:$Z,3,FALSE)</f>
        <v>24</v>
      </c>
      <c r="D304" s="1">
        <f>VLOOKUP($B304&amp;"__wt",'SegEnds_Xtal_BW#'!$A:$Z,4,FALSE)</f>
        <v>60</v>
      </c>
      <c r="E304" s="1">
        <f>VLOOKUP($B304&amp;"__wt",'SegEnds_Xtal_BW#'!$A:$Z,5,FALSE)</f>
        <v>48</v>
      </c>
      <c r="F304" s="1">
        <f>VLOOKUP($B304&amp;"__wt",'SegEnds_Xtal_BW#'!$A:$Z,6,FALSE)</f>
        <v>51</v>
      </c>
      <c r="G304" s="1">
        <v>37</v>
      </c>
      <c r="H304" s="115">
        <v>64</v>
      </c>
      <c r="I304" s="1" t="str">
        <f>VLOOKUP($B304&amp;"__wt",'SegEnds_Xtal_BW#'!$A:$Z,9,FALSE)</f>
        <v>-</v>
      </c>
      <c r="J304" s="1" t="str">
        <f>VLOOKUP($B304&amp;"__wt",'SegEnds_Xtal_BW#'!$A:$Z,10,FALSE)</f>
        <v>-</v>
      </c>
      <c r="K304" s="108">
        <v>23</v>
      </c>
      <c r="L304" s="1">
        <f>VLOOKUP($B304&amp;"__wt",'SegEnds_Xtal_BW#'!$A:$Z,12,FALSE)</f>
        <v>56</v>
      </c>
      <c r="M304" s="1" t="str">
        <f>VLOOKUP($B304&amp;"__wt",'SegEnds_Xtal_BW#'!$A:$Z,13,FALSE)</f>
        <v>-</v>
      </c>
      <c r="N304" s="12" t="str">
        <f>VLOOKUP($B304&amp;"__wt",'SegEnds_Xtal_BW#'!$A:$Z,14,FALSE)</f>
        <v>-</v>
      </c>
      <c r="O304" s="87">
        <f>VLOOKUP($B304&amp;"__wt",'SegEnds_Xtal_BW#'!$A:$Z,15,FALSE)</f>
        <v>41</v>
      </c>
      <c r="P304" s="1">
        <f>VLOOKUP($B304&amp;"__wt",'SegEnds_Xtal_BW#'!$A:$Z,16,FALSE)</f>
        <v>67</v>
      </c>
      <c r="Q304" s="1">
        <f>VLOOKUP($B304&amp;"__wt",'SegEnds_Xtal_BW#'!$A:$Z,17,FALSE)</f>
        <v>50</v>
      </c>
      <c r="R304" s="1">
        <f>VLOOKUP($B304&amp;"__wt",'SegEnds_Xtal_BW#'!$A:$Z,18,FALSE)</f>
        <v>52</v>
      </c>
      <c r="S304" s="1">
        <f>VLOOKUP($B304&amp;"__wt",'SegEnds_Xtal_BW#'!$A:$Z,19,FALSE)</f>
        <v>39</v>
      </c>
      <c r="T304" s="1">
        <f>VLOOKUP($B304&amp;"__wt",'SegEnds_Xtal_BW#'!$A:$Z,20,FALSE)</f>
        <v>70</v>
      </c>
      <c r="U304" s="1">
        <f>VLOOKUP($B304&amp;"__wt",'SegEnds_Xtal_BW#'!$A:$Z,21,FALSE)</f>
        <v>30</v>
      </c>
      <c r="V304" s="1">
        <f>VLOOKUP($B304&amp;"__wt",'SegEnds_Xtal_BW#'!$A:$Z,22,FALSE)</f>
        <v>53</v>
      </c>
      <c r="W304" s="108">
        <v>28</v>
      </c>
      <c r="X304" s="1">
        <f>VLOOKUP($B304&amp;"__wt",'SegEnds_Xtal_BW#'!$A:$Z,24,FALSE)</f>
        <v>56</v>
      </c>
      <c r="Y304" s="1">
        <f>VLOOKUP($B304&amp;"__wt",'SegEnds_Xtal_BW#'!$A:$Z,25,FALSE)</f>
        <v>47</v>
      </c>
      <c r="Z304" s="1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1">
        <f>VLOOKUP(A304,'SegEnds_NonXtal_Prot#'!A:AL,10,FALSE)-VLOOKUP(A304,'SegEnds_NonXtal_Prot#'!A:AL,7,FALSE)</f>
        <v>15</v>
      </c>
      <c r="AD304" s="1" t="e">
        <f>VLOOKUP(A304,'SegEnds_NonXtal_Prot#'!A:AL,13,FALSE)-VLOOKUP(A304,'SegEnds_NonXtal_Prot#'!A:AL,10,FALSE)</f>
        <v>#VALUE!</v>
      </c>
      <c r="AE304" s="1">
        <f>VLOOKUP(A304,'SegEnds_NonXtal_Prot#'!A:AL,16,FALSE)-VLOOKUP(A304,'SegEnds_NonXtal_Prot#'!A:AL,10,FALSE)</f>
        <v>53</v>
      </c>
      <c r="AF304" s="1" t="e">
        <f>VLOOKUP(A304,'SegEnds_NonXtal_Prot#'!A:AL,22,FALSE)-VLOOKUP(A304,'SegEnds_NonXtal_Prot#'!A:AL,19,FALSE)</f>
        <v>#VALUE!</v>
      </c>
      <c r="AG304" s="1">
        <f>VLOOKUP(A304,'SegEnds_NonXtal_Prot#'!A:AL,28,FALSE)-VLOOKUP(A304,'SegEnds_NonXtal_Prot#'!A:AL,25,FALSE)</f>
        <v>19</v>
      </c>
      <c r="AH304" s="1">
        <f>VLOOKUP(A304,'SegEnds_NonXtal_Prot#'!A:AL,28,FALSE)-VLOOKUP(A304,'SegEnds_NonXtal_Prot#'!A:AL,22,FALSE)</f>
        <v>41</v>
      </c>
      <c r="AI304" s="1">
        <f>VLOOKUP(A304,'SegEnds_NonXtal_Prot#'!A:AL,31,FALSE)-VLOOKUP(A304,'SegEnds_NonXtal_Prot#'!A:AL,28,FALSE)</f>
        <v>50</v>
      </c>
      <c r="AJ304" s="1">
        <f>VLOOKUP(A304,'SegEnds_NonXtal_Prot#'!A:AL,34,FALSE)-VLOOKUP(A304,'SegEnds_NonXtal_Prot#'!A:AL,31,FALSE)</f>
        <v>30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Xtal</v>
      </c>
    </row>
    <row r="305" spans="1:38" x14ac:dyDescent="0.2">
      <c r="A305" s="4" t="s">
        <v>409</v>
      </c>
      <c r="B305" s="4" t="str">
        <f>VLOOKUP(A305,Xtal_Templ!A:B,2,FALSE)</f>
        <v>pth1r_human</v>
      </c>
      <c r="C305" s="5">
        <f>VLOOKUP($B305&amp;"__wt",'SegEnds_Xtal_BW#'!$A:$Z,3,FALSE)</f>
        <v>21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69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21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37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">
        <f>VLOOKUP($B305&amp;"__wt",'SegEnds_Xtal_BW#'!$A:$Z,19,FALSE)</f>
        <v>37</v>
      </c>
      <c r="T305" s="4">
        <v>69</v>
      </c>
      <c r="U305" s="4">
        <v>25</v>
      </c>
      <c r="V305" s="4">
        <f>VLOOKUP($B305&amp;"__wt",'SegEnds_Xtal_BW#'!$A:$Z,22,FALSE)</f>
        <v>54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76</v>
      </c>
      <c r="AF305" s="4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19</v>
      </c>
      <c r="AH305" s="4">
        <f>VLOOKUP(A305,'SegEnds_NonXtal_Prot#'!A:AL,28,FALSE)-VLOOKUP(A305,'SegEnds_NonXtal_Prot#'!A:AL,22,FALSE)</f>
        <v>41</v>
      </c>
      <c r="AI305" s="4">
        <f>VLOOKUP(A305,'SegEnds_NonXtal_Prot#'!A:AL,31,FALSE)-VLOOKUP(A305,'SegEnds_NonXtal_Prot#'!A:AL,28,FALSE)</f>
        <v>53</v>
      </c>
      <c r="AJ305" s="4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4" t="str">
        <f>IF(ISERROR(MATCH(A305,'SegEnds_Xtal_Prot#'!B:B, 0)), "NoXtal", "Xtal")</f>
        <v>Xtal</v>
      </c>
    </row>
    <row r="306" spans="1:38" x14ac:dyDescent="0.2">
      <c r="A306" s="4" t="s">
        <v>410</v>
      </c>
      <c r="B306" s="4" t="str">
        <f>VLOOKUP(A306,Xtal_Templ!A:B,2,FALSE)</f>
        <v>pth1r_human</v>
      </c>
      <c r="C306" s="5">
        <f>VLOOKUP($B306&amp;"__wt",'SegEnds_Xtal_BW#'!$A:$Z,3,FALSE)</f>
        <v>21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69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21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37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">
        <f>VLOOKUP($B306&amp;"__wt",'SegEnds_Xtal_BW#'!$A:$Z,19,FALSE)</f>
        <v>37</v>
      </c>
      <c r="T306" s="4">
        <v>69</v>
      </c>
      <c r="U306" s="4">
        <v>25</v>
      </c>
      <c r="V306" s="4">
        <f>VLOOKUP($B306&amp;"__wt",'SegEnds_Xtal_BW#'!$A:$Z,22,FALSE)</f>
        <v>54</v>
      </c>
      <c r="W306" s="4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74</v>
      </c>
      <c r="AF306" s="4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19</v>
      </c>
      <c r="AH306" s="4">
        <f>VLOOKUP(A306,'SegEnds_NonXtal_Prot#'!A:AL,28,FALSE)-VLOOKUP(A306,'SegEnds_NonXtal_Prot#'!A:AL,22,FALSE)</f>
        <v>41</v>
      </c>
      <c r="AI306" s="4">
        <f>VLOOKUP(A306,'SegEnds_NonXtal_Prot#'!A:AL,31,FALSE)-VLOOKUP(A306,'SegEnds_NonXtal_Prot#'!A:AL,28,FALSE)</f>
        <v>53</v>
      </c>
      <c r="AJ306" s="4">
        <f>VLOOKUP(A306,'SegEnds_NonXtal_Prot#'!A:AL,34,FALSE)-VLOOKUP(A306,'SegEnds_NonXtal_Prot#'!A:AL,31,FALSE)</f>
        <v>32</v>
      </c>
      <c r="AK306" s="1">
        <f>VLOOKUP(A306,'SegEnds_NonXtal_Prot#'!A:AL,37,FALSE)-VLOOKUP(A306,'SegEnds_NonXtal_Prot#'!A:AL,34,FALSE)</f>
        <v>10</v>
      </c>
      <c r="AL306" s="4" t="str">
        <f>IF(ISERROR(MATCH(A306,'SegEnds_Xtal_Prot#'!B:B, 0)), "NoXtal", "Xtal")</f>
        <v>NoXtal</v>
      </c>
    </row>
    <row r="307" spans="1:38" x14ac:dyDescent="0.2">
      <c r="A307" s="4" t="s">
        <v>412</v>
      </c>
      <c r="B307" s="4" t="str">
        <f>VLOOKUP(A307,Xtal_Templ!A:B,2,FALSE)</f>
        <v>pacr_human</v>
      </c>
      <c r="C307" s="5">
        <f>VLOOKUP($B307&amp;"__wt",'SegEnds_Xtal_BW#'!$A:$Z,3,FALSE)</f>
        <v>21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22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f>VLOOKUP($B307&amp;"__wt",'SegEnds_Xtal_BW#'!$A:$Z,19,FALSE)</f>
        <v>36</v>
      </c>
      <c r="T307" s="4">
        <v>69</v>
      </c>
      <c r="U307" s="4">
        <v>25</v>
      </c>
      <c r="V307" s="1">
        <f>VLOOKUP($B307&amp;"__wt",'SegEnds_Xtal_BW#'!$A:$Z,22,FALSE)</f>
        <v>54</v>
      </c>
      <c r="W307" s="4">
        <v>31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55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19</v>
      </c>
      <c r="AH307" s="1">
        <f>VLOOKUP(A307,'SegEnds_NonXtal_Prot#'!A:AL,28,FALSE)-VLOOKUP(A307,'SegEnds_NonXtal_Prot#'!A:AL,22,FALSE)</f>
        <v>41</v>
      </c>
      <c r="AI307" s="4">
        <f>VLOOKUP(A307,'SegEnds_NonXtal_Prot#'!A:AL,31,FALSE)-VLOOKUP(A307,'SegEnds_NonXtal_Prot#'!A:AL,28,FALSE)</f>
        <v>52</v>
      </c>
      <c r="AJ307" s="4">
        <f>VLOOKUP(A307,'SegEnds_NonXtal_Prot#'!A:AL,34,FALSE)-VLOOKUP(A307,'SegEnds_NonXtal_Prot#'!A:AL,31,FALSE)</f>
        <v>29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NoXtal</v>
      </c>
    </row>
    <row r="308" spans="1:38" x14ac:dyDescent="0.2">
      <c r="A308" s="4" t="s">
        <v>1420</v>
      </c>
      <c r="B308" s="4" t="str">
        <f>VLOOKUP(A308,Xtal_Templ!A:B,2,FALSE)</f>
        <v>g1sgd4_rabit</v>
      </c>
      <c r="C308" s="5">
        <f>VLOOKUP($B308&amp;"__wt",'SegEnds_Xtal_BW#'!$A:$Z,3,FALSE)</f>
        <v>28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74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23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36</v>
      </c>
      <c r="T308" s="4">
        <f>VLOOKUP($B308&amp;"__wt",'SegEnds_Xtal_BW#'!$A:$Z,20,FALSE)</f>
        <v>71</v>
      </c>
      <c r="U308" s="4">
        <f>VLOOKUP($B308&amp;"__wt",'SegEnds_Xtal_BW#'!$A:$Z,21,FALSE)</f>
        <v>30</v>
      </c>
      <c r="V308" s="4">
        <f>VLOOKUP($B308&amp;"__wt",'SegEnds_Xtal_BW#'!$A:$Z,22,FALSE)</f>
        <v>53</v>
      </c>
      <c r="W308" s="115">
        <v>30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64</v>
      </c>
      <c r="AF308" s="4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4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33</v>
      </c>
      <c r="AK308" s="1">
        <f>VLOOKUP(A308,'SegEnds_NonXtal_Prot#'!A:AL,37,FALSE)-VLOOKUP(A308,'SegEnds_NonXtal_Prot#'!A:AL,34,FALSE)</f>
        <v>10</v>
      </c>
      <c r="AL308" s="4" t="str">
        <f>IF(ISERROR(MATCH(A308,'SegEnds_Xtal_Prot#'!B:B, 0)), "NoXtal", "Xtal")</f>
        <v>Xtal</v>
      </c>
    </row>
    <row r="309" spans="1:38" x14ac:dyDescent="0.2">
      <c r="A309" s="4" t="s">
        <v>404</v>
      </c>
      <c r="B309" s="4" t="str">
        <f>VLOOKUP(A309,Xtal_Templ!A:B,2,FALSE)</f>
        <v>pacr_human</v>
      </c>
      <c r="C309" s="5">
        <f>VLOOKUP($B309&amp;"__wt",'SegEnds_Xtal_BW#'!$A:$Z,3,FALSE)</f>
        <v>21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22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">
        <f>VLOOKUP($B309&amp;"__wt",'SegEnds_Xtal_BW#'!$A:$Z,19,FALSE)</f>
        <v>36</v>
      </c>
      <c r="T309" s="4">
        <v>69</v>
      </c>
      <c r="U309" s="4">
        <v>25</v>
      </c>
      <c r="V309" s="4">
        <f>VLOOKUP($B309&amp;"__wt",'SegEnds_Xtal_BW#'!$A:$Z,22,FALSE)</f>
        <v>54</v>
      </c>
      <c r="W309" s="4">
        <v>31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4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4">
        <f>VLOOKUP(A309,'SegEnds_NonXtal_Prot#'!A:AL,31,FALSE)-VLOOKUP(A309,'SegEnds_NonXtal_Prot#'!A:AL,28,FALSE)</f>
        <v>52</v>
      </c>
      <c r="AJ309" s="4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405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35</v>
      </c>
      <c r="T310" s="4">
        <f>VLOOKUP($B310&amp;"__wt",'SegEnds_Xtal_BW#'!$A:$Z,20,FALSE)</f>
        <v>71</v>
      </c>
      <c r="U310" s="115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61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50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1" t="s">
        <v>406</v>
      </c>
      <c r="B311" s="1" t="str">
        <f>VLOOKUP(A311,Xtal_Templ!A:B,2,FALSE)</f>
        <v>glp1r_human</v>
      </c>
      <c r="C311" s="5">
        <f>VLOOKUP($B311&amp;"__wt",'SegEnds_Xtal_BW#'!$A:$Z,3,FALSE)</f>
        <v>29</v>
      </c>
      <c r="D311" s="1">
        <f>VLOOKUP($B311&amp;"__wt",'SegEnds_Xtal_BW#'!$A:$Z,4,FALSE)</f>
        <v>60</v>
      </c>
      <c r="E311" s="1">
        <f>VLOOKUP($B311&amp;"__wt",'SegEnds_Xtal_BW#'!$A:$Z,5,FALSE)</f>
        <v>48</v>
      </c>
      <c r="F311" s="1">
        <f>VLOOKUP($B311&amp;"__wt",'SegEnds_Xtal_BW#'!$A:$Z,6,FALSE)</f>
        <v>51</v>
      </c>
      <c r="G311" s="1">
        <v>37</v>
      </c>
      <c r="H311" s="108">
        <v>64</v>
      </c>
      <c r="I311" s="1" t="str">
        <f>VLOOKUP($B311&amp;"__wt",'SegEnds_Xtal_BW#'!$A:$Z,9,FALSE)</f>
        <v>-</v>
      </c>
      <c r="J311" s="1" t="str">
        <f>VLOOKUP($B311&amp;"__wt",'SegEnds_Xtal_BW#'!$A:$Z,10,FALSE)</f>
        <v>-</v>
      </c>
      <c r="K311" s="108">
        <v>23</v>
      </c>
      <c r="L311" s="1">
        <f>VLOOKUP($B311&amp;"__wt",'SegEnds_Xtal_BW#'!$A:$Z,12,FALSE)</f>
        <v>56</v>
      </c>
      <c r="M311" s="1" t="str">
        <f>VLOOKUP($B311&amp;"__wt",'SegEnds_Xtal_BW#'!$A:$Z,13,FALSE)</f>
        <v>-</v>
      </c>
      <c r="N311" s="12" t="str">
        <f>VLOOKUP($B311&amp;"__wt",'SegEnds_Xtal_BW#'!$A:$Z,14,FALSE)</f>
        <v>-</v>
      </c>
      <c r="O311" s="87">
        <f>VLOOKUP($B311&amp;"__wt",'SegEnds_Xtal_BW#'!$A:$Z,15,FALSE)</f>
        <v>38</v>
      </c>
      <c r="P311" s="1">
        <f>VLOOKUP($B311&amp;"__wt",'SegEnds_Xtal_BW#'!$A:$Z,16,FALSE)</f>
        <v>68</v>
      </c>
      <c r="Q311" s="1">
        <f>VLOOKUP($B311&amp;"__wt",'SegEnds_Xtal_BW#'!$A:$Z,17,FALSE)</f>
        <v>50</v>
      </c>
      <c r="R311" s="1">
        <f>VLOOKUP($B311&amp;"__wt",'SegEnds_Xtal_BW#'!$A:$Z,18,FALSE)</f>
        <v>52</v>
      </c>
      <c r="S311" s="1">
        <f>VLOOKUP($B311&amp;"__wt",'SegEnds_Xtal_BW#'!$A:$Z,19,FALSE)</f>
        <v>36</v>
      </c>
      <c r="T311" s="1">
        <f>VLOOKUP($B311&amp;"__wt",'SegEnds_Xtal_BW#'!$A:$Z,20,FALSE)</f>
        <v>71</v>
      </c>
      <c r="U311" s="1">
        <f>VLOOKUP($B311&amp;"__wt",'SegEnds_Xtal_BW#'!$A:$Z,21,FALSE)</f>
        <v>28</v>
      </c>
      <c r="V311" s="1">
        <f>VLOOKUP($B311&amp;"__wt",'SegEnds_Xtal_BW#'!$A:$Z,22,FALSE)</f>
        <v>53</v>
      </c>
      <c r="W311" s="1">
        <v>28</v>
      </c>
      <c r="X311" s="1">
        <f>VLOOKUP($B311&amp;"__wt",'SegEnds_Xtal_BW#'!$A:$Z,24,FALSE)</f>
        <v>56</v>
      </c>
      <c r="Y311" s="1">
        <f>VLOOKUP($B311&amp;"__wt",'SegEnds_Xtal_BW#'!$A:$Z,25,FALSE)</f>
        <v>47</v>
      </c>
      <c r="Z311" s="1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1">
        <f>VLOOKUP(A311,'SegEnds_NonXtal_Prot#'!A:AL,10,FALSE)-VLOOKUP(A311,'SegEnds_NonXtal_Prot#'!A:AL,7,FALSE)</f>
        <v>15</v>
      </c>
      <c r="AD311" s="1" t="e">
        <f>VLOOKUP(A311,'SegEnds_NonXtal_Prot#'!A:AL,13,FALSE)-VLOOKUP(A311,'SegEnds_NonXtal_Prot#'!A:AL,10,FALSE)</f>
        <v>#VALUE!</v>
      </c>
      <c r="AE311" s="1">
        <f>VLOOKUP(A311,'SegEnds_NonXtal_Prot#'!A:AL,16,FALSE)-VLOOKUP(A311,'SegEnds_NonXtal_Prot#'!A:AL,10,FALSE)</f>
        <v>64</v>
      </c>
      <c r="AF311" s="1" t="e">
        <f>VLOOKUP(A311,'SegEnds_NonXtal_Prot#'!A:AL,22,FALSE)-VLOOKUP(A311,'SegEnds_NonXtal_Prot#'!A:AL,19,FALSE)</f>
        <v>#VALUE!</v>
      </c>
      <c r="AG311" s="1">
        <f>VLOOKUP(A311,'SegEnds_NonXtal_Prot#'!A:AL,28,FALSE)-VLOOKUP(A311,'SegEnds_NonXtal_Prot#'!A:AL,25,FALSE)</f>
        <v>20</v>
      </c>
      <c r="AH311" s="1">
        <f>VLOOKUP(A311,'SegEnds_NonXtal_Prot#'!A:AL,28,FALSE)-VLOOKUP(A311,'SegEnds_NonXtal_Prot#'!A:AL,22,FALSE)</f>
        <v>42</v>
      </c>
      <c r="AI311" s="1">
        <f>VLOOKUP(A311,'SegEnds_NonXtal_Prot#'!A:AL,31,FALSE)-VLOOKUP(A311,'SegEnds_NonXtal_Prot#'!A:AL,28,FALSE)</f>
        <v>50</v>
      </c>
      <c r="AJ311" s="1">
        <f>VLOOKUP(A311,'SegEnds_NonXtal_Prot#'!A:AL,34,FALSE)-VLOOKUP(A311,'SegEnds_NonXtal_Prot#'!A:AL,31,FALSE)</f>
        <v>33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Xtal</v>
      </c>
    </row>
    <row r="312" spans="1:38" x14ac:dyDescent="0.2">
      <c r="A312" s="4" t="s">
        <v>407</v>
      </c>
      <c r="B312" s="4" t="str">
        <f>VLOOKUP(A312,Xtal_Templ!A:B,2,FALSE)</f>
        <v>glr_human</v>
      </c>
      <c r="C312" s="5">
        <f>VLOOKUP($B312&amp;"__wt",'SegEnds_Xtal_BW#'!$A:$Z,3,FALSE)</f>
        <v>25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f>VLOOKUP($B312&amp;"__wt",'SegEnds_Xtal_BW#'!$A:$Z,19,FALSE)</f>
        <v>35</v>
      </c>
      <c r="T312" s="4">
        <f>VLOOKUP($B312&amp;"__wt",'SegEnds_Xtal_BW#'!$A:$Z,20,FALSE)</f>
        <v>71</v>
      </c>
      <c r="U312" s="115">
        <v>28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64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50</v>
      </c>
      <c r="AJ312" s="4">
        <f>VLOOKUP(A312,'SegEnds_NonXtal_Prot#'!A:AL,34,FALSE)-VLOOKUP(A312,'SegEnds_NonXtal_Prot#'!A:AL,31,FALSE)</f>
        <v>33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x14ac:dyDescent="0.2">
      <c r="A313" s="4" t="s">
        <v>32</v>
      </c>
      <c r="B313" s="4" t="str">
        <f>VLOOKUP(A313,Xtal_Templ!A:B,2,FALSE)</f>
        <v>glr_human</v>
      </c>
      <c r="C313" s="5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35</v>
      </c>
      <c r="T313" s="4">
        <f>VLOOKUP($B313&amp;"__wt",'SegEnds_Xtal_BW#'!$A:$Z,20,FALSE)</f>
        <v>71</v>
      </c>
      <c r="U313" s="4">
        <f>VLOOKUP($B313&amp;"__wt",'SegEnds_Xtal_BW#'!$A:$Z,21,FALSE)</f>
        <v>28</v>
      </c>
      <c r="V313" s="4">
        <f>VLOOKUP($B313&amp;"__wt",'SegEnds_Xtal_BW#'!$A:$Z,22,FALSE)</f>
        <v>53</v>
      </c>
      <c r="W313" s="115">
        <v>27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Xtal</v>
      </c>
    </row>
    <row r="314" spans="1:38" x14ac:dyDescent="0.2">
      <c r="A314" s="1" t="s">
        <v>408</v>
      </c>
      <c r="B314" s="1" t="str">
        <f>VLOOKUP(A314,Xtal_Templ!A:B,2,FALSE)</f>
        <v>pacr_human</v>
      </c>
      <c r="C314" s="5">
        <f>VLOOKUP($B314&amp;"__wt",'SegEnds_Xtal_BW#'!$A:$Z,3,FALSE)</f>
        <v>21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15">
        <v>64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08">
        <v>22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7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f>VLOOKUP($B314&amp;"__wt",'SegEnds_Xtal_BW#'!$A:$Z,19,FALSE)</f>
        <v>36</v>
      </c>
      <c r="T314" s="1">
        <v>69</v>
      </c>
      <c r="U314" s="1">
        <v>25</v>
      </c>
      <c r="V314" s="1">
        <f>VLOOKUP($B314&amp;"__wt",'SegEnds_Xtal_BW#'!$A:$Z,22,FALSE)</f>
        <v>54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f>VLOOKUP($B314&amp;"__wt",'SegEnds_Xtal_BW#'!$A:$Z,26,FALSE)</f>
        <v>72</v>
      </c>
      <c r="AA314" s="2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1">
        <f>VLOOKUP(A314,'SegEnds_NonXtal_Prot#'!A:AL,10,FALSE)-VLOOKUP(A314,'SegEnds_NonXtal_Prot#'!A:AL,7,FALSE)</f>
        <v>15</v>
      </c>
      <c r="AD314" s="1" t="e">
        <f>VLOOKUP(A314,'SegEnds_NonXtal_Prot#'!A:AL,13,FALSE)-VLOOKUP(A314,'SegEnds_NonXtal_Prot#'!A:AL,10,FALSE)</f>
        <v>#VALUE!</v>
      </c>
      <c r="AE314" s="1">
        <f>VLOOKUP(A314,'SegEnds_NonXtal_Prot#'!A:AL,16,FALSE)-VLOOKUP(A314,'SegEnds_NonXtal_Prot#'!A:AL,10,FALSE)</f>
        <v>55</v>
      </c>
      <c r="AF314" s="1" t="e">
        <f>VLOOKUP(A314,'SegEnds_NonXtal_Prot#'!A:AL,22,FALSE)-VLOOKUP(A314,'SegEnds_NonXtal_Prot#'!A:AL,19,FALSE)</f>
        <v>#VALUE!</v>
      </c>
      <c r="AG314" s="1">
        <f>VLOOKUP(A314,'SegEnds_NonXtal_Prot#'!A:AL,28,FALSE)-VLOOKUP(A314,'SegEnds_NonXtal_Prot#'!A:AL,25,FALSE)</f>
        <v>20</v>
      </c>
      <c r="AH314" s="1">
        <f>VLOOKUP(A314,'SegEnds_NonXtal_Prot#'!A:AL,28,FALSE)-VLOOKUP(A314,'SegEnds_NonXtal_Prot#'!A:AL,22,FALSE)</f>
        <v>42</v>
      </c>
      <c r="AI314" s="1">
        <f>VLOOKUP(A314,'SegEnds_NonXtal_Prot#'!A:AL,31,FALSE)-VLOOKUP(A314,'SegEnds_NonXtal_Prot#'!A:AL,28,FALSE)</f>
        <v>52</v>
      </c>
      <c r="AJ314" s="1">
        <f>VLOOKUP(A314,'SegEnds_NonXtal_Prot#'!A:AL,34,FALSE)-VLOOKUP(A314,'SegEnds_NonXtal_Prot#'!A:AL,31,FALSE)</f>
        <v>29</v>
      </c>
      <c r="AK314" s="1">
        <f>VLOOKUP(A314,'SegEnds_NonXtal_Prot#'!A:AL,37,FALSE)-VLOOKUP(A314,'SegEnds_NonXtal_Prot#'!A:AL,34,FALSE)</f>
        <v>10</v>
      </c>
      <c r="AL314" s="1" t="str">
        <f>IF(ISERROR(MATCH(A314,'SegEnds_Xtal_Prot#'!B:B, 0)), "NoXtal", "Xtal")</f>
        <v>Xtal</v>
      </c>
    </row>
    <row r="315" spans="1:38" x14ac:dyDescent="0.2">
      <c r="A315" s="4" t="s">
        <v>411</v>
      </c>
      <c r="B315" s="4" t="str">
        <f>VLOOKUP(A315,Xtal_Templ!A:B,2,FALSE)</f>
        <v>pacr_human</v>
      </c>
      <c r="C315" s="5">
        <f>VLOOKUP($B315&amp;"__wt",'SegEnds_Xtal_BW#'!$A:$Z,3,FALSE)</f>
        <v>21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5">
        <v>64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5">
        <v>22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8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1">
        <f>VLOOKUP($B315&amp;"__wt",'SegEnds_Xtal_BW#'!$A:$Z,19,FALSE)</f>
        <v>36</v>
      </c>
      <c r="T315" s="4">
        <v>69</v>
      </c>
      <c r="U315" s="4">
        <v>25</v>
      </c>
      <c r="V315" s="4">
        <f>VLOOKUP($B315&amp;"__wt",'SegEnds_Xtal_BW#'!$A:$Z,22,FALSE)</f>
        <v>54</v>
      </c>
      <c r="W315" s="4">
        <v>31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f>VLOOKUP($B315&amp;"__wt",'SegEnds_Xtal_BW#'!$A:$Z,26,FALSE)</f>
        <v>72</v>
      </c>
      <c r="AA315" s="2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4">
        <f>VLOOKUP(A315,'SegEnds_NonXtal_Prot#'!A:AL,10,FALSE)-VLOOKUP(A315,'SegEnds_NonXtal_Prot#'!A:AL,7,FALSE)</f>
        <v>15</v>
      </c>
      <c r="AD315" s="4" t="e">
        <f>VLOOKUP(A315,'SegEnds_NonXtal_Prot#'!A:AL,13,FALSE)-VLOOKUP(A315,'SegEnds_NonXtal_Prot#'!A:AL,10,FALSE)</f>
        <v>#VALUE!</v>
      </c>
      <c r="AE315" s="4">
        <f>VLOOKUP(A315,'SegEnds_NonXtal_Prot#'!A:AL,16,FALSE)-VLOOKUP(A315,'SegEnds_NonXtal_Prot#'!A:AL,10,FALSE)</f>
        <v>55</v>
      </c>
      <c r="AF315" s="1" t="e">
        <f>VLOOKUP(A315,'SegEnds_NonXtal_Prot#'!A:AL,22,FALSE)-VLOOKUP(A315,'SegEnds_NonXtal_Prot#'!A:AL,19,FALSE)</f>
        <v>#VALUE!</v>
      </c>
      <c r="AG315" s="4">
        <f>VLOOKUP(A315,'SegEnds_NonXtal_Prot#'!A:AL,28,FALSE)-VLOOKUP(A315,'SegEnds_NonXtal_Prot#'!A:AL,25,FALSE)</f>
        <v>20</v>
      </c>
      <c r="AH315" s="1">
        <f>VLOOKUP(A315,'SegEnds_NonXtal_Prot#'!A:AL,28,FALSE)-VLOOKUP(A315,'SegEnds_NonXtal_Prot#'!A:AL,22,FALSE)</f>
        <v>42</v>
      </c>
      <c r="AI315" s="4">
        <f>VLOOKUP(A315,'SegEnds_NonXtal_Prot#'!A:AL,31,FALSE)-VLOOKUP(A315,'SegEnds_NonXtal_Prot#'!A:AL,28,FALSE)</f>
        <v>52</v>
      </c>
      <c r="AJ315" s="4">
        <f>VLOOKUP(A315,'SegEnds_NonXtal_Prot#'!A:AL,34,FALSE)-VLOOKUP(A315,'SegEnds_NonXtal_Prot#'!A:AL,31,FALSE)</f>
        <v>28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4" t="s">
        <v>413</v>
      </c>
      <c r="B316" s="4" t="str">
        <f>VLOOKUP(A316,Xtal_Templ!A:B,2,FALSE)</f>
        <v>pacr_human</v>
      </c>
      <c r="C316" s="5">
        <f>VLOOKUP($B316&amp;"__wt",'SegEnds_Xtal_BW#'!$A:$Z,3,FALSE)</f>
        <v>21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5">
        <v>64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5">
        <v>22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1">
        <f>VLOOKUP($B316&amp;"__wt",'SegEnds_Xtal_BW#'!$A:$Z,19,FALSE)</f>
        <v>36</v>
      </c>
      <c r="T316" s="4">
        <v>69</v>
      </c>
      <c r="U316" s="4">
        <v>25</v>
      </c>
      <c r="V316" s="4">
        <f>VLOOKUP($B316&amp;"__wt",'SegEnds_Xtal_BW#'!$A:$Z,22,FALSE)</f>
        <v>54</v>
      </c>
      <c r="W316" s="4">
        <v>31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f>VLOOKUP($B316&amp;"__wt",'SegEnds_Xtal_BW#'!$A:$Z,26,FALSE)</f>
        <v>72</v>
      </c>
      <c r="AA316" s="27" t="str">
        <f>VLOOKUP(A316,Classification!A:B,2,FALSE)</f>
        <v>B1</v>
      </c>
      <c r="AB316" s="1">
        <f>VLOOKUP(A316,'SegEnds_NonXtal_Prot#'!A:AL,10,FALSE)-VLOOKUP(A316,'SegEnds_NonXtal_Prot#'!A:AL,4,FALSE)</f>
        <v>28</v>
      </c>
      <c r="AC316" s="4">
        <f>VLOOKUP(A316,'SegEnds_NonXtal_Prot#'!A:AL,10,FALSE)-VLOOKUP(A316,'SegEnds_NonXtal_Prot#'!A:AL,7,FALSE)</f>
        <v>15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58</v>
      </c>
      <c r="AF316" s="4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20</v>
      </c>
      <c r="AH316" s="4">
        <f>VLOOKUP(A316,'SegEnds_NonXtal_Prot#'!A:AL,28,FALSE)-VLOOKUP(A316,'SegEnds_NonXtal_Prot#'!A:AL,22,FALSE)</f>
        <v>42</v>
      </c>
      <c r="AI316" s="4">
        <f>VLOOKUP(A316,'SegEnds_NonXtal_Prot#'!A:AL,31,FALSE)-VLOOKUP(A316,'SegEnds_NonXtal_Prot#'!A:AL,28,FALSE)</f>
        <v>52</v>
      </c>
      <c r="AJ316" s="4">
        <f>VLOOKUP(A316,'SegEnds_NonXtal_Prot#'!A:AL,34,FALSE)-VLOOKUP(A316,'SegEnds_NonXtal_Prot#'!A:AL,31,FALSE)</f>
        <v>29</v>
      </c>
      <c r="AK316" s="1">
        <f>VLOOKUP(A316,'SegEnds_NonXtal_Prot#'!A:AL,37,FALSE)-VLOOKUP(A316,'SegEnds_NonXtal_Prot#'!A:AL,34,FALSE)</f>
        <v>10</v>
      </c>
      <c r="AL316" s="4" t="str">
        <f>IF(ISERROR(MATCH(A316,'SegEnds_Xtal_Prot#'!B:B, 0)), "NoXtal", "Xtal")</f>
        <v>NoXtal</v>
      </c>
    </row>
    <row r="317" spans="1:38" s="4" customFormat="1" x14ac:dyDescent="0.2">
      <c r="A317" s="4" t="s">
        <v>38</v>
      </c>
      <c r="B317" s="4" t="str">
        <f>VLOOKUP(A317,Xtal_Templ!A:B,2,FALSE)</f>
        <v>crfr1_human</v>
      </c>
      <c r="C317" s="4">
        <f>VLOOKUP($B317&amp;"__wt",'SegEnds_Xtal_BW#'!$A:$Z,3,FALSE)</f>
        <v>19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">
        <v>63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5">
        <v>22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40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1">
        <f>VLOOKUP($B317&amp;"__wt",'SegEnds_Xtal_BW#'!$A:$Z,19,FALSE)</f>
        <v>39</v>
      </c>
      <c r="T317" s="4">
        <f>VLOOKUP($B317&amp;"__wt",'SegEnds_Xtal_BW#'!$A:$Z,20,FALSE)</f>
        <v>69</v>
      </c>
      <c r="U317" s="4">
        <f>VLOOKUP($B317&amp;"__wt",'SegEnds_Xtal_BW#'!$A:$Z,21,FALSE)</f>
        <v>25</v>
      </c>
      <c r="V317" s="4">
        <f>VLOOKUP($B317&amp;"__wt",'SegEnds_Xtal_BW#'!$A:$Z,22,FALSE)</f>
        <v>53</v>
      </c>
      <c r="W317" s="4">
        <v>28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f>VLOOKUP($B317&amp;"__wt",'SegEnds_Xtal_BW#'!$A:$Z,26,FALSE)</f>
        <v>72</v>
      </c>
      <c r="AA317" s="50" t="str">
        <f>VLOOKUP(A317,Classification!A:B,2,FALSE)</f>
        <v>B1</v>
      </c>
      <c r="AB317" s="1">
        <f>VLOOKUP(A317,'SegEnds_NonXtal_Prot#'!A:AL,10,FALSE)-VLOOKUP(A317,'SegEnds_NonXtal_Prot#'!A:AL,4,FALSE)</f>
        <v>28</v>
      </c>
      <c r="AC317" s="4">
        <f>VLOOKUP(A317,'SegEnds_NonXtal_Prot#'!A:AL,10,FALSE)-VLOOKUP(A317,'SegEnds_NonXtal_Prot#'!A:AL,7,FALSE)</f>
        <v>15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51</v>
      </c>
      <c r="AF317" s="4" t="e">
        <f>VLOOKUP(A317,'SegEnds_NonXtal_Prot#'!A:AL,22,FALSE)-VLOOKUP(A317,'SegEnds_NonXtal_Prot#'!A:AL,19,FALSE)</f>
        <v>#VALUE!</v>
      </c>
      <c r="AG317" s="4">
        <f>VLOOKUP(A317,'SegEnds_NonXtal_Prot#'!A:AL,28,FALSE)-VLOOKUP(A317,'SegEnds_NonXtal_Prot#'!A:AL,25,FALSE)</f>
        <v>21</v>
      </c>
      <c r="AH317" s="4">
        <f>VLOOKUP(A317,'SegEnds_NonXtal_Prot#'!A:AL,28,FALSE)-VLOOKUP(A317,'SegEnds_NonXtal_Prot#'!A:AL,22,FALSE)</f>
        <v>43</v>
      </c>
      <c r="AI317" s="4">
        <f>VLOOKUP(A317,'SegEnds_NonXtal_Prot#'!A:AL,31,FALSE)-VLOOKUP(A317,'SegEnds_NonXtal_Prot#'!A:AL,28,FALSE)</f>
        <v>50</v>
      </c>
      <c r="AJ317" s="4">
        <f>VLOOKUP(A317,'SegEnds_NonXtal_Prot#'!A:AL,34,FALSE)-VLOOKUP(A317,'SegEnds_NonXtal_Prot#'!A:AL,31,FALSE)</f>
        <v>31</v>
      </c>
      <c r="AK317" s="1">
        <f>VLOOKUP(A317,'SegEnds_NonXtal_Prot#'!A:AL,37,FALSE)-VLOOKUP(A317,'SegEnds_NonXtal_Prot#'!A:AL,34,FALSE)</f>
        <v>10</v>
      </c>
      <c r="AL317" s="4" t="str">
        <f>IF(ISERROR(MATCH(A317,'SegEnds_Xtal_Prot#'!B:B, 0)), "NoXtal", "Xtal")</f>
        <v>Xtal</v>
      </c>
    </row>
    <row r="318" spans="1:38" s="45" customFormat="1" x14ac:dyDescent="0.2">
      <c r="A318" s="45" t="s">
        <v>403</v>
      </c>
      <c r="B318" s="45" t="str">
        <f>VLOOKUP(A318,Xtal_Templ!A:B,2,FALSE)</f>
        <v>crfr2_human</v>
      </c>
      <c r="C318" s="46">
        <f>VLOOKUP($B318&amp;"__wt",'SegEnds_Xtal_BW#'!$A:$Z,3,FALSE)</f>
        <v>19</v>
      </c>
      <c r="D318" s="45">
        <f>VLOOKUP($B318&amp;"__wt",'SegEnds_Xtal_BW#'!$A:$Z,4,FALSE)</f>
        <v>60</v>
      </c>
      <c r="E318" s="45">
        <f>VLOOKUP($B318&amp;"__wt",'SegEnds_Xtal_BW#'!$A:$Z,5,FALSE)</f>
        <v>48</v>
      </c>
      <c r="F318" s="45">
        <f>VLOOKUP($B318&amp;"__wt",'SegEnds_Xtal_BW#'!$A:$Z,6,FALSE)</f>
        <v>51</v>
      </c>
      <c r="G318" s="45">
        <v>37</v>
      </c>
      <c r="H318" s="102">
        <v>63</v>
      </c>
      <c r="I318" s="45" t="str">
        <f>VLOOKUP($B318&amp;"__wt",'SegEnds_Xtal_BW#'!$A:$Z,9,FALSE)</f>
        <v>-</v>
      </c>
      <c r="J318" s="45" t="str">
        <f>VLOOKUP($B318&amp;"__wt",'SegEnds_Xtal_BW#'!$A:$Z,10,FALSE)</f>
        <v>-</v>
      </c>
      <c r="K318" s="115">
        <v>22</v>
      </c>
      <c r="L318" s="45">
        <f>VLOOKUP($B318&amp;"__wt",'SegEnds_Xtal_BW#'!$A:$Z,12,FALSE)</f>
        <v>56</v>
      </c>
      <c r="M318" s="45" t="str">
        <f>VLOOKUP($B318&amp;"__wt",'SegEnds_Xtal_BW#'!$A:$Z,13,FALSE)</f>
        <v>-</v>
      </c>
      <c r="N318" s="102" t="str">
        <f>VLOOKUP($B318&amp;"__wt",'SegEnds_Xtal_BW#'!$A:$Z,14,FALSE)</f>
        <v>-</v>
      </c>
      <c r="O318" s="90">
        <f>VLOOKUP($B318&amp;"__wt",'SegEnds_Xtal_BW#'!$A:$Z,15,FALSE)</f>
        <v>41</v>
      </c>
      <c r="P318" s="45">
        <f>VLOOKUP($B318&amp;"__wt",'SegEnds_Xtal_BW#'!$A:$Z,16,FALSE)</f>
        <v>68</v>
      </c>
      <c r="Q318" s="45">
        <f>VLOOKUP($B318&amp;"__wt",'SegEnds_Xtal_BW#'!$A:$Z,17,FALSE)</f>
        <v>50</v>
      </c>
      <c r="R318" s="45">
        <f>VLOOKUP($B318&amp;"__wt",'SegEnds_Xtal_BW#'!$A:$Z,18,FALSE)</f>
        <v>52</v>
      </c>
      <c r="S318" s="1">
        <f>VLOOKUP($B318&amp;"__wt",'SegEnds_Xtal_BW#'!$A:$Z,19,FALSE)</f>
        <v>39</v>
      </c>
      <c r="T318" s="45">
        <f>VLOOKUP($B318&amp;"__wt",'SegEnds_Xtal_BW#'!$A:$Z,20,FALSE)</f>
        <v>71</v>
      </c>
      <c r="U318" s="45">
        <f>VLOOKUP($B318&amp;"__wt",'SegEnds_Xtal_BW#'!$A:$Z,21,FALSE)</f>
        <v>25</v>
      </c>
      <c r="V318" s="45">
        <f>VLOOKUP($B318&amp;"__wt",'SegEnds_Xtal_BW#'!$A:$Z,22,FALSE)</f>
        <v>53</v>
      </c>
      <c r="W318" s="45">
        <v>28</v>
      </c>
      <c r="X318" s="45">
        <f>VLOOKUP($B318&amp;"__wt",'SegEnds_Xtal_BW#'!$A:$Z,24,FALSE)</f>
        <v>56</v>
      </c>
      <c r="Y318" s="45">
        <f>VLOOKUP($B318&amp;"__wt",'SegEnds_Xtal_BW#'!$A:$Z,25,FALSE)</f>
        <v>47</v>
      </c>
      <c r="Z318" s="45">
        <f>VLOOKUP($B318&amp;"__wt",'SegEnds_Xtal_BW#'!$A:$Z,26,FALSE)</f>
        <v>72</v>
      </c>
      <c r="AA318" s="47" t="str">
        <f>VLOOKUP(A318,Classification!A:B,2,FALSE)</f>
        <v>B1</v>
      </c>
      <c r="AB318" s="1">
        <f>VLOOKUP(A318,'SegEnds_NonXtal_Prot#'!A:AL,10,FALSE)-VLOOKUP(A318,'SegEnds_NonXtal_Prot#'!A:AL,4,FALSE)</f>
        <v>28</v>
      </c>
      <c r="AC318" s="45">
        <f>VLOOKUP(A318,'SegEnds_NonXtal_Prot#'!A:AL,10,FALSE)-VLOOKUP(A318,'SegEnds_NonXtal_Prot#'!A:AL,7,FALSE)</f>
        <v>15</v>
      </c>
      <c r="AD318" s="45" t="e">
        <f>VLOOKUP(A318,'SegEnds_NonXtal_Prot#'!A:AL,13,FALSE)-VLOOKUP(A318,'SegEnds_NonXtal_Prot#'!A:AL,10,FALSE)</f>
        <v>#VALUE!</v>
      </c>
      <c r="AE318" s="45">
        <f>VLOOKUP(A318,'SegEnds_NonXtal_Prot#'!A:AL,16,FALSE)-VLOOKUP(A318,'SegEnds_NonXtal_Prot#'!A:AL,10,FALSE)</f>
        <v>50</v>
      </c>
      <c r="AF318" s="45" t="e">
        <f>VLOOKUP(A318,'SegEnds_NonXtal_Prot#'!A:AL,22,FALSE)-VLOOKUP(A318,'SegEnds_NonXtal_Prot#'!A:AL,19,FALSE)</f>
        <v>#VALUE!</v>
      </c>
      <c r="AG318" s="45">
        <f>VLOOKUP(A318,'SegEnds_NonXtal_Prot#'!A:AL,28,FALSE)-VLOOKUP(A318,'SegEnds_NonXtal_Prot#'!A:AL,25,FALSE)</f>
        <v>21</v>
      </c>
      <c r="AH318" s="45">
        <f>VLOOKUP(A318,'SegEnds_NonXtal_Prot#'!A:AL,28,FALSE)-VLOOKUP(A318,'SegEnds_NonXtal_Prot#'!A:AL,22,FALSE)</f>
        <v>43</v>
      </c>
      <c r="AI318" s="45">
        <f>VLOOKUP(A318,'SegEnds_NonXtal_Prot#'!A:AL,31,FALSE)-VLOOKUP(A318,'SegEnds_NonXtal_Prot#'!A:AL,28,FALSE)</f>
        <v>50</v>
      </c>
      <c r="AJ318" s="45">
        <f>VLOOKUP(A318,'SegEnds_NonXtal_Prot#'!A:AL,34,FALSE)-VLOOKUP(A318,'SegEnds_NonXtal_Prot#'!A:AL,31,FALSE)</f>
        <v>31</v>
      </c>
      <c r="AK318" s="1">
        <f>VLOOKUP(A318,'SegEnds_NonXtal_Prot#'!A:AL,37,FALSE)-VLOOKUP(A318,'SegEnds_NonXtal_Prot#'!A:AL,34,FALSE)</f>
        <v>10</v>
      </c>
      <c r="AL318" s="45" t="str">
        <f>IF(ISERROR(MATCH(A318,'SegEnds_Xtal_Prot#'!B:B, 0)), "NoXtal", "Xtal")</f>
        <v>Xtal</v>
      </c>
    </row>
    <row r="319" spans="1:38" x14ac:dyDescent="0.2">
      <c r="A319" s="1" t="s">
        <v>1186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28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1">
        <f>VLOOKUP(A319,'SegEnds_NonXtal_Prot#'!A:AL,10,FALSE)-VLOOKUP(A319,'SegEnds_NonXtal_Prot#'!A:AL,7,FALSE)</f>
        <v>15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42</v>
      </c>
      <c r="AI319" s="1">
        <f>VLOOKUP(A319,'SegEnds_NonXtal_Prot#'!A:AL,31,FALSE)-VLOOKUP(A319,'SegEnds_NonXtal_Prot#'!A:AL,28,FALSE)</f>
        <v>52</v>
      </c>
      <c r="AJ319" s="1">
        <f>VLOOKUP(A319,'SegEnds_NonXtal_Prot#'!A:AL,34,FALSE)-VLOOKUP(A319,'SegEnds_NonXtal_Prot#'!A:AL,31,FALSE)</f>
        <v>32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4" t="s">
        <v>1177</v>
      </c>
      <c r="B320" s="4" t="str">
        <f>VLOOKUP(A320,Xtal_Templ!A:B,2,FALSE)</f>
        <v>crfr1_human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88">
        <f>VLOOKUP($B320&amp;"__wt",'SegEnds_Xtal_BW#'!$A:$Z,15,FALSE)</f>
        <v>40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29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26</v>
      </c>
      <c r="AC320" s="4" t="e">
        <f>VLOOKUP(A320,'SegEnds_NonXtal_Prot#'!A:AL,10,FALSE)-VLOOKUP(A320,'SegEnds_NonXtal_Prot#'!A:AL,7,FALSE)</f>
        <v>#VALUE!</v>
      </c>
      <c r="AD320" s="4" t="e">
        <f>VLOOKUP(A320,'SegEnds_NonXtal_Prot#'!A:AL,13,FALSE)-VLOOKUP(A320,'SegEnds_NonXtal_Prot#'!A:AL,10,FALSE)</f>
        <v>#VALUE!</v>
      </c>
      <c r="AE320" s="4">
        <f>VLOOKUP(A320,'SegEnds_NonXtal_Prot#'!A:AL,16,FALSE)-VLOOKUP(A320,'SegEnds_NonXtal_Prot#'!A:AL,10,FALSE)</f>
        <v>47</v>
      </c>
      <c r="AF320" s="1" t="e">
        <f>VLOOKUP(A320,'SegEnds_NonXtal_Prot#'!A:AL,22,FALSE)-VLOOKUP(A320,'SegEnds_NonXtal_Prot#'!A:AL,19,FALSE)</f>
        <v>#VALUE!</v>
      </c>
      <c r="AG320" s="4">
        <f>VLOOKUP(A320,'SegEnds_NonXtal_Prot#'!A:AL,28,FALSE)-VLOOKUP(A320,'SegEnds_NonXtal_Prot#'!A:AL,25,FALSE)</f>
        <v>18</v>
      </c>
      <c r="AH320" s="1">
        <f>VLOOKUP(A320,'SegEnds_NonXtal_Prot#'!A:AL,28,FALSE)-VLOOKUP(A320,'SegEnds_NonXtal_Prot#'!A:AL,22,FALSE)</f>
        <v>43</v>
      </c>
      <c r="AI320" s="4">
        <f>VLOOKUP(A320,'SegEnds_NonXtal_Prot#'!A:AL,31,FALSE)-VLOOKUP(A320,'SegEnds_NonXtal_Prot#'!A:AL,28,FALSE)</f>
        <v>100</v>
      </c>
      <c r="AJ320" s="4">
        <f>VLOOKUP(A320,'SegEnds_NonXtal_Prot#'!A:AL,34,FALSE)-VLOOKUP(A320,'SegEnds_NonXtal_Prot#'!A:AL,31,FALSE)</f>
        <v>31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1181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31</v>
      </c>
      <c r="AC321" s="1">
        <f>VLOOKUP(A321,'SegEnds_NonXtal_Prot#'!A:AL,10,FALSE)-VLOOKUP(A321,'SegEnds_NonXtal_Prot#'!A:AL,7,FALSE)</f>
        <v>18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1182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v>50</v>
      </c>
      <c r="W322" s="1">
        <v>33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1">
        <f>VLOOKUP(A322,'SegEnds_NonXtal_Prot#'!A:AL,31,FALSE)-VLOOKUP(A322,'SegEnds_NonXtal_Prot#'!A:AL,28,FALSE)</f>
        <v>66</v>
      </c>
      <c r="AJ322" s="1">
        <f>VLOOKUP(A322,'SegEnds_NonXtal_Prot#'!A:AL,34,FALSE)-VLOOKUP(A322,'SegEnds_NonXtal_Prot#'!A:AL,31,FALSE)</f>
        <v>20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4" t="s">
        <v>1183</v>
      </c>
      <c r="B323" s="4" t="str">
        <f>VLOOKUP(A323,Xtal_Templ!A:B,2,FALSE)</f>
        <v>pth1r_human</v>
      </c>
      <c r="C323" s="5">
        <v>23</v>
      </c>
      <c r="D323" s="4">
        <f>VLOOKUP($B323&amp;"__wt",'SegEnds_Xtal_BW#'!$A:$Z,4,FALSE)</f>
        <v>60</v>
      </c>
      <c r="E323" s="4">
        <f>VLOOKUP($B323&amp;"__wt",'SegEnds_Xtal_BW#'!$A:$Z,5,FALSE)</f>
        <v>48</v>
      </c>
      <c r="F323" s="4">
        <f>VLOOKUP($B323&amp;"__wt",'SegEnds_Xtal_BW#'!$A:$Z,6,FALSE)</f>
        <v>51</v>
      </c>
      <c r="G323" s="4">
        <v>37</v>
      </c>
      <c r="H323" s="11">
        <v>63</v>
      </c>
      <c r="I323" s="4" t="str">
        <f>VLOOKUP($B323&amp;"__wt",'SegEnds_Xtal_BW#'!$A:$Z,9,FALSE)</f>
        <v>-</v>
      </c>
      <c r="J323" s="4" t="str">
        <f>VLOOKUP($B323&amp;"__wt",'SegEnds_Xtal_BW#'!$A:$Z,10,FALSE)</f>
        <v>-</v>
      </c>
      <c r="K323" s="11">
        <v>23</v>
      </c>
      <c r="L323" s="4">
        <f>VLOOKUP($B323&amp;"__wt",'SegEnds_Xtal_BW#'!$A:$Z,12,FALSE)</f>
        <v>56</v>
      </c>
      <c r="M323" s="4" t="str">
        <f>VLOOKUP($B323&amp;"__wt",'SegEnds_Xtal_BW#'!$A:$Z,13,FALSE)</f>
        <v>-</v>
      </c>
      <c r="N323" s="11" t="str">
        <f>VLOOKUP($B323&amp;"__wt",'SegEnds_Xtal_BW#'!$A:$Z,14,FALSE)</f>
        <v>-</v>
      </c>
      <c r="O323" s="88">
        <f>VLOOKUP($B323&amp;"__wt",'SegEnds_Xtal_BW#'!$A:$Z,15,FALSE)</f>
        <v>37</v>
      </c>
      <c r="P323" s="4">
        <f>VLOOKUP($B323&amp;"__wt",'SegEnds_Xtal_BW#'!$A:$Z,16,FALSE)</f>
        <v>68</v>
      </c>
      <c r="Q323" s="4">
        <f>VLOOKUP($B323&amp;"__wt",'SegEnds_Xtal_BW#'!$A:$Z,17,FALSE)</f>
        <v>50</v>
      </c>
      <c r="R323" s="4">
        <f>VLOOKUP($B323&amp;"__wt",'SegEnds_Xtal_BW#'!$A:$Z,18,FALSE)</f>
        <v>52</v>
      </c>
      <c r="S323" s="4">
        <v>36</v>
      </c>
      <c r="T323" s="4">
        <v>69</v>
      </c>
      <c r="U323" s="4">
        <v>29</v>
      </c>
      <c r="V323" s="4">
        <f>VLOOKUP($B323&amp;"__wt",'SegEnds_Xtal_BW#'!$A:$Z,22,FALSE)</f>
        <v>54</v>
      </c>
      <c r="W323" s="4">
        <v>31</v>
      </c>
      <c r="X323" s="4">
        <f>VLOOKUP($B323&amp;"__wt",'SegEnds_Xtal_BW#'!$A:$Z,24,FALSE)</f>
        <v>56</v>
      </c>
      <c r="Y323" s="4">
        <f>VLOOKUP($B323&amp;"__wt",'SegEnds_Xtal_BW#'!$A:$Z,25,FALSE)</f>
        <v>47</v>
      </c>
      <c r="Z323" s="4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4" t="e">
        <f>VLOOKUP(A323,'SegEnds_NonXtal_Prot#'!A:AL,10,FALSE)-VLOOKUP(A323,'SegEnds_NonXtal_Prot#'!A:AL,7,FALSE)</f>
        <v>#VALUE!</v>
      </c>
      <c r="AD323" s="4" t="e">
        <f>VLOOKUP(A323,'SegEnds_NonXtal_Prot#'!A:AL,13,FALSE)-VLOOKUP(A323,'SegEnds_NonXtal_Prot#'!A:AL,10,FALSE)</f>
        <v>#VALUE!</v>
      </c>
      <c r="AE323" s="4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4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4">
        <f>VLOOKUP(A323,'SegEnds_NonXtal_Prot#'!A:AL,31,FALSE)-VLOOKUP(A323,'SegEnds_NonXtal_Prot#'!A:AL,28,FALSE)</f>
        <v>52</v>
      </c>
      <c r="AJ323" s="4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1184</v>
      </c>
      <c r="B324" s="1" t="str">
        <f>VLOOKUP(A324,Xtal_Templ!A:B,2,FALSE)</f>
        <v>glp1r_human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38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>
        <f>VLOOKUP(A324,'SegEnds_NonXtal_Prot#'!A:AL,10,FALSE)-VLOOKUP(A324,'SegEnds_NonXtal_Prot#'!A:AL,7,FALSE)</f>
        <v>15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52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1185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1198</v>
      </c>
      <c r="B326" s="1" t="str">
        <f>VLOOKUP(A326,Xtal_Templ!A:B,2,FALSE)</f>
        <v>crfr2_human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41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1199</v>
      </c>
      <c r="B327" s="1" t="str">
        <f>VLOOKUP(A327,Xtal_Templ!A:B,2,FALSE)</f>
        <v>crfr2_human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1200</v>
      </c>
      <c r="B328" s="1" t="str">
        <f>VLOOKUP(A328,Xtal_Templ!A:B,2,FALSE)</f>
        <v>crfr2_human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1201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 t="e">
        <f>VLOOKUP(A329,'SegEnds_NonXtal_Prot#'!A:AL,10,FALSE)-VLOOKUP(A329,'SegEnds_NonXtal_Prot#'!A:AL,7,FALSE)</f>
        <v>#VALUE!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4" t="s">
        <v>417</v>
      </c>
      <c r="B330" s="4" t="str">
        <f>VLOOKUP(A330,Xtal_Templ!A:B,2,FALSE)</f>
        <v>glp1r_human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88">
        <f>VLOOKUP($B330&amp;"__wt",'SegEnds_Xtal_BW#'!$A:$Z,15,FALSE)</f>
        <v>38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4">
        <v>31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4" t="e">
        <f>VLOOKUP(A330,'SegEnds_NonXtal_Prot#'!A:AL,10,FALSE)-VLOOKUP(A330,'SegEnds_NonXtal_Prot#'!A:AL,7,FALSE)</f>
        <v>#VALUE!</v>
      </c>
      <c r="AD330" s="4" t="e">
        <f>VLOOKUP(A330,'SegEnds_NonXtal_Prot#'!A:AL,13,FALSE)-VLOOKUP(A330,'SegEnds_NonXtal_Prot#'!A:AL,10,FALSE)</f>
        <v>#VALUE!</v>
      </c>
      <c r="AE330" s="4">
        <f>VLOOKUP(A330,'SegEnds_NonXtal_Prot#'!A:AL,16,FALSE)-VLOOKUP(A330,'SegEnds_NonXtal_Prot#'!A:AL,10,FALSE)</f>
        <v>47</v>
      </c>
      <c r="AF330" s="1" t="e">
        <f>VLOOKUP(A330,'SegEnds_NonXtal_Prot#'!A:AL,22,FALSE)-VLOOKUP(A330,'SegEnds_NonXtal_Prot#'!A:AL,19,FALSE)</f>
        <v>#VALUE!</v>
      </c>
      <c r="AG330" s="4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4">
        <f>VLOOKUP(A330,'SegEnds_NonXtal_Prot#'!A:AL,31,FALSE)-VLOOKUP(A330,'SegEnds_NonXtal_Prot#'!A:AL,28,FALSE)</f>
        <v>52</v>
      </c>
      <c r="AJ330" s="4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418</v>
      </c>
      <c r="B331" s="1" t="str">
        <f>VLOOKUP(A331,Xtal_Templ!A:B,2,FALSE)</f>
        <v>calcr_human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48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4" t="s">
        <v>419</v>
      </c>
      <c r="B332" s="4" t="str">
        <f>VLOOKUP(A332,Xtal_Templ!A:B,2,FALSE)</f>
        <v>calrl_human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8">
        <f>VLOOKUP($B332&amp;"__wt",'SegEnds_Xtal_BW#'!$A:$Z,15,FALSE)</f>
        <v>41</v>
      </c>
      <c r="P332" s="4">
        <f>VLOOKUP($B332&amp;"__wt",'SegEnds_Xtal_BW#'!$A:$Z,16,FALSE)</f>
        <v>67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53</v>
      </c>
      <c r="W332" s="4">
        <v>31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4">
        <f>VLOOKUP(A332,'SegEnds_NonXtal_Prot#'!A:AL,10,FALSE)-VLOOKUP(A332,'SegEnds_NonXtal_Prot#'!A:AL,7,FALSE)</f>
        <v>15</v>
      </c>
      <c r="AD332" s="4" t="e">
        <f>VLOOKUP(A332,'SegEnds_NonXtal_Prot#'!A:AL,13,FALSE)-VLOOKUP(A332,'SegEnds_NonXtal_Prot#'!A:AL,10,FALSE)</f>
        <v>#VALUE!</v>
      </c>
      <c r="AE332" s="4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4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4">
        <f>VLOOKUP(A332,'SegEnds_NonXtal_Prot#'!A:AL,31,FALSE)-VLOOKUP(A332,'SegEnds_NonXtal_Prot#'!A:AL,28,FALSE)</f>
        <v>48</v>
      </c>
      <c r="AJ332" s="4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420</v>
      </c>
      <c r="B333" s="1" t="str">
        <f>VLOOKUP(A333,Xtal_Templ!A:B,2,FALSE)</f>
        <v>crfr2_human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41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47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1179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29</v>
      </c>
      <c r="AC334" s="1" t="e">
        <f>VLOOKUP(A334,'SegEnds_NonXtal_Prot#'!A:AL,10,FALSE)-VLOOKUP(A334,'SegEnds_NonXtal_Prot#'!A:AL,7,FALSE)</f>
        <v>#VALUE!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44</v>
      </c>
      <c r="AI334" s="1">
        <f>VLOOKUP(A334,'SegEnds_NonXtal_Prot#'!A:AL,31,FALSE)-VLOOKUP(A334,'SegEnds_NonXtal_Prot#'!A:AL,28,FALSE)</f>
        <v>83</v>
      </c>
      <c r="AJ334" s="1">
        <f>VLOOKUP(A334,'SegEnds_NonXtal_Prot#'!A:AL,34,FALSE)-VLOOKUP(A334,'SegEnds_NonXtal_Prot#'!A:AL,31,FALSE)</f>
        <v>29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1180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44</v>
      </c>
      <c r="AI335" s="1">
        <f>VLOOKUP(A335,'SegEnds_NonXtal_Prot#'!A:AL,31,FALSE)-VLOOKUP(A335,'SegEnds_NonXtal_Prot#'!A:AL,28,FALSE)</f>
        <v>83</v>
      </c>
      <c r="AJ335" s="1">
        <f>VLOOKUP(A335,'SegEnds_NonXtal_Prot#'!A:AL,34,FALSE)-VLOOKUP(A335,'SegEnds_NonXtal_Prot#'!A:AL,31,FALSE)</f>
        <v>29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414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44</v>
      </c>
      <c r="AI336" s="1">
        <f>VLOOKUP(A336,'SegEnds_NonXtal_Prot#'!A:AL,31,FALSE)-VLOOKUP(A336,'SegEnds_NonXtal_Prot#'!A:AL,28,FALSE)</f>
        <v>50</v>
      </c>
      <c r="AJ336" s="1">
        <f>VLOOKUP(A336,'SegEnds_NonXtal_Prot#'!A:AL,34,FALSE)-VLOOKUP(A336,'SegEnds_NonXtal_Prot#'!A:AL,31,FALSE)</f>
        <v>29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1178</v>
      </c>
      <c r="B337" s="1" t="str">
        <f>VLOOKUP(A337,Xtal_Templ!A:B,2,FALSE)</f>
        <v>crfr2_human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41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29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26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18</v>
      </c>
      <c r="AH337" s="1">
        <f>VLOOKUP(A337,'SegEnds_NonXtal_Prot#'!A:AL,28,FALSE)-VLOOKUP(A337,'SegEnds_NonXtal_Prot#'!A:AL,22,FALSE)</f>
        <v>45</v>
      </c>
      <c r="AI337" s="1">
        <f>VLOOKUP(A337,'SegEnds_NonXtal_Prot#'!A:AL,31,FALSE)-VLOOKUP(A337,'SegEnds_NonXtal_Prot#'!A:AL,28,FALSE)</f>
        <v>85</v>
      </c>
      <c r="AJ337" s="1">
        <f>VLOOKUP(A337,'SegEnds_NonXtal_Prot#'!A:AL,34,FALSE)-VLOOKUP(A337,'SegEnds_NonXtal_Prot#'!A:AL,31,FALSE)</f>
        <v>31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1189</v>
      </c>
      <c r="B338" s="1" t="str">
        <f>VLOOKUP(A338,Xtal_Templ!A:B,2,FALSE)</f>
        <v>calrl_human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67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31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50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29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1176</v>
      </c>
      <c r="B339" s="1" t="str">
        <f>VLOOKUP(A339,Xtal_Templ!A:B,2,FALSE)</f>
        <v>pacr_human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54</v>
      </c>
      <c r="W339" s="1">
        <v>29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26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18</v>
      </c>
      <c r="AH339" s="1">
        <f>VLOOKUP(A339,'SegEnds_NonXtal_Prot#'!A:AL,28,FALSE)-VLOOKUP(A339,'SegEnds_NonXtal_Prot#'!A:AL,22,FALSE)</f>
        <v>46</v>
      </c>
      <c r="AI339" s="1">
        <f>VLOOKUP(A339,'SegEnds_NonXtal_Prot#'!A:AL,31,FALSE)-VLOOKUP(A339,'SegEnds_NonXtal_Prot#'!A:AL,28,FALSE)</f>
        <v>86</v>
      </c>
      <c r="AJ339" s="1">
        <f>VLOOKUP(A339,'SegEnds_NonXtal_Prot#'!A:AL,34,FALSE)-VLOOKUP(A339,'SegEnds_NonXtal_Prot#'!A:AL,31,FALSE)</f>
        <v>31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1188</v>
      </c>
      <c r="B340" s="1" t="str">
        <f>VLOOKUP(A340,Xtal_Templ!A:B,2,FALSE)</f>
        <v>calrl_human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41</v>
      </c>
      <c r="P340" s="1">
        <f>VLOOKUP($B340&amp;"__wt",'SegEnds_Xtal_BW#'!$A:$Z,16,FALSE)</f>
        <v>67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08">
        <v>50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31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51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20</v>
      </c>
      <c r="AH340" s="1">
        <f>VLOOKUP(A340,'SegEnds_NonXtal_Prot#'!A:AL,28,FALSE)-VLOOKUP(A340,'SegEnds_NonXtal_Prot#'!A:AL,22,FALSE)</f>
        <v>46</v>
      </c>
      <c r="AI340" s="1">
        <f>VLOOKUP(A340,'SegEnds_NonXtal_Prot#'!A:AL,31,FALSE)-VLOOKUP(A340,'SegEnds_NonXtal_Prot#'!A:AL,28,FALSE)</f>
        <v>57</v>
      </c>
      <c r="AJ340" s="1">
        <f>VLOOKUP(A340,'SegEnds_NonXtal_Prot#'!A:AL,34,FALSE)-VLOOKUP(A340,'SegEnds_NonXtal_Prot#'!A:AL,31,FALSE)</f>
        <v>23</v>
      </c>
      <c r="AK340" s="1" t="e">
        <f>VLOOKUP(A340,'SegEnds_NonXtal_Prot#'!A:AL,37,FALSE)-VLOOKUP(A340,'SegEnds_NonXtal_Prot#'!A:AL,34,FALSE)</f>
        <v>#VALUE!</v>
      </c>
      <c r="AL340" s="1" t="str">
        <f>IF(ISERROR(MATCH(A340,'SegEnds_Xtal_Prot#'!B:B, 0)), "NoXtal", "Xtal")</f>
        <v>NoXtal</v>
      </c>
    </row>
    <row r="341" spans="1:38" x14ac:dyDescent="0.2">
      <c r="A341" s="1" t="s">
        <v>1190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51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20</v>
      </c>
      <c r="AH341" s="1">
        <f>VLOOKUP(A341,'SegEnds_NonXtal_Prot#'!A:AL,28,FALSE)-VLOOKUP(A341,'SegEnds_NonXtal_Prot#'!A:AL,22,FALSE)</f>
        <v>46</v>
      </c>
      <c r="AI341" s="1">
        <f>VLOOKUP(A341,'SegEnds_NonXtal_Prot#'!A:AL,31,FALSE)-VLOOKUP(A341,'SegEnds_NonXtal_Prot#'!A:AL,28,FALSE)</f>
        <v>51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1191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31</v>
      </c>
      <c r="AC342" s="1">
        <f>VLOOKUP(A342,'SegEnds_NonXtal_Prot#'!A:AL,10,FALSE)-VLOOKUP(A342,'SegEnds_NonXtal_Prot#'!A:AL,7,FALSE)</f>
        <v>17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53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20</v>
      </c>
      <c r="AH342" s="1">
        <f>VLOOKUP(A342,'SegEnds_NonXtal_Prot#'!A:AL,28,FALSE)-VLOOKUP(A342,'SegEnds_NonXtal_Prot#'!A:AL,22,FALSE)</f>
        <v>46</v>
      </c>
      <c r="AI342" s="1">
        <f>VLOOKUP(A342,'SegEnds_NonXtal_Prot#'!A:AL,31,FALSE)-VLOOKUP(A342,'SegEnds_NonXtal_Prot#'!A:AL,28,FALSE)</f>
        <v>52</v>
      </c>
      <c r="AJ342" s="1">
        <f>VLOOKUP(A342,'SegEnds_NonXtal_Prot#'!A:AL,34,FALSE)-VLOOKUP(A342,'SegEnds_NonXtal_Prot#'!A:AL,31,FALSE)</f>
        <v>29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1187</v>
      </c>
      <c r="B343" s="1" t="str">
        <f>VLOOKUP(A343,Xtal_Templ!A:B,2,FALSE)</f>
        <v>pth1r_human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37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54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31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51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21</v>
      </c>
      <c r="AH343" s="1">
        <f>VLOOKUP(A343,'SegEnds_NonXtal_Prot#'!A:AL,28,FALSE)-VLOOKUP(A343,'SegEnds_NonXtal_Prot#'!A:AL,22,FALSE)</f>
        <v>47</v>
      </c>
      <c r="AI343" s="1">
        <f>VLOOKUP(A343,'SegEnds_NonXtal_Prot#'!A:AL,31,FALSE)-VLOOKUP(A343,'SegEnds_NonXtal_Prot#'!A:AL,28,FALSE)</f>
        <v>52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4" t="s">
        <v>1195</v>
      </c>
      <c r="B344" s="4" t="str">
        <f>VLOOKUP(A344,Xtal_Templ!A:B,2,FALSE)</f>
        <v>pth1r_human</v>
      </c>
      <c r="C344" s="5">
        <v>23</v>
      </c>
      <c r="D344" s="4">
        <f>VLOOKUP($B344&amp;"__wt",'SegEnds_Xtal_BW#'!$A:$Z,4,FALSE)</f>
        <v>60</v>
      </c>
      <c r="E344" s="4">
        <f>VLOOKUP($B344&amp;"__wt",'SegEnds_Xtal_BW#'!$A:$Z,5,FALSE)</f>
        <v>48</v>
      </c>
      <c r="F344" s="4">
        <f>VLOOKUP($B344&amp;"__wt",'SegEnds_Xtal_BW#'!$A:$Z,6,FALSE)</f>
        <v>51</v>
      </c>
      <c r="G344" s="4">
        <v>37</v>
      </c>
      <c r="H344" s="11">
        <v>63</v>
      </c>
      <c r="I344" s="4" t="str">
        <f>VLOOKUP($B344&amp;"__wt",'SegEnds_Xtal_BW#'!$A:$Z,9,FALSE)</f>
        <v>-</v>
      </c>
      <c r="J344" s="4" t="str">
        <f>VLOOKUP($B344&amp;"__wt",'SegEnds_Xtal_BW#'!$A:$Z,10,FALSE)</f>
        <v>-</v>
      </c>
      <c r="K344" s="11">
        <v>23</v>
      </c>
      <c r="L344" s="4">
        <f>VLOOKUP($B344&amp;"__wt",'SegEnds_Xtal_BW#'!$A:$Z,12,FALSE)</f>
        <v>56</v>
      </c>
      <c r="M344" s="4" t="str">
        <f>VLOOKUP($B344&amp;"__wt",'SegEnds_Xtal_BW#'!$A:$Z,13,FALSE)</f>
        <v>-</v>
      </c>
      <c r="N344" s="11" t="str">
        <f>VLOOKUP($B344&amp;"__wt",'SegEnds_Xtal_BW#'!$A:$Z,14,FALSE)</f>
        <v>-</v>
      </c>
      <c r="O344" s="88">
        <f>VLOOKUP($B344&amp;"__wt",'SegEnds_Xtal_BW#'!$A:$Z,15,FALSE)</f>
        <v>37</v>
      </c>
      <c r="P344" s="4">
        <f>VLOOKUP($B344&amp;"__wt",'SegEnds_Xtal_BW#'!$A:$Z,16,FALSE)</f>
        <v>68</v>
      </c>
      <c r="Q344" s="4">
        <f>VLOOKUP($B344&amp;"__wt",'SegEnds_Xtal_BW#'!$A:$Z,17,FALSE)</f>
        <v>50</v>
      </c>
      <c r="R344" s="4">
        <f>VLOOKUP($B344&amp;"__wt",'SegEnds_Xtal_BW#'!$A:$Z,18,FALSE)</f>
        <v>52</v>
      </c>
      <c r="S344" s="4">
        <v>36</v>
      </c>
      <c r="T344" s="4">
        <v>69</v>
      </c>
      <c r="U344" s="4">
        <v>29</v>
      </c>
      <c r="V344" s="4">
        <f>VLOOKUP($B344&amp;"__wt",'SegEnds_Xtal_BW#'!$A:$Z,22,FALSE)</f>
        <v>54</v>
      </c>
      <c r="W344" s="4">
        <v>31</v>
      </c>
      <c r="X344" s="4">
        <f>VLOOKUP($B344&amp;"__wt",'SegEnds_Xtal_BW#'!$A:$Z,24,FALSE)</f>
        <v>56</v>
      </c>
      <c r="Y344" s="4">
        <f>VLOOKUP($B344&amp;"__wt",'SegEnds_Xtal_BW#'!$A:$Z,25,FALSE)</f>
        <v>47</v>
      </c>
      <c r="Z344" s="4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4" t="e">
        <f>VLOOKUP(A344,'SegEnds_NonXtal_Prot#'!A:AL,10,FALSE)-VLOOKUP(A344,'SegEnds_NonXtal_Prot#'!A:AL,7,FALSE)</f>
        <v>#VALUE!</v>
      </c>
      <c r="AD344" s="4" t="e">
        <f>VLOOKUP(A344,'SegEnds_NonXtal_Prot#'!A:AL,13,FALSE)-VLOOKUP(A344,'SegEnds_NonXtal_Prot#'!A:AL,10,FALSE)</f>
        <v>#VALUE!</v>
      </c>
      <c r="AE344" s="4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4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47</v>
      </c>
      <c r="AI344" s="4">
        <f>VLOOKUP(A344,'SegEnds_NonXtal_Prot#'!A:AL,31,FALSE)-VLOOKUP(A344,'SegEnds_NonXtal_Prot#'!A:AL,28,FALSE)</f>
        <v>50</v>
      </c>
      <c r="AJ344" s="4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1194</v>
      </c>
      <c r="B345" s="1" t="str">
        <f>VLOOKUP(A345,Xtal_Templ!A:B,2,FALSE)</f>
        <v>pth1r_human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37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v>50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33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51</v>
      </c>
      <c r="AI345" s="1">
        <f>VLOOKUP(A345,'SegEnds_NonXtal_Prot#'!A:AL,31,FALSE)-VLOOKUP(A345,'SegEnds_NonXtal_Prot#'!A:AL,28,FALSE)</f>
        <v>54</v>
      </c>
      <c r="AJ345" s="1">
        <f>VLOOKUP(A345,'SegEnds_NonXtal_Prot#'!A:AL,34,FALSE)-VLOOKUP(A345,'SegEnds_NonXtal_Prot#'!A:AL,31,FALSE)</f>
        <v>26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1413</v>
      </c>
      <c r="B346" s="1" t="str">
        <f>VLOOKUP(A346,Xtal_Templ!A:B,2,FALSE)</f>
        <v>crfr2_human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41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29</v>
      </c>
      <c r="AC346" s="1">
        <f>VLOOKUP(A346,'SegEnds_NonXtal_Prot#'!A:AL,10,FALSE)-VLOOKUP(A346,'SegEnds_NonXtal_Prot#'!A:AL,7,FALSE)</f>
        <v>16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53</v>
      </c>
      <c r="AI346" s="1">
        <f>VLOOKUP(A346,'SegEnds_NonXtal_Prot#'!A:AL,31,FALSE)-VLOOKUP(A346,'SegEnds_NonXtal_Prot#'!A:AL,28,FALSE)</f>
        <v>51</v>
      </c>
      <c r="AJ346" s="1">
        <f>VLOOKUP(A346,'SegEnds_NonXtal_Prot#'!A:AL,34,FALSE)-VLOOKUP(A346,'SegEnds_NonXtal_Prot#'!A:AL,31,FALSE)</f>
        <v>28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4" t="s">
        <v>1193</v>
      </c>
      <c r="B347" s="4" t="str">
        <f>VLOOKUP(A347,Xtal_Templ!A:B,2,FALSE)</f>
        <v>pacr_human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54</v>
      </c>
      <c r="W347" s="4">
        <v>31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29</v>
      </c>
      <c r="AC347" s="4" t="e">
        <f>VLOOKUP(A347,'SegEnds_NonXtal_Prot#'!A:AL,10,FALSE)-VLOOKUP(A347,'SegEnds_NonXtal_Prot#'!A:AL,7,FALSE)</f>
        <v>#VALUE!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54</v>
      </c>
      <c r="AI347" s="4">
        <f>VLOOKUP(A347,'SegEnds_NonXtal_Prot#'!A:AL,31,FALSE)-VLOOKUP(A347,'SegEnds_NonXtal_Prot#'!A:AL,28,FALSE)</f>
        <v>51</v>
      </c>
      <c r="AJ347" s="4">
        <f>VLOOKUP(A347,'SegEnds_NonXtal_Prot#'!A:AL,34,FALSE)-VLOOKUP(A347,'SegEnds_NonXtal_Prot#'!A:AL,31,FALSE)</f>
        <v>28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x14ac:dyDescent="0.2">
      <c r="A348" s="1" t="s">
        <v>442</v>
      </c>
      <c r="B348" s="1" t="str">
        <f>VLOOKUP(A348,Xtal_Templ!A:B,2,FALSE)</f>
        <v>crfr1_human</v>
      </c>
      <c r="C348" s="5">
        <v>23</v>
      </c>
      <c r="D348" s="1">
        <f>VLOOKUP($B348&amp;"__wt",'SegEnds_Xtal_BW#'!$A:$Z,4,FALSE)</f>
        <v>60</v>
      </c>
      <c r="E348" s="1">
        <f>VLOOKUP($B348&amp;"__wt",'SegEnds_Xtal_BW#'!$A:$Z,5,FALSE)</f>
        <v>48</v>
      </c>
      <c r="F348" s="1">
        <f>VLOOKUP($B348&amp;"__wt",'SegEnds_Xtal_BW#'!$A:$Z,6,FALSE)</f>
        <v>51</v>
      </c>
      <c r="G348" s="1">
        <v>37</v>
      </c>
      <c r="H348" s="12">
        <v>63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v>23</v>
      </c>
      <c r="L348" s="1">
        <f>VLOOKUP($B348&amp;"__wt",'SegEnds_Xtal_BW#'!$A:$Z,12,FALSE)</f>
        <v>56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7">
        <f>VLOOKUP($B348&amp;"__wt",'SegEnds_Xtal_BW#'!$A:$Z,15,FALSE)</f>
        <v>40</v>
      </c>
      <c r="P348" s="1">
        <f>VLOOKUP($B348&amp;"__wt",'SegEnds_Xtal_BW#'!$A:$Z,16,FALSE)</f>
        <v>68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v>36</v>
      </c>
      <c r="T348" s="1">
        <v>69</v>
      </c>
      <c r="U348" s="1">
        <v>29</v>
      </c>
      <c r="V348" s="1">
        <f>VLOOKUP($B348&amp;"__wt",'SegEnds_Xtal_BW#'!$A:$Z,22,FALSE)</f>
        <v>53</v>
      </c>
      <c r="W348" s="1">
        <v>31</v>
      </c>
      <c r="X348" s="1">
        <f>VLOOKUP($B348&amp;"__wt",'SegEnds_Xtal_BW#'!$A:$Z,24,FALSE)</f>
        <v>56</v>
      </c>
      <c r="Y348" s="1">
        <f>VLOOKUP($B348&amp;"__wt",'SegEnds_Xtal_BW#'!$A:$Z,25,FALSE)</f>
        <v>47</v>
      </c>
      <c r="Z348" s="1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26</v>
      </c>
      <c r="AC348" s="1" t="e">
        <f>VLOOKUP(A348,'SegEnds_NonXtal_Prot#'!A:AL,10,FALSE)-VLOOKUP(A348,'SegEnds_NonXtal_Prot#'!A:AL,7,FALSE)</f>
        <v>#VALUE!</v>
      </c>
      <c r="AD348" s="1" t="e">
        <f>VLOOKUP(A348,'SegEnds_NonXtal_Prot#'!A:AL,13,FALSE)-VLOOKUP(A348,'SegEnds_NonXtal_Prot#'!A:AL,10,FALSE)</f>
        <v>#VALUE!</v>
      </c>
      <c r="AE348" s="1">
        <f>VLOOKUP(A348,'SegEnds_NonXtal_Prot#'!A:AL,16,FALSE)-VLOOKUP(A348,'SegEnds_NonXtal_Prot#'!A:AL,10,FALSE)</f>
        <v>47</v>
      </c>
      <c r="AF348" s="1" t="e">
        <f>VLOOKUP(A348,'SegEnds_NonXtal_Prot#'!A:AL,22,FALSE)-VLOOKUP(A348,'SegEnds_NonXtal_Prot#'!A:AL,19,FALSE)</f>
        <v>#VALUE!</v>
      </c>
      <c r="AG348" s="1">
        <f>VLOOKUP(A348,'SegEnds_NonXtal_Prot#'!A:AL,28,FALSE)-VLOOKUP(A348,'SegEnds_NonXtal_Prot#'!A:AL,25,FALSE)</f>
        <v>20</v>
      </c>
      <c r="AH348" s="1">
        <f>VLOOKUP(A348,'SegEnds_NonXtal_Prot#'!A:AL,28,FALSE)-VLOOKUP(A348,'SegEnds_NonXtal_Prot#'!A:AL,22,FALSE)</f>
        <v>54</v>
      </c>
      <c r="AI348" s="1">
        <f>VLOOKUP(A348,'SegEnds_NonXtal_Prot#'!A:AL,31,FALSE)-VLOOKUP(A348,'SegEnds_NonXtal_Prot#'!A:AL,28,FALSE)</f>
        <v>49</v>
      </c>
      <c r="AJ348" s="1">
        <f>VLOOKUP(A348,'SegEnds_NonXtal_Prot#'!A:AL,34,FALSE)-VLOOKUP(A348,'SegEnds_NonXtal_Prot#'!A:AL,31,FALSE)</f>
        <v>28</v>
      </c>
      <c r="AK348" s="1">
        <f>VLOOKUP(A348,'SegEnds_NonXtal_Prot#'!A:AL,37,FALSE)-VLOOKUP(A348,'SegEnds_NonXtal_Prot#'!A:AL,34,FALSE)</f>
        <v>10</v>
      </c>
      <c r="AL348" s="1" t="str">
        <f>IF(ISERROR(MATCH(A348,'SegEnds_Xtal_Prot#'!B:B, 0)), "NoXtal", "Xtal")</f>
        <v>NoXtal</v>
      </c>
    </row>
    <row r="349" spans="1:38" x14ac:dyDescent="0.2">
      <c r="A349" s="4" t="s">
        <v>1192</v>
      </c>
      <c r="B349" s="4" t="str">
        <f>VLOOKUP(A349,Xtal_Templ!A:B,2,FALSE)</f>
        <v>glr_human</v>
      </c>
      <c r="C349" s="5">
        <v>23</v>
      </c>
      <c r="D349" s="4">
        <f>VLOOKUP($B349&amp;"__wt",'SegEnds_Xtal_BW#'!$A:$Z,4,FALSE)</f>
        <v>60</v>
      </c>
      <c r="E349" s="4">
        <f>VLOOKUP($B349&amp;"__wt",'SegEnds_Xtal_BW#'!$A:$Z,5,FALSE)</f>
        <v>48</v>
      </c>
      <c r="F349" s="4">
        <f>VLOOKUP($B349&amp;"__wt",'SegEnds_Xtal_BW#'!$A:$Z,6,FALSE)</f>
        <v>51</v>
      </c>
      <c r="G349" s="4">
        <v>37</v>
      </c>
      <c r="H349" s="11">
        <v>63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v>23</v>
      </c>
      <c r="L349" s="4">
        <f>VLOOKUP($B349&amp;"__wt",'SegEnds_Xtal_BW#'!$A:$Z,12,FALSE)</f>
        <v>56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40</v>
      </c>
      <c r="P349" s="4">
        <f>VLOOKUP($B349&amp;"__wt",'SegEnds_Xtal_BW#'!$A:$Z,16,FALSE)</f>
        <v>68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v>36</v>
      </c>
      <c r="T349" s="4">
        <v>69</v>
      </c>
      <c r="U349" s="4">
        <v>29</v>
      </c>
      <c r="V349" s="4">
        <f>VLOOKUP($B349&amp;"__wt",'SegEnds_Xtal_BW#'!$A:$Z,22,FALSE)</f>
        <v>53</v>
      </c>
      <c r="W349" s="115">
        <v>28</v>
      </c>
      <c r="X349" s="4">
        <f>VLOOKUP($B349&amp;"__wt",'SegEnds_Xtal_BW#'!$A:$Z,24,FALSE)</f>
        <v>56</v>
      </c>
      <c r="Y349" s="4">
        <f>VLOOKUP($B349&amp;"__wt",'SegEnds_Xtal_BW#'!$A:$Z,25,FALSE)</f>
        <v>47</v>
      </c>
      <c r="Z349" s="4">
        <v>63</v>
      </c>
      <c r="AA349" s="27" t="str">
        <f>VLOOKUP(A349,Classification!A:B,2,FALSE)</f>
        <v>B2</v>
      </c>
      <c r="AB349" s="1">
        <f>VLOOKUP(A349,'SegEnds_NonXtal_Prot#'!A:AL,10,FALSE)-VLOOKUP(A349,'SegEnds_NonXtal_Prot#'!A:AL,4,FALSE)</f>
        <v>35</v>
      </c>
      <c r="AC349" s="4">
        <f>VLOOKUP(A349,'SegEnds_NonXtal_Prot#'!A:AL,10,FALSE)-VLOOKUP(A349,'SegEnds_NonXtal_Prot#'!A:AL,7,FALSE)</f>
        <v>21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47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19</v>
      </c>
      <c r="AH349" s="1">
        <f>VLOOKUP(A349,'SegEnds_NonXtal_Prot#'!A:AL,28,FALSE)-VLOOKUP(A349,'SegEnds_NonXtal_Prot#'!A:AL,22,FALSE)</f>
        <v>57</v>
      </c>
      <c r="AI349" s="4">
        <f>VLOOKUP(A349,'SegEnds_NonXtal_Prot#'!A:AL,31,FALSE)-VLOOKUP(A349,'SegEnds_NonXtal_Prot#'!A:AL,28,FALSE)</f>
        <v>44</v>
      </c>
      <c r="AJ349" s="4">
        <f>VLOOKUP(A349,'SegEnds_NonXtal_Prot#'!A:AL,34,FALSE)-VLOOKUP(A349,'SegEnds_NonXtal_Prot#'!A:AL,31,FALSE)</f>
        <v>30</v>
      </c>
      <c r="AK349" s="1">
        <f>VLOOKUP(A349,'SegEnds_NonXtal_Prot#'!A:AL,37,FALSE)-VLOOKUP(A349,'SegEnds_NonXtal_Prot#'!A:AL,34,FALSE)</f>
        <v>10</v>
      </c>
      <c r="AL349" s="1" t="str">
        <f>IF(ISERROR(MATCH(A349,'SegEnds_Xtal_Prot#'!B:B, 0)), "NoXtal", "Xtal")</f>
        <v>NoXtal</v>
      </c>
    </row>
    <row r="350" spans="1:38" x14ac:dyDescent="0.2">
      <c r="A350" s="1" t="s">
        <v>1196</v>
      </c>
      <c r="B350" s="1" t="str">
        <f>VLOOKUP(A350,Xtal_Templ!A:B,2,FALSE)</f>
        <v>pth1r_human</v>
      </c>
      <c r="C350" s="5">
        <v>23</v>
      </c>
      <c r="D350" s="1">
        <f>VLOOKUP($B350&amp;"__wt",'SegEnds_Xtal_BW#'!$A:$Z,4,FALSE)</f>
        <v>60</v>
      </c>
      <c r="E350" s="1">
        <f>VLOOKUP($B350&amp;"__wt",'SegEnds_Xtal_BW#'!$A:$Z,5,FALSE)</f>
        <v>48</v>
      </c>
      <c r="F350" s="1">
        <f>VLOOKUP($B350&amp;"__wt",'SegEnds_Xtal_BW#'!$A:$Z,6,FALSE)</f>
        <v>51</v>
      </c>
      <c r="G350" s="1">
        <v>37</v>
      </c>
      <c r="H350" s="12">
        <v>63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v>23</v>
      </c>
      <c r="L350" s="1">
        <f>VLOOKUP($B350&amp;"__wt",'SegEnds_Xtal_BW#'!$A:$Z,12,FALSE)</f>
        <v>56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37</v>
      </c>
      <c r="P350" s="1">
        <f>VLOOKUP($B350&amp;"__wt",'SegEnds_Xtal_BW#'!$A:$Z,16,FALSE)</f>
        <v>68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v>36</v>
      </c>
      <c r="T350" s="1">
        <v>69</v>
      </c>
      <c r="U350" s="1">
        <v>29</v>
      </c>
      <c r="V350" s="1">
        <f>VLOOKUP($B350&amp;"__wt",'SegEnds_Xtal_BW#'!$A:$Z,22,FALSE)</f>
        <v>54</v>
      </c>
      <c r="W350" s="1">
        <v>31</v>
      </c>
      <c r="X350" s="1">
        <f>VLOOKUP($B350&amp;"__wt",'SegEnds_Xtal_BW#'!$A:$Z,24,FALSE)</f>
        <v>56</v>
      </c>
      <c r="Y350" s="1">
        <f>VLOOKUP($B350&amp;"__wt",'SegEnds_Xtal_BW#'!$A:$Z,25,FALSE)</f>
        <v>47</v>
      </c>
      <c r="Z350" s="1">
        <v>63</v>
      </c>
      <c r="AA350" s="27" t="str">
        <f>VLOOKUP(A350,Classification!A:B,2,FALSE)</f>
        <v>B2</v>
      </c>
      <c r="AB350" s="1">
        <f>VLOOKUP(A350,'SegEnds_NonXtal_Prot#'!A:AL,10,FALSE)-VLOOKUP(A350,'SegEnds_NonXtal_Prot#'!A:AL,4,FALSE)</f>
        <v>28</v>
      </c>
      <c r="AC350" s="1" t="e">
        <f>VLOOKUP(A350,'SegEnds_NonXtal_Prot#'!A:AL,10,FALSE)-VLOOKUP(A350,'SegEnds_NonXtal_Prot#'!A:AL,7,FALSE)</f>
        <v>#VALUE!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48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19</v>
      </c>
      <c r="AH350" s="1">
        <f>VLOOKUP(A350,'SegEnds_NonXtal_Prot#'!A:AL,28,FALSE)-VLOOKUP(A350,'SegEnds_NonXtal_Prot#'!A:AL,22,FALSE)</f>
        <v>60</v>
      </c>
      <c r="AI350" s="1">
        <f>VLOOKUP(A350,'SegEnds_NonXtal_Prot#'!A:AL,31,FALSE)-VLOOKUP(A350,'SegEnds_NonXtal_Prot#'!A:AL,28,FALSE)</f>
        <v>49</v>
      </c>
      <c r="AJ350" s="1">
        <f>VLOOKUP(A350,'SegEnds_NonXtal_Prot#'!A:AL,34,FALSE)-VLOOKUP(A350,'SegEnds_NonXtal_Prot#'!A:AL,31,FALSE)</f>
        <v>28</v>
      </c>
      <c r="AK350" s="1">
        <f>VLOOKUP(A350,'SegEnds_NonXtal_Prot#'!A:AL,37,FALSE)-VLOOKUP(A350,'SegEnds_NonXtal_Prot#'!A:AL,34,FALSE)</f>
        <v>10</v>
      </c>
      <c r="AL350" s="1" t="str">
        <f>IF(ISERROR(MATCH(A350,'SegEnds_Xtal_Prot#'!B:B, 0)), "NoXtal", "Xtal")</f>
        <v>NoXtal</v>
      </c>
    </row>
    <row r="351" spans="1:38" x14ac:dyDescent="0.2">
      <c r="A351" s="1" t="s">
        <v>1197</v>
      </c>
      <c r="B351" s="1" t="str">
        <f>VLOOKUP(A351,Xtal_Templ!A:B,2,FALSE)</f>
        <v>pth1r_human</v>
      </c>
      <c r="C351" s="5">
        <v>23</v>
      </c>
      <c r="D351" s="1">
        <f>VLOOKUP($B351&amp;"__wt",'SegEnds_Xtal_BW#'!$A:$Z,4,FALSE)</f>
        <v>60</v>
      </c>
      <c r="E351" s="1">
        <f>VLOOKUP($B351&amp;"__wt",'SegEnds_Xtal_BW#'!$A:$Z,5,FALSE)</f>
        <v>48</v>
      </c>
      <c r="F351" s="1">
        <f>VLOOKUP($B351&amp;"__wt",'SegEnds_Xtal_BW#'!$A:$Z,6,FALSE)</f>
        <v>51</v>
      </c>
      <c r="G351" s="1">
        <v>37</v>
      </c>
      <c r="H351" s="12">
        <v>65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v>18</v>
      </c>
      <c r="L351" s="1">
        <f>VLOOKUP($B351&amp;"__wt",'SegEnds_Xtal_BW#'!$A:$Z,12,FALSE)</f>
        <v>56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37</v>
      </c>
      <c r="P351" s="1">
        <f>VLOOKUP($B351&amp;"__wt",'SegEnds_Xtal_BW#'!$A:$Z,16,FALSE)</f>
        <v>68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v>36</v>
      </c>
      <c r="T351" s="1">
        <v>69</v>
      </c>
      <c r="U351" s="1">
        <v>29</v>
      </c>
      <c r="V351" s="1">
        <f>VLOOKUP($B351&amp;"__wt",'SegEnds_Xtal_BW#'!$A:$Z,22,FALSE)</f>
        <v>54</v>
      </c>
      <c r="W351" s="1">
        <v>29</v>
      </c>
      <c r="X351" s="1">
        <f>VLOOKUP($B351&amp;"__wt",'SegEnds_Xtal_BW#'!$A:$Z,24,FALSE)</f>
        <v>56</v>
      </c>
      <c r="Y351" s="1">
        <f>VLOOKUP($B351&amp;"__wt",'SegEnds_Xtal_BW#'!$A:$Z,25,FALSE)</f>
        <v>47</v>
      </c>
      <c r="Z351" s="1">
        <v>63</v>
      </c>
      <c r="AA351" s="27" t="str">
        <f>VLOOKUP(A351,Classification!A:B,2,FALSE)</f>
        <v>B2</v>
      </c>
      <c r="AB351" s="1">
        <f>VLOOKUP(A351,'SegEnds_NonXtal_Prot#'!A:AL,10,FALSE)-VLOOKUP(A351,'SegEnds_NonXtal_Prot#'!A:AL,4,FALSE)</f>
        <v>29</v>
      </c>
      <c r="AC351" s="1" t="e">
        <f>VLOOKUP(A351,'SegEnds_NonXtal_Prot#'!A:AL,10,FALSE)-VLOOKUP(A351,'SegEnds_NonXtal_Prot#'!A:AL,7,FALSE)</f>
        <v>#VALUE!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73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26</v>
      </c>
      <c r="AH351" s="1">
        <f>VLOOKUP(A351,'SegEnds_NonXtal_Prot#'!A:AL,28,FALSE)-VLOOKUP(A351,'SegEnds_NonXtal_Prot#'!A:AL,22,FALSE)</f>
        <v>60</v>
      </c>
      <c r="AI351" s="1">
        <f>VLOOKUP(A351,'SegEnds_NonXtal_Prot#'!A:AL,31,FALSE)-VLOOKUP(A351,'SegEnds_NonXtal_Prot#'!A:AL,28,FALSE)</f>
        <v>51</v>
      </c>
      <c r="AJ351" s="1">
        <f>VLOOKUP(A351,'SegEnds_NonXtal_Prot#'!A:AL,34,FALSE)-VLOOKUP(A351,'SegEnds_NonXtal_Prot#'!A:AL,31,FALSE)</f>
        <v>31</v>
      </c>
      <c r="AK351" s="1">
        <f>VLOOKUP(A351,'SegEnds_NonXtal_Prot#'!A:AL,37,FALSE)-VLOOKUP(A351,'SegEnds_NonXtal_Prot#'!A:AL,34,FALSE)</f>
        <v>10</v>
      </c>
      <c r="AL351" s="1" t="str">
        <f>IF(ISERROR(MATCH(A351,'SegEnds_Xtal_Prot#'!B:B, 0)), "NoXtal", "Xtal")</f>
        <v>NoXtal</v>
      </c>
    </row>
    <row r="352" spans="1:38" s="42" customFormat="1" x14ac:dyDescent="0.2">
      <c r="A352" s="42" t="s">
        <v>111</v>
      </c>
      <c r="B352" s="42" t="str">
        <f>VLOOKUP(A352,Xtal_Templ!A:B,2,FALSE)</f>
        <v>grm1_human</v>
      </c>
      <c r="C352" s="43">
        <f>VLOOKUP($B352&amp;"__wt",'SegEnds_Xtal_BW#'!$A:$Z,3,FALSE)</f>
        <v>34</v>
      </c>
      <c r="D352" s="42">
        <f>VLOOKUP($B352&amp;"__wt",'SegEnds_Xtal_BW#'!$A:$Z,4,FALSE)</f>
        <v>60</v>
      </c>
      <c r="E352" s="42">
        <f>VLOOKUP($B352&amp;"__wt",'SegEnds_Xtal_BW#'!$A:$Z,5,FALSE)</f>
        <v>47</v>
      </c>
      <c r="F352" s="42">
        <f>VLOOKUP($B352&amp;"__wt",'SegEnds_Xtal_BW#'!$A:$Z,6,FALSE)</f>
        <v>53</v>
      </c>
      <c r="G352" s="42">
        <v>39</v>
      </c>
      <c r="H352" s="101">
        <f>VLOOKUP($B352&amp;"__wt",'SegEnds_Xtal_BW#'!$A:$Z,8,FALSE)</f>
        <v>61</v>
      </c>
      <c r="I352" s="42" t="str">
        <f>VLOOKUP($B352&amp;"__wt",'SegEnds_Xtal_BW#'!$A:$Z,9,FALSE)</f>
        <v>-</v>
      </c>
      <c r="J352" s="42" t="str">
        <f>VLOOKUP($B352&amp;"__wt",'SegEnds_Xtal_BW#'!$A:$Z,10,FALSE)</f>
        <v>-</v>
      </c>
      <c r="K352" s="101">
        <f>VLOOKUP($B352&amp;"__wt",'SegEnds_Xtal_BW#'!$A:$Z,11,FALSE)</f>
        <v>22</v>
      </c>
      <c r="L352" s="42">
        <f>VLOOKUP($B352&amp;"__wt",'SegEnds_Xtal_BW#'!$A:$Z,12,FALSE)</f>
        <v>54</v>
      </c>
      <c r="M352" s="42" t="str">
        <f>VLOOKUP($B352&amp;"__wt",'SegEnds_Xtal_BW#'!$A:$Z,13,FALSE)</f>
        <v>-</v>
      </c>
      <c r="N352" s="101" t="str">
        <f>VLOOKUP($B352&amp;"__wt",'SegEnds_Xtal_BW#'!$A:$Z,14,FALSE)</f>
        <v>-</v>
      </c>
      <c r="O352" s="89">
        <f>VLOOKUP($B352&amp;"__wt",'SegEnds_Xtal_BW#'!$A:$Z,15,FALSE)</f>
        <v>38</v>
      </c>
      <c r="P352" s="42">
        <f>VLOOKUP($B352&amp;"__wt",'SegEnds_Xtal_BW#'!$A:$Z,16,FALSE)</f>
        <v>64</v>
      </c>
      <c r="Q352" s="42">
        <f>VLOOKUP($B352&amp;"__wt",'SegEnds_Xtal_BW#'!$A:$Z,17,FALSE)</f>
        <v>50</v>
      </c>
      <c r="R352" s="42">
        <f>VLOOKUP($B352&amp;"__wt",'SegEnds_Xtal_BW#'!$A:$Z,18,FALSE)</f>
        <v>52</v>
      </c>
      <c r="S352" s="42">
        <f>VLOOKUP($B352&amp;"__wt",'SegEnds_Xtal_BW#'!$A:$Z,19,FALSE)</f>
        <v>36</v>
      </c>
      <c r="T352" s="42">
        <f>VLOOKUP($B352&amp;"__wt",'SegEnds_Xtal_BW#'!$A:$Z,20,FALSE)</f>
        <v>61</v>
      </c>
      <c r="U352" s="42">
        <f>VLOOKUP($B352&amp;"__wt",'SegEnds_Xtal_BW#'!$A:$Z,21,FALSE)</f>
        <v>33</v>
      </c>
      <c r="V352" s="42">
        <f>VLOOKUP($B352&amp;"__wt",'SegEnds_Xtal_BW#'!$A:$Z,22,FALSE)</f>
        <v>57</v>
      </c>
      <c r="W352" s="42">
        <f>VLOOKUP($B352&amp;"__wt",'SegEnds_Xtal_BW#'!$A:$Z,23,FALSE)</f>
        <v>33</v>
      </c>
      <c r="X352" s="42">
        <f>VLOOKUP($B352&amp;"__wt",'SegEnds_Xtal_BW#'!$A:$Z,24,FALSE)</f>
        <v>64</v>
      </c>
      <c r="Y352" s="42">
        <f>VLOOKUP($B352&amp;"__wt",'SegEnds_Xtal_BW#'!$A:$Z,25,FALSE)</f>
        <v>46</v>
      </c>
      <c r="Z352" s="42">
        <f>VLOOKUP($B352&amp;"__wt",'SegEnds_Xtal_BW#'!$A:$Z,26,FALSE)</f>
        <v>57</v>
      </c>
      <c r="AA352" s="44" t="str">
        <f>VLOOKUP(A352,Classification!A:B,2,FALSE)</f>
        <v>C</v>
      </c>
      <c r="AB352" s="1">
        <f>VLOOKUP(A352,'SegEnds_NonXtal_Prot#'!A:AL,10,FALSE)-VLOOKUP(A352,'SegEnds_NonXtal_Prot#'!A:AL,4,FALSE)</f>
        <v>33</v>
      </c>
      <c r="AC352" s="42">
        <f>VLOOKUP(A352,'SegEnds_NonXtal_Prot#'!A:AL,10,FALSE)-VLOOKUP(A352,'SegEnds_NonXtal_Prot#'!A:AL,7,FALSE)</f>
        <v>19</v>
      </c>
      <c r="AD352" s="42" t="e">
        <f>VLOOKUP(A352,'SegEnds_NonXtal_Prot#'!A:AL,13,FALSE)-VLOOKUP(A352,'SegEnds_NonXtal_Prot#'!A:AL,10,FALSE)</f>
        <v>#VALUE!</v>
      </c>
      <c r="AE352" s="42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2">
        <f>VLOOKUP(A352,'SegEnds_NonXtal_Prot#'!A:AL,28,FALSE)-VLOOKUP(A352,'SegEnds_NonXtal_Prot#'!A:AL,25,FALSE)</f>
        <v>17</v>
      </c>
      <c r="AH352" s="1">
        <f>VLOOKUP(A352,'SegEnds_NonXtal_Prot#'!A:AL,28,FALSE)-VLOOKUP(A352,'SegEnds_NonXtal_Prot#'!A:AL,22,FALSE)</f>
        <v>40</v>
      </c>
      <c r="AI352" s="42">
        <f>VLOOKUP(A352,'SegEnds_NonXtal_Prot#'!A:AL,31,FALSE)-VLOOKUP(A352,'SegEnds_NonXtal_Prot#'!A:AL,28,FALSE)</f>
        <v>39</v>
      </c>
      <c r="AJ352" s="42">
        <f>VLOOKUP(A352,'SegEnds_NonXtal_Prot#'!A:AL,34,FALSE)-VLOOKUP(A352,'SegEnds_NonXtal_Prot#'!A:AL,31,FALSE)</f>
        <v>35</v>
      </c>
      <c r="AK352" s="1">
        <f>VLOOKUP(A352,'SegEnds_NonXtal_Prot#'!A:AL,37,FALSE)-VLOOKUP(A352,'SegEnds_NonXtal_Prot#'!A:AL,34,FALSE)</f>
        <v>20</v>
      </c>
      <c r="AL352" s="1" t="str">
        <f>IF(ISERROR(MATCH(A352,'SegEnds_Xtal_Prot#'!B:B, 0)), "NoXtal", "Xtal")</f>
        <v>NoXtal</v>
      </c>
    </row>
    <row r="353" spans="1:38" x14ac:dyDescent="0.2">
      <c r="A353" s="4" t="s">
        <v>113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88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36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33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33</v>
      </c>
      <c r="AC353" s="4">
        <f>VLOOKUP(A353,'SegEnds_NonXtal_Prot#'!A:AL,10,FALSE)-VLOOKUP(A353,'SegEnds_NonXtal_Prot#'!A:AL,7,FALSE)</f>
        <v>19</v>
      </c>
      <c r="AD353" s="4" t="e">
        <f>VLOOKUP(A353,'SegEnds_NonXtal_Prot#'!A:AL,13,FALSE)-VLOOKUP(A353,'SegEnds_NonXtal_Prot#'!A:AL,10,FALSE)</f>
        <v>#VALUE!</v>
      </c>
      <c r="AE353" s="4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">
        <f>VLOOKUP(A353,'SegEnds_NonXtal_Prot#'!A:AL,28,FALSE)-VLOOKUP(A353,'SegEnds_NonXtal_Prot#'!A:AL,25,FALSE)</f>
        <v>16</v>
      </c>
      <c r="AH353" s="1">
        <f>VLOOKUP(A353,'SegEnds_NonXtal_Prot#'!A:AL,28,FALSE)-VLOOKUP(A353,'SegEnds_NonXtal_Prot#'!A:AL,22,FALSE)</f>
        <v>43</v>
      </c>
      <c r="AI353" s="4">
        <f>VLOOKUP(A353,'SegEnds_NonXtal_Prot#'!A:AL,31,FALSE)-VLOOKUP(A353,'SegEnds_NonXtal_Prot#'!A:AL,28,FALSE)</f>
        <v>39</v>
      </c>
      <c r="AJ353" s="4">
        <f>VLOOKUP(A353,'SegEnds_NonXtal_Prot#'!A:AL,34,FALSE)-VLOOKUP(A353,'SegEnds_NonXtal_Prot#'!A:AL,31,FALSE)</f>
        <v>35</v>
      </c>
      <c r="AK353" s="1">
        <f>VLOOKUP(A353,'SegEnds_NonXtal_Prot#'!A:AL,37,FALSE)-VLOOKUP(A353,'SegEnds_NonXtal_Prot#'!A:AL,34,FALSE)</f>
        <v>21</v>
      </c>
      <c r="AL353" s="1" t="str">
        <f>IF(ISERROR(MATCH(A353,'SegEnds_Xtal_Prot#'!B:B, 0)), "NoXtal", "Xtal")</f>
        <v>NoXtal</v>
      </c>
    </row>
    <row r="354" spans="1:38" x14ac:dyDescent="0.2">
      <c r="A354" s="1" t="s">
        <v>121</v>
      </c>
      <c r="B354" s="1" t="str">
        <f>VLOOKUP(A354,Xtal_Templ!A:B,2,FALSE)</f>
        <v>grm1_human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33</v>
      </c>
      <c r="AC354" s="1">
        <f>VLOOKUP(A354,'SegEnds_NonXtal_Prot#'!A:AL,10,FALSE)-VLOOKUP(A354,'SegEnds_NonXtal_Prot#'!A:AL,7,FALSE)</f>
        <v>19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 t="e">
        <f>VLOOKUP(A354,'SegEnds_NonXtal_Prot#'!A:AL,28,FALSE)-VLOOKUP(A354,'SegEnds_NonXtal_Prot#'!A:AL,25,FALSE)</f>
        <v>#VALUE!</v>
      </c>
      <c r="AH354" s="1">
        <f>VLOOKUP(A354,'SegEnds_NonXtal_Prot#'!A:AL,28,FALSE)-VLOOKUP(A354,'SegEnds_NonXtal_Prot#'!A:AL,22,FALSE)</f>
        <v>45</v>
      </c>
      <c r="AI354" s="1">
        <f>VLOOKUP(A354,'SegEnds_NonXtal_Prot#'!A:AL,31,FALSE)-VLOOKUP(A354,'SegEnds_NonXtal_Prot#'!A:AL,28,FALSE)</f>
        <v>39</v>
      </c>
      <c r="AJ354" s="1">
        <f>VLOOKUP(A354,'SegEnds_NonXtal_Prot#'!A:AL,34,FALSE)-VLOOKUP(A354,'SegEnds_NonXtal_Prot#'!A:AL,31,FALSE)</f>
        <v>31</v>
      </c>
      <c r="AK354" s="1">
        <f>VLOOKUP(A354,'SegEnds_NonXtal_Prot#'!A:AL,37,FALSE)-VLOOKUP(A354,'SegEnds_NonXtal_Prot#'!A:AL,34,FALSE)</f>
        <v>21</v>
      </c>
      <c r="AL354" s="1" t="str">
        <f>IF(ISERROR(MATCH(A354,'SegEnds_Xtal_Prot#'!B:B, 0)), "NoXtal", "Xtal")</f>
        <v>NoXtal</v>
      </c>
    </row>
    <row r="355" spans="1:38" x14ac:dyDescent="0.2">
      <c r="A355" s="4" t="s">
        <v>40</v>
      </c>
      <c r="B355" s="4" t="str">
        <f>VLOOKUP(A355,Xtal_Templ!A:B,2,FALSE)</f>
        <v>grm1_human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22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88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36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33</v>
      </c>
      <c r="X355" s="4">
        <f>VLOOKUP($B355&amp;"__wt",'SegEnds_Xtal_BW#'!$A:$Z,24,FALSE)</f>
        <v>64</v>
      </c>
      <c r="Y355" s="4">
        <f>VLOOKUP($B355&amp;"__wt",'SegEnds_Xtal_BW#'!$A:$Z,25,FALSE)</f>
        <v>46</v>
      </c>
      <c r="Z355" s="4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4">
        <f>VLOOKUP(A355,'SegEnds_NonXtal_Prot#'!A:AL,10,FALSE)-VLOOKUP(A355,'SegEnds_NonXtal_Prot#'!A:AL,7,FALSE)</f>
        <v>15</v>
      </c>
      <c r="AD355" s="4" t="e">
        <f>VLOOKUP(A355,'SegEnds_NonXtal_Prot#'!A:AL,13,FALSE)-VLOOKUP(A355,'SegEnds_NonXtal_Prot#'!A:AL,10,FALSE)</f>
        <v>#VALUE!</v>
      </c>
      <c r="AE355" s="4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4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49</v>
      </c>
      <c r="AI355" s="4">
        <f>VLOOKUP(A355,'SegEnds_NonXtal_Prot#'!A:AL,31,FALSE)-VLOOKUP(A355,'SegEnds_NonXtal_Prot#'!A:AL,28,FALSE)</f>
        <v>37</v>
      </c>
      <c r="AJ355" s="4">
        <f>VLOOKUP(A355,'SegEnds_NonXtal_Prot#'!A:AL,34,FALSE)-VLOOKUP(A355,'SegEnds_NonXtal_Prot#'!A:AL,31,FALSE)</f>
        <v>27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Xtal</v>
      </c>
    </row>
    <row r="356" spans="1:38" x14ac:dyDescent="0.2">
      <c r="A356" s="1" t="s">
        <v>41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21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49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27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Xtal</v>
      </c>
    </row>
    <row r="357" spans="1:38" x14ac:dyDescent="0.2">
      <c r="A357" s="4" t="s">
        <v>114</v>
      </c>
      <c r="B357" s="4" t="str">
        <f>VLOOKUP(A357,Xtal_Templ!A:B,2,FALSE)</f>
        <v>grm1_human</v>
      </c>
      <c r="C357" s="5">
        <f>VLOOKUP($B357&amp;"__wt",'SegEnds_Xtal_BW#'!$A:$Z,3,FALSE)</f>
        <v>34</v>
      </c>
      <c r="D357" s="4">
        <f>VLOOKUP($B357&amp;"__wt",'SegEnds_Xtal_BW#'!$A:$Z,4,FALSE)</f>
        <v>60</v>
      </c>
      <c r="E357" s="4">
        <f>VLOOKUP($B357&amp;"__wt",'SegEnds_Xtal_BW#'!$A:$Z,5,FALSE)</f>
        <v>47</v>
      </c>
      <c r="F357" s="4">
        <f>VLOOKUP($B357&amp;"__wt",'SegEnds_Xtal_BW#'!$A:$Z,6,FALSE)</f>
        <v>53</v>
      </c>
      <c r="G357" s="4">
        <v>39</v>
      </c>
      <c r="H357" s="11">
        <f>VLOOKUP($B357&amp;"__wt",'SegEnds_Xtal_BW#'!$A:$Z,8,FALSE)</f>
        <v>61</v>
      </c>
      <c r="I357" s="4" t="str">
        <f>VLOOKUP($B357&amp;"__wt",'SegEnds_Xtal_BW#'!$A:$Z,9,FALSE)</f>
        <v>-</v>
      </c>
      <c r="J357" s="4" t="str">
        <f>VLOOKUP($B357&amp;"__wt",'SegEnds_Xtal_BW#'!$A:$Z,10,FALSE)</f>
        <v>-</v>
      </c>
      <c r="K357" s="11">
        <f>VLOOKUP($B357&amp;"__wt",'SegEnds_Xtal_BW#'!$A:$Z,11,FALSE)</f>
        <v>22</v>
      </c>
      <c r="L357" s="4">
        <f>VLOOKUP($B357&amp;"__wt",'SegEnds_Xtal_BW#'!$A:$Z,12,FALSE)</f>
        <v>54</v>
      </c>
      <c r="M357" s="4" t="str">
        <f>VLOOKUP($B357&amp;"__wt",'SegEnds_Xtal_BW#'!$A:$Z,13,FALSE)</f>
        <v>-</v>
      </c>
      <c r="N357" s="11" t="str">
        <f>VLOOKUP($B357&amp;"__wt",'SegEnds_Xtal_BW#'!$A:$Z,14,FALSE)</f>
        <v>-</v>
      </c>
      <c r="O357" s="88">
        <f>VLOOKUP($B357&amp;"__wt",'SegEnds_Xtal_BW#'!$A:$Z,15,FALSE)</f>
        <v>38</v>
      </c>
      <c r="P357" s="4">
        <f>VLOOKUP($B357&amp;"__wt",'SegEnds_Xtal_BW#'!$A:$Z,16,FALSE)</f>
        <v>64</v>
      </c>
      <c r="Q357" s="4">
        <f>VLOOKUP($B357&amp;"__wt",'SegEnds_Xtal_BW#'!$A:$Z,17,FALSE)</f>
        <v>50</v>
      </c>
      <c r="R357" s="4">
        <f>VLOOKUP($B357&amp;"__wt",'SegEnds_Xtal_BW#'!$A:$Z,18,FALSE)</f>
        <v>52</v>
      </c>
      <c r="S357" s="4">
        <f>VLOOKUP($B357&amp;"__wt",'SegEnds_Xtal_BW#'!$A:$Z,19,FALSE)</f>
        <v>36</v>
      </c>
      <c r="T357" s="4">
        <f>VLOOKUP($B357&amp;"__wt",'SegEnds_Xtal_BW#'!$A:$Z,20,FALSE)</f>
        <v>61</v>
      </c>
      <c r="U357" s="4">
        <f>VLOOKUP($B357&amp;"__wt",'SegEnds_Xtal_BW#'!$A:$Z,21,FALSE)</f>
        <v>33</v>
      </c>
      <c r="V357" s="4">
        <f>VLOOKUP($B357&amp;"__wt",'SegEnds_Xtal_BW#'!$A:$Z,22,FALSE)</f>
        <v>57</v>
      </c>
      <c r="W357" s="4">
        <f>VLOOKUP($B357&amp;"__wt",'SegEnds_Xtal_BW#'!$A:$Z,23,FALSE)</f>
        <v>33</v>
      </c>
      <c r="X357" s="4">
        <f>VLOOKUP($B357&amp;"__wt",'SegEnds_Xtal_BW#'!$A:$Z,24,FALSE)</f>
        <v>64</v>
      </c>
      <c r="Y357" s="4">
        <f>VLOOKUP($B357&amp;"__wt",'SegEnds_Xtal_BW#'!$A:$Z,25,FALSE)</f>
        <v>46</v>
      </c>
      <c r="Z357" s="4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32</v>
      </c>
      <c r="AC357" s="4">
        <f>VLOOKUP(A357,'SegEnds_NonXtal_Prot#'!A:AL,10,FALSE)-VLOOKUP(A357,'SegEnds_NonXtal_Prot#'!A:AL,7,FALSE)</f>
        <v>16</v>
      </c>
      <c r="AD357" s="4" t="e">
        <f>VLOOKUP(A357,'SegEnds_NonXtal_Prot#'!A:AL,13,FALSE)-VLOOKUP(A357,'SegEnds_NonXtal_Prot#'!A:AL,10,FALSE)</f>
        <v>#VALUE!</v>
      </c>
      <c r="AE357" s="4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4">
        <f>VLOOKUP(A357,'SegEnds_NonXtal_Prot#'!A:AL,28,FALSE)-VLOOKUP(A357,'SegEnds_NonXtal_Prot#'!A:AL,25,FALSE)</f>
        <v>18</v>
      </c>
      <c r="AH357" s="1">
        <f>VLOOKUP(A357,'SegEnds_NonXtal_Prot#'!A:AL,28,FALSE)-VLOOKUP(A357,'SegEnds_NonXtal_Prot#'!A:AL,22,FALSE)</f>
        <v>50</v>
      </c>
      <c r="AI357" s="4">
        <f>VLOOKUP(A357,'SegEnds_NonXtal_Prot#'!A:AL,31,FALSE)-VLOOKUP(A357,'SegEnds_NonXtal_Prot#'!A:AL,28,FALSE)</f>
        <v>35</v>
      </c>
      <c r="AJ357" s="4">
        <f>VLOOKUP(A357,'SegEnds_NonXtal_Prot#'!A:AL,34,FALSE)-VLOOKUP(A357,'SegEnds_NonXtal_Prot#'!A:AL,31,FALSE)</f>
        <v>29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4" t="s">
        <v>105</v>
      </c>
      <c r="B358" s="4" t="str">
        <f>VLOOKUP(A358,Xtal_Templ!A:B,2,FALSE)</f>
        <v>grm5_human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21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88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36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33</v>
      </c>
      <c r="X358" s="4">
        <f>VLOOKUP($B358&amp;"__wt",'SegEnds_Xtal_BW#'!$A:$Z,24,FALSE)</f>
        <v>64</v>
      </c>
      <c r="Y358" s="4">
        <f>VLOOKUP($B358&amp;"__wt",'SegEnds_Xtal_BW#'!$A:$Z,25,FALSE)</f>
        <v>46</v>
      </c>
      <c r="Z358" s="4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4">
        <f>VLOOKUP(A358,'SegEnds_NonXtal_Prot#'!A:AL,10,FALSE)-VLOOKUP(A358,'SegEnds_NonXtal_Prot#'!A:AL,7,FALSE)</f>
        <v>15</v>
      </c>
      <c r="AD358" s="4" t="e">
        <f>VLOOKUP(A358,'SegEnds_NonXtal_Prot#'!A:AL,13,FALSE)-VLOOKUP(A358,'SegEnds_NonXtal_Prot#'!A:AL,10,FALSE)</f>
        <v>#VALUE!</v>
      </c>
      <c r="AE358" s="4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4">
        <f>VLOOKUP(A358,'SegEnds_NonXtal_Prot#'!A:AL,28,FALSE)-VLOOKUP(A358,'SegEnds_NonXtal_Prot#'!A:AL,25,FALSE)</f>
        <v>18</v>
      </c>
      <c r="AH358" s="1">
        <f>VLOOKUP(A358,'SegEnds_NonXtal_Prot#'!A:AL,28,FALSE)-VLOOKUP(A358,'SegEnds_NonXtal_Prot#'!A:AL,22,FALSE)</f>
        <v>51</v>
      </c>
      <c r="AI358" s="4">
        <f>VLOOKUP(A358,'SegEnds_NonXtal_Prot#'!A:AL,31,FALSE)-VLOOKUP(A358,'SegEnds_NonXtal_Prot#'!A:AL,28,FALSE)</f>
        <v>37</v>
      </c>
      <c r="AJ358" s="4">
        <f>VLOOKUP(A358,'SegEnds_NonXtal_Prot#'!A:AL,34,FALSE)-VLOOKUP(A358,'SegEnds_NonXtal_Prot#'!A:AL,31,FALSE)</f>
        <v>29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115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51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31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116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21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122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18</v>
      </c>
      <c r="AH361" s="1">
        <f>VLOOKUP(A361,'SegEnds_NonXtal_Prot#'!A:AL,28,FALSE)-VLOOKUP(A361,'SegEnds_NonXtal_Prot#'!A:AL,22,FALSE)</f>
        <v>51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29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124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18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29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123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18</v>
      </c>
      <c r="AH363" s="1">
        <f>VLOOKUP(A363,'SegEnds_NonXtal_Prot#'!A:AL,28,FALSE)-VLOOKUP(A363,'SegEnds_NonXtal_Prot#'!A:AL,22,FALSE)</f>
        <v>52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29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112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33</v>
      </c>
      <c r="AC364" s="1">
        <f>VLOOKUP(A364,'SegEnds_NonXtal_Prot#'!A:AL,10,FALSE)-VLOOKUP(A364,'SegEnds_NonXtal_Prot#'!A:AL,7,FALSE)</f>
        <v>19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55</v>
      </c>
      <c r="AI364" s="1">
        <f>VLOOKUP(A364,'SegEnds_NonXtal_Prot#'!A:AL,31,FALSE)-VLOOKUP(A364,'SegEnds_NonXtal_Prot#'!A:AL,28,FALSE)</f>
        <v>39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20</v>
      </c>
      <c r="AL364" s="1" t="str">
        <f>IF(ISERROR(MATCH(A364,'SegEnds_Xtal_Prot#'!B:B, 0)), "NoXtal", "Xtal")</f>
        <v>NoXtal</v>
      </c>
    </row>
    <row r="365" spans="1:38" x14ac:dyDescent="0.2">
      <c r="A365" s="1" t="s">
        <v>117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118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119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120</v>
      </c>
      <c r="B368" s="1" t="str">
        <f>VLOOKUP(A368,Xtal_Templ!A:B,2,FALSE)</f>
        <v>grm5_human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21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31</v>
      </c>
      <c r="AC368" s="1">
        <f>VLOOKUP(A368,'SegEnds_NonXtal_Prot#'!A:AL,10,FALSE)-VLOOKUP(A368,'SegEnds_NonXtal_Prot#'!A:AL,7,FALSE)</f>
        <v>15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>
        <f>VLOOKUP(A368,'SegEnds_NonXtal_Prot#'!A:AL,28,FALSE)-VLOOKUP(A368,'SegEnds_NonXtal_Prot#'!A:AL,25,FALSE)</f>
        <v>17</v>
      </c>
      <c r="AH368" s="1">
        <f>VLOOKUP(A368,'SegEnds_NonXtal_Prot#'!A:AL,28,FALSE)-VLOOKUP(A368,'SegEnds_NonXtal_Prot#'!A:AL,22,FALSE)</f>
        <v>56</v>
      </c>
      <c r="AI368" s="1">
        <f>VLOOKUP(A368,'SegEnds_NonXtal_Prot#'!A:AL,31,FALSE)-VLOOKUP(A368,'SegEnds_NonXtal_Prot#'!A:AL,28,FALSE)</f>
        <v>37</v>
      </c>
      <c r="AJ368" s="1">
        <f>VLOOKUP(A368,'SegEnds_NonXtal_Prot#'!A:AL,34,FALSE)-VLOOKUP(A368,'SegEnds_NonXtal_Prot#'!A:AL,31,FALSE)</f>
        <v>34</v>
      </c>
      <c r="AK368" s="1">
        <f>VLOOKUP(A368,'SegEnds_NonXtal_Prot#'!A:AL,37,FALSE)-VLOOKUP(A368,'SegEnds_NonXtal_Prot#'!A:AL,34,FALSE)</f>
        <v>19</v>
      </c>
      <c r="AL368" s="1" t="str">
        <f>IF(ISERROR(MATCH(A368,'SegEnds_Xtal_Prot#'!B:B, 0)), "NoXtal", "Xtal")</f>
        <v>NoXtal</v>
      </c>
    </row>
    <row r="369" spans="1:38" x14ac:dyDescent="0.2">
      <c r="A369" s="4" t="s">
        <v>106</v>
      </c>
      <c r="B369" s="4" t="str">
        <f>VLOOKUP(A369,Xtal_Templ!A:B,2,FALSE)</f>
        <v>grm5_human</v>
      </c>
      <c r="C369" s="5">
        <f>VLOOKUP($B369&amp;"__wt",'SegEnds_Xtal_BW#'!$A:$Z,3,FALSE)</f>
        <v>34</v>
      </c>
      <c r="D369" s="4">
        <f>VLOOKUP($B369&amp;"__wt",'SegEnds_Xtal_BW#'!$A:$Z,4,FALSE)</f>
        <v>60</v>
      </c>
      <c r="E369" s="4">
        <f>VLOOKUP($B369&amp;"__wt",'SegEnds_Xtal_BW#'!$A:$Z,5,FALSE)</f>
        <v>47</v>
      </c>
      <c r="F369" s="4">
        <f>VLOOKUP($B369&amp;"__wt",'SegEnds_Xtal_BW#'!$A:$Z,6,FALSE)</f>
        <v>53</v>
      </c>
      <c r="G369" s="4">
        <v>39</v>
      </c>
      <c r="H369" s="11">
        <f>VLOOKUP($B369&amp;"__wt",'SegEnds_Xtal_BW#'!$A:$Z,8,FALSE)</f>
        <v>61</v>
      </c>
      <c r="I369" s="4" t="str">
        <f>VLOOKUP($B369&amp;"__wt",'SegEnds_Xtal_BW#'!$A:$Z,9,FALSE)</f>
        <v>-</v>
      </c>
      <c r="J369" s="4" t="str">
        <f>VLOOKUP($B369&amp;"__wt",'SegEnds_Xtal_BW#'!$A:$Z,10,FALSE)</f>
        <v>-</v>
      </c>
      <c r="K369" s="11">
        <f>VLOOKUP($B369&amp;"__wt",'SegEnds_Xtal_BW#'!$A:$Z,11,FALSE)</f>
        <v>21</v>
      </c>
      <c r="L369" s="4">
        <f>VLOOKUP($B369&amp;"__wt",'SegEnds_Xtal_BW#'!$A:$Z,12,FALSE)</f>
        <v>54</v>
      </c>
      <c r="M369" s="4" t="str">
        <f>VLOOKUP($B369&amp;"__wt",'SegEnds_Xtal_BW#'!$A:$Z,13,FALSE)</f>
        <v>-</v>
      </c>
      <c r="N369" s="11" t="str">
        <f>VLOOKUP($B369&amp;"__wt",'SegEnds_Xtal_BW#'!$A:$Z,14,FALSE)</f>
        <v>-</v>
      </c>
      <c r="O369" s="88">
        <f>VLOOKUP($B369&amp;"__wt",'SegEnds_Xtal_BW#'!$A:$Z,15,FALSE)</f>
        <v>38</v>
      </c>
      <c r="P369" s="4">
        <f>VLOOKUP($B369&amp;"__wt",'SegEnds_Xtal_BW#'!$A:$Z,16,FALSE)</f>
        <v>64</v>
      </c>
      <c r="Q369" s="4">
        <f>VLOOKUP($B369&amp;"__wt",'SegEnds_Xtal_BW#'!$A:$Z,17,FALSE)</f>
        <v>50</v>
      </c>
      <c r="R369" s="4">
        <f>VLOOKUP($B369&amp;"__wt",'SegEnds_Xtal_BW#'!$A:$Z,18,FALSE)</f>
        <v>52</v>
      </c>
      <c r="S369" s="4">
        <f>VLOOKUP($B369&amp;"__wt",'SegEnds_Xtal_BW#'!$A:$Z,19,FALSE)</f>
        <v>36</v>
      </c>
      <c r="T369" s="4">
        <f>VLOOKUP($B369&amp;"__wt",'SegEnds_Xtal_BW#'!$A:$Z,20,FALSE)</f>
        <v>61</v>
      </c>
      <c r="U369" s="4">
        <f>VLOOKUP($B369&amp;"__wt",'SegEnds_Xtal_BW#'!$A:$Z,21,FALSE)</f>
        <v>33</v>
      </c>
      <c r="V369" s="4">
        <f>VLOOKUP($B369&amp;"__wt",'SegEnds_Xtal_BW#'!$A:$Z,22,FALSE)</f>
        <v>57</v>
      </c>
      <c r="W369" s="4">
        <f>VLOOKUP($B369&amp;"__wt",'SegEnds_Xtal_BW#'!$A:$Z,23,FALSE)</f>
        <v>33</v>
      </c>
      <c r="X369" s="4">
        <f>VLOOKUP($B369&amp;"__wt",'SegEnds_Xtal_BW#'!$A:$Z,24,FALSE)</f>
        <v>64</v>
      </c>
      <c r="Y369" s="4">
        <f>VLOOKUP($B369&amp;"__wt",'SegEnds_Xtal_BW#'!$A:$Z,25,FALSE)</f>
        <v>46</v>
      </c>
      <c r="Z369" s="4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4">
        <f>VLOOKUP(A369,'SegEnds_NonXtal_Prot#'!A:AL,10,FALSE)-VLOOKUP(A369,'SegEnds_NonXtal_Prot#'!A:AL,7,FALSE)</f>
        <v>15</v>
      </c>
      <c r="AD369" s="4" t="e">
        <f>VLOOKUP(A369,'SegEnds_NonXtal_Prot#'!A:AL,13,FALSE)-VLOOKUP(A369,'SegEnds_NonXtal_Prot#'!A:AL,10,FALSE)</f>
        <v>#VALUE!</v>
      </c>
      <c r="AE369" s="4">
        <f>VLOOKUP(A369,'SegEnds_NonXtal_Prot#'!A:AL,16,FALSE)-VLOOKUP(A369,'SegEnds_NonXtal_Prot#'!A:AL,10,FALSE)</f>
        <v>51</v>
      </c>
      <c r="AF369" s="1" t="e">
        <f>VLOOKUP(A369,'SegEnds_NonXtal_Prot#'!A:AL,22,FALSE)-VLOOKUP(A369,'SegEnds_NonXtal_Prot#'!A:AL,19,FALSE)</f>
        <v>#VALUE!</v>
      </c>
      <c r="AG369" s="4">
        <f>VLOOKUP(A369,'SegEnds_NonXtal_Prot#'!A:AL,28,FALSE)-VLOOKUP(A369,'SegEnds_NonXtal_Prot#'!A:AL,25,FALSE)</f>
        <v>19</v>
      </c>
      <c r="AH369" s="1">
        <f>VLOOKUP(A369,'SegEnds_NonXtal_Prot#'!A:AL,28,FALSE)-VLOOKUP(A369,'SegEnds_NonXtal_Prot#'!A:AL,22,FALSE)</f>
        <v>62</v>
      </c>
      <c r="AI369" s="4">
        <f>VLOOKUP(A369,'SegEnds_NonXtal_Prot#'!A:AL,31,FALSE)-VLOOKUP(A369,'SegEnds_NonXtal_Prot#'!A:AL,28,FALSE)</f>
        <v>38</v>
      </c>
      <c r="AJ369" s="4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107</v>
      </c>
      <c r="B370" s="1" t="str">
        <f>VLOOKUP(A370,Xtal_Templ!A:B,2,FALSE)</f>
        <v>grm5_human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21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51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19</v>
      </c>
      <c r="AH370" s="1">
        <f>VLOOKUP(A370,'SegEnds_NonXtal_Prot#'!A:AL,28,FALSE)-VLOOKUP(A370,'SegEnds_NonXtal_Prot#'!A:AL,22,FALSE)</f>
        <v>62</v>
      </c>
      <c r="AI370" s="1">
        <f>VLOOKUP(A370,'SegEnds_NonXtal_Prot#'!A:AL,31,FALSE)-VLOOKUP(A370,'SegEnds_NonXtal_Prot#'!A:AL,28,FALSE)</f>
        <v>38</v>
      </c>
      <c r="AJ370" s="1">
        <f>VLOOKUP(A370,'SegEnds_NonXtal_Prot#'!A:AL,34,FALSE)-VLOOKUP(A370,'SegEnds_NonXtal_Prot#'!A:AL,31,FALSE)</f>
        <v>31</v>
      </c>
      <c r="AK370" s="1">
        <f>VLOOKUP(A370,'SegEnds_NonXtal_Prot#'!A:AL,37,FALSE)-VLOOKUP(A370,'SegEnds_NonXtal_Prot#'!A:AL,34,FALSE)</f>
        <v>19</v>
      </c>
      <c r="AL370" s="1" t="str">
        <f>IF(ISERROR(MATCH(A370,'SegEnds_Xtal_Prot#'!B:B, 0)), "NoXtal", "Xtal")</f>
        <v>NoXtal</v>
      </c>
    </row>
    <row r="371" spans="1:38" x14ac:dyDescent="0.2">
      <c r="A371" s="1" t="s">
        <v>108</v>
      </c>
      <c r="B371" s="1" t="str">
        <f>VLOOKUP(A371,Xtal_Templ!A:B,2,FALSE)</f>
        <v>grm1_human</v>
      </c>
      <c r="C371" s="5">
        <f>VLOOKUP($B371&amp;"__wt",'SegEnds_Xtal_BW#'!$A:$Z,3,FALSE)</f>
        <v>34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53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54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61</v>
      </c>
      <c r="U371" s="1">
        <f>VLOOKUP($B371&amp;"__wt",'SegEnds_Xtal_BW#'!$A:$Z,21,FALSE)</f>
        <v>33</v>
      </c>
      <c r="V371" s="1">
        <f>VLOOKUP($B371&amp;"__wt",'SegEnds_Xtal_BW#'!$A:$Z,22,FALSE)</f>
        <v>57</v>
      </c>
      <c r="W371" s="1">
        <f>VLOOKUP($B371&amp;"__wt",'SegEnds_Xtal_BW#'!$A:$Z,23,FALSE)</f>
        <v>33</v>
      </c>
      <c r="X371" s="1">
        <f>VLOOKUP($B371&amp;"__wt",'SegEnds_Xtal_BW#'!$A:$Z,24,FALSE)</f>
        <v>64</v>
      </c>
      <c r="Y371" s="1">
        <f>VLOOKUP($B371&amp;"__wt",'SegEnds_Xtal_BW#'!$A:$Z,25,FALSE)</f>
        <v>46</v>
      </c>
      <c r="Z371" s="1">
        <f>VLOOKUP($B371&amp;"__wt",'SegEnds_Xtal_BW#'!$A:$Z,26,FALSE)</f>
        <v>57</v>
      </c>
      <c r="AA371" s="27" t="str">
        <f>VLOOKUP(A371,Classification!A:B,2,FALSE)</f>
        <v>C</v>
      </c>
      <c r="AB371" s="1">
        <f>VLOOKUP(A371,'SegEnds_NonXtal_Prot#'!A:AL,10,FALSE)-VLOOKUP(A371,'SegEnds_NonXtal_Prot#'!A:AL,4,FALSE)</f>
        <v>31</v>
      </c>
      <c r="AC371" s="1">
        <f>VLOOKUP(A371,'SegEnds_NonXtal_Prot#'!A:AL,10,FALSE)-VLOOKUP(A371,'SegEnds_NonXtal_Prot#'!A:AL,7,FALSE)</f>
        <v>15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50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19</v>
      </c>
      <c r="AH371" s="1">
        <f>VLOOKUP(A371,'SegEnds_NonXtal_Prot#'!A:AL,28,FALSE)-VLOOKUP(A371,'SegEnds_NonXtal_Prot#'!A:AL,22,FALSE)</f>
        <v>62</v>
      </c>
      <c r="AI371" s="1">
        <f>VLOOKUP(A371,'SegEnds_NonXtal_Prot#'!A:AL,31,FALSE)-VLOOKUP(A371,'SegEnds_NonXtal_Prot#'!A:AL,28,FALSE)</f>
        <v>39</v>
      </c>
      <c r="AJ371" s="1">
        <f>VLOOKUP(A371,'SegEnds_NonXtal_Prot#'!A:AL,34,FALSE)-VLOOKUP(A371,'SegEnds_NonXtal_Prot#'!A:AL,31,FALSE)</f>
        <v>30</v>
      </c>
      <c r="AK371" s="1">
        <f>VLOOKUP(A371,'SegEnds_NonXtal_Prot#'!A:AL,37,FALSE)-VLOOKUP(A371,'SegEnds_NonXtal_Prot#'!A:AL,34,FALSE)</f>
        <v>19</v>
      </c>
      <c r="AL371" s="1" t="str">
        <f>IF(ISERROR(MATCH(A371,'SegEnds_Xtal_Prot#'!B:B, 0)), "NoXtal", "Xtal")</f>
        <v>NoXtal</v>
      </c>
    </row>
    <row r="372" spans="1:38" x14ac:dyDescent="0.2">
      <c r="A372" s="4" t="s">
        <v>109</v>
      </c>
      <c r="B372" s="4" t="str">
        <f>VLOOKUP(A372,Xtal_Templ!A:B,2,FALSE)</f>
        <v>grm1_human</v>
      </c>
      <c r="C372" s="5">
        <f>VLOOKUP($B372&amp;"__wt",'SegEnds_Xtal_BW#'!$A:$Z,3,FALSE)</f>
        <v>34</v>
      </c>
      <c r="D372" s="4">
        <f>VLOOKUP($B372&amp;"__wt",'SegEnds_Xtal_BW#'!$A:$Z,4,FALSE)</f>
        <v>60</v>
      </c>
      <c r="E372" s="4">
        <f>VLOOKUP($B372&amp;"__wt",'SegEnds_Xtal_BW#'!$A:$Z,5,FALSE)</f>
        <v>47</v>
      </c>
      <c r="F372" s="4">
        <f>VLOOKUP($B372&amp;"__wt",'SegEnds_Xtal_BW#'!$A:$Z,6,FALSE)</f>
        <v>53</v>
      </c>
      <c r="G372" s="4">
        <v>39</v>
      </c>
      <c r="H372" s="11">
        <f>VLOOKUP($B372&amp;"__wt",'SegEnds_Xtal_BW#'!$A:$Z,8,FALSE)</f>
        <v>61</v>
      </c>
      <c r="I372" s="4" t="str">
        <f>VLOOKUP($B372&amp;"__wt",'SegEnds_Xtal_BW#'!$A:$Z,9,FALSE)</f>
        <v>-</v>
      </c>
      <c r="J372" s="4" t="str">
        <f>VLOOKUP($B372&amp;"__wt",'SegEnds_Xtal_BW#'!$A:$Z,10,FALSE)</f>
        <v>-</v>
      </c>
      <c r="K372" s="11">
        <f>VLOOKUP($B372&amp;"__wt",'SegEnds_Xtal_BW#'!$A:$Z,11,FALSE)</f>
        <v>22</v>
      </c>
      <c r="L372" s="4">
        <f>VLOOKUP($B372&amp;"__wt",'SegEnds_Xtal_BW#'!$A:$Z,12,FALSE)</f>
        <v>54</v>
      </c>
      <c r="M372" s="4" t="str">
        <f>VLOOKUP($B372&amp;"__wt",'SegEnds_Xtal_BW#'!$A:$Z,13,FALSE)</f>
        <v>-</v>
      </c>
      <c r="N372" s="11" t="str">
        <f>VLOOKUP($B372&amp;"__wt",'SegEnds_Xtal_BW#'!$A:$Z,14,FALSE)</f>
        <v>-</v>
      </c>
      <c r="O372" s="88">
        <f>VLOOKUP($B372&amp;"__wt",'SegEnds_Xtal_BW#'!$A:$Z,15,FALSE)</f>
        <v>38</v>
      </c>
      <c r="P372" s="4">
        <f>VLOOKUP($B372&amp;"__wt",'SegEnds_Xtal_BW#'!$A:$Z,16,FALSE)</f>
        <v>64</v>
      </c>
      <c r="Q372" s="4">
        <f>VLOOKUP($B372&amp;"__wt",'SegEnds_Xtal_BW#'!$A:$Z,17,FALSE)</f>
        <v>50</v>
      </c>
      <c r="R372" s="4">
        <f>VLOOKUP($B372&amp;"__wt",'SegEnds_Xtal_BW#'!$A:$Z,18,FALSE)</f>
        <v>52</v>
      </c>
      <c r="S372" s="4">
        <f>VLOOKUP($B372&amp;"__wt",'SegEnds_Xtal_BW#'!$A:$Z,19,FALSE)</f>
        <v>36</v>
      </c>
      <c r="T372" s="4">
        <f>VLOOKUP($B372&amp;"__wt",'SegEnds_Xtal_BW#'!$A:$Z,20,FALSE)</f>
        <v>61</v>
      </c>
      <c r="U372" s="4">
        <f>VLOOKUP($B372&amp;"__wt",'SegEnds_Xtal_BW#'!$A:$Z,21,FALSE)</f>
        <v>33</v>
      </c>
      <c r="V372" s="4">
        <f>VLOOKUP($B372&amp;"__wt",'SegEnds_Xtal_BW#'!$A:$Z,22,FALSE)</f>
        <v>57</v>
      </c>
      <c r="W372" s="4">
        <f>VLOOKUP($B372&amp;"__wt",'SegEnds_Xtal_BW#'!$A:$Z,23,FALSE)</f>
        <v>33</v>
      </c>
      <c r="X372" s="4">
        <f>VLOOKUP($B372&amp;"__wt",'SegEnds_Xtal_BW#'!$A:$Z,24,FALSE)</f>
        <v>64</v>
      </c>
      <c r="Y372" s="4">
        <f>VLOOKUP($B372&amp;"__wt",'SegEnds_Xtal_BW#'!$A:$Z,25,FALSE)</f>
        <v>46</v>
      </c>
      <c r="Z372" s="4">
        <f>VLOOKUP($B372&amp;"__wt",'SegEnds_Xtal_BW#'!$A:$Z,26,FALSE)</f>
        <v>57</v>
      </c>
      <c r="AA372" s="27" t="str">
        <f>VLOOKUP(A372,Classification!A:B,2,FALSE)</f>
        <v>C</v>
      </c>
      <c r="AB372" s="1">
        <f>VLOOKUP(A372,'SegEnds_NonXtal_Prot#'!A:AL,10,FALSE)-VLOOKUP(A372,'SegEnds_NonXtal_Prot#'!A:AL,4,FALSE)</f>
        <v>31</v>
      </c>
      <c r="AC372" s="4">
        <f>VLOOKUP(A372,'SegEnds_NonXtal_Prot#'!A:AL,10,FALSE)-VLOOKUP(A372,'SegEnds_NonXtal_Prot#'!A:AL,7,FALSE)</f>
        <v>15</v>
      </c>
      <c r="AD372" s="4" t="e">
        <f>VLOOKUP(A372,'SegEnds_NonXtal_Prot#'!A:AL,13,FALSE)-VLOOKUP(A372,'SegEnds_NonXtal_Prot#'!A:AL,10,FALSE)</f>
        <v>#VALUE!</v>
      </c>
      <c r="AE372" s="4">
        <f>VLOOKUP(A372,'SegEnds_NonXtal_Prot#'!A:AL,16,FALSE)-VLOOKUP(A372,'SegEnds_NonXtal_Prot#'!A:AL,10,FALSE)</f>
        <v>44</v>
      </c>
      <c r="AF372" s="1" t="e">
        <f>VLOOKUP(A372,'SegEnds_NonXtal_Prot#'!A:AL,22,FALSE)-VLOOKUP(A372,'SegEnds_NonXtal_Prot#'!A:AL,19,FALSE)</f>
        <v>#VALUE!</v>
      </c>
      <c r="AG372" s="4">
        <f>VLOOKUP(A372,'SegEnds_NonXtal_Prot#'!A:AL,28,FALSE)-VLOOKUP(A372,'SegEnds_NonXtal_Prot#'!A:AL,25,FALSE)</f>
        <v>16</v>
      </c>
      <c r="AH372" s="1">
        <f>VLOOKUP(A372,'SegEnds_NonXtal_Prot#'!A:AL,28,FALSE)-VLOOKUP(A372,'SegEnds_NonXtal_Prot#'!A:AL,22,FALSE)</f>
        <v>65</v>
      </c>
      <c r="AI372" s="4">
        <f>VLOOKUP(A372,'SegEnds_NonXtal_Prot#'!A:AL,31,FALSE)-VLOOKUP(A372,'SegEnds_NonXtal_Prot#'!A:AL,28,FALSE)</f>
        <v>37</v>
      </c>
      <c r="AJ372" s="4">
        <f>VLOOKUP(A372,'SegEnds_NonXtal_Prot#'!A:AL,34,FALSE)-VLOOKUP(A372,'SegEnds_NonXtal_Prot#'!A:AL,31,FALSE)</f>
        <v>33</v>
      </c>
      <c r="AK372" s="1">
        <f>VLOOKUP(A372,'SegEnds_NonXtal_Prot#'!A:AL,37,FALSE)-VLOOKUP(A372,'SegEnds_NonXtal_Prot#'!A:AL,34,FALSE)</f>
        <v>19</v>
      </c>
      <c r="AL372" s="1" t="str">
        <f>IF(ISERROR(MATCH(A372,'SegEnds_Xtal_Prot#'!B:B, 0)), "NoXtal", "Xtal")</f>
        <v>NoXtal</v>
      </c>
    </row>
    <row r="373" spans="1:38" x14ac:dyDescent="0.2">
      <c r="A373" s="1" t="s">
        <v>110</v>
      </c>
      <c r="B373" s="1" t="str">
        <f>VLOOKUP(A373,Xtal_Templ!A:B,2,FALSE)</f>
        <v>grm1_human</v>
      </c>
      <c r="C373" s="5">
        <f>VLOOKUP($B373&amp;"__wt",'SegEnds_Xtal_BW#'!$A:$Z,3,FALSE)</f>
        <v>34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53</v>
      </c>
      <c r="G373" s="1">
        <v>39</v>
      </c>
      <c r="H373" s="12">
        <f>VLOOKUP($B373&amp;"__wt",'SegEnds_Xtal_BW#'!$A:$Z,8,FALSE)</f>
        <v>61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54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38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61</v>
      </c>
      <c r="U373" s="1">
        <f>VLOOKUP($B373&amp;"__wt",'SegEnds_Xtal_BW#'!$A:$Z,21,FALSE)</f>
        <v>33</v>
      </c>
      <c r="V373" s="1">
        <f>VLOOKUP($B373&amp;"__wt",'SegEnds_Xtal_BW#'!$A:$Z,22,FALSE)</f>
        <v>57</v>
      </c>
      <c r="W373" s="1">
        <f>VLOOKUP($B373&amp;"__wt",'SegEnds_Xtal_BW#'!$A:$Z,23,FALSE)</f>
        <v>33</v>
      </c>
      <c r="X373" s="1">
        <f>VLOOKUP($B373&amp;"__wt",'SegEnds_Xtal_BW#'!$A:$Z,24,FALSE)</f>
        <v>64</v>
      </c>
      <c r="Y373" s="1">
        <f>VLOOKUP($B373&amp;"__wt",'SegEnds_Xtal_BW#'!$A:$Z,25,FALSE)</f>
        <v>46</v>
      </c>
      <c r="Z373" s="1">
        <f>VLOOKUP($B373&amp;"__wt",'SegEnds_Xtal_BW#'!$A:$Z,26,FALSE)</f>
        <v>57</v>
      </c>
      <c r="AA373" s="27" t="str">
        <f>VLOOKUP(A373,Classification!A:B,2,FALSE)</f>
        <v>C</v>
      </c>
      <c r="AB373" s="1">
        <f>VLOOKUP(A373,'SegEnds_NonXtal_Prot#'!A:AL,10,FALSE)-VLOOKUP(A373,'SegEnds_NonXtal_Prot#'!A:AL,4,FALSE)</f>
        <v>31</v>
      </c>
      <c r="AC373" s="1">
        <f>VLOOKUP(A373,'SegEnds_NonXtal_Prot#'!A:AL,10,FALSE)-VLOOKUP(A373,'SegEnds_NonXtal_Prot#'!A:AL,7,FALSE)</f>
        <v>15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44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16</v>
      </c>
      <c r="AH373" s="1">
        <f>VLOOKUP(A373,'SegEnds_NonXtal_Prot#'!A:AL,28,FALSE)-VLOOKUP(A373,'SegEnds_NonXtal_Prot#'!A:AL,22,FALSE)</f>
        <v>65</v>
      </c>
      <c r="AI373" s="1">
        <f>VLOOKUP(A373,'SegEnds_NonXtal_Prot#'!A:AL,31,FALSE)-VLOOKUP(A373,'SegEnds_NonXtal_Prot#'!A:AL,28,FALSE)</f>
        <v>37</v>
      </c>
      <c r="AJ373" s="1">
        <f>VLOOKUP(A373,'SegEnds_NonXtal_Prot#'!A:AL,34,FALSE)-VLOOKUP(A373,'SegEnds_NonXtal_Prot#'!A:AL,31,FALSE)</f>
        <v>33</v>
      </c>
      <c r="AK373" s="1">
        <f>VLOOKUP(A373,'SegEnds_NonXtal_Prot#'!A:AL,37,FALSE)-VLOOKUP(A373,'SegEnds_NonXtal_Prot#'!A:AL,34,FALSE)</f>
        <v>19</v>
      </c>
      <c r="AL373" s="1" t="str">
        <f>IF(ISERROR(MATCH(A373,'SegEnds_Xtal_Prot#'!B:B, 0)), "NoXtal", "Xtal")</f>
        <v>NoXtal</v>
      </c>
    </row>
    <row r="374" spans="1:38" x14ac:dyDescent="0.2">
      <c r="A374" s="1" t="s">
        <v>446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08"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62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447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66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56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448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67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449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68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450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">
        <f>VLOOKUP($B378&amp;"__wt",'SegEnds_Xtal_BW#'!$A:$Z,22,FALSE)</f>
        <v>58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67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36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Xtal</v>
      </c>
    </row>
    <row r="379" spans="1:38" x14ac:dyDescent="0.2">
      <c r="A379" s="1" t="s">
        <v>451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64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49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" t="s">
        <v>452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66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28</v>
      </c>
      <c r="V380" s="108">
        <v>78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26</v>
      </c>
      <c r="AC380" s="1">
        <f>VLOOKUP(A380,'SegEnds_NonXtal_Prot#'!A:AL,10,FALSE)-VLOOKUP(A380,'SegEnds_NonXtal_Prot#'!A:AL,7,FALSE)</f>
        <v>12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68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55</v>
      </c>
      <c r="AJ380" s="1">
        <f>VLOOKUP(A380,'SegEnds_NonXtal_Prot#'!A:AL,34,FALSE)-VLOOKUP(A380,'SegEnds_NonXtal_Prot#'!A:AL,31,FALSE)</f>
        <v>55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NoXtal</v>
      </c>
    </row>
    <row r="381" spans="1:38" x14ac:dyDescent="0.2">
      <c r="A381" s="1" t="s">
        <v>453</v>
      </c>
      <c r="B381" s="1" t="str">
        <f>VLOOKUP(A381,Xtal_Templ!A:B,2,FALSE)</f>
        <v>fzd4_human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66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22</v>
      </c>
      <c r="L381" s="1">
        <f>VLOOKUP($B381&amp;"__wt",'SegEnds_Xtal_BW#'!$A:$Z,12,FALSE)</f>
        <v>55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64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28</v>
      </c>
      <c r="V381" s="108"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26</v>
      </c>
      <c r="AC381" s="1">
        <f>VLOOKUP(A381,'SegEnds_NonXtal_Prot#'!A:AL,10,FALSE)-VLOOKUP(A381,'SegEnds_NonXtal_Prot#'!A:AL,7,FALSE)</f>
        <v>12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55</v>
      </c>
      <c r="AJ381" s="1">
        <f>VLOOKUP(A381,'SegEnds_NonXtal_Prot#'!A:AL,34,FALSE)-VLOOKUP(A381,'SegEnds_NonXtal_Prot#'!A:AL,31,FALSE)</f>
        <v>55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NoXtal</v>
      </c>
    </row>
    <row r="382" spans="1:38" x14ac:dyDescent="0.2">
      <c r="A382" s="1" t="s">
        <v>454</v>
      </c>
      <c r="B382" s="1" t="str">
        <f>VLOOKUP(A382,Xtal_Templ!A:B,2,FALSE)</f>
        <v>fzd4_human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39</v>
      </c>
      <c r="H382" s="12">
        <f>VLOOKUP($B382&amp;"__wt",'SegEnds_Xtal_BW#'!$A:$Z,8,FALSE)</f>
        <v>66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22</v>
      </c>
      <c r="L382" s="1">
        <f>VLOOKUP($B382&amp;"__wt",'SegEnds_Xtal_BW#'!$A:$Z,12,FALSE)</f>
        <v>55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41</v>
      </c>
      <c r="P382" s="1">
        <f>VLOOKUP($B382&amp;"__wt",'SegEnds_Xtal_BW#'!$A:$Z,16,FALSE)</f>
        <v>64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28</v>
      </c>
      <c r="V382" s="108">
        <v>78</v>
      </c>
      <c r="W382" s="1">
        <f>VLOOKUP($B382&amp;"__wt",'SegEnds_Xtal_BW#'!$A:$Z,23,FALSE)</f>
        <v>34</v>
      </c>
      <c r="X382" s="1">
        <f>VLOOKUP($B382&amp;"__wt",'SegEnds_Xtal_BW#'!$A:$Z,24,FALSE)</f>
        <v>57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26</v>
      </c>
      <c r="AC382" s="1">
        <f>VLOOKUP(A382,'SegEnds_NonXtal_Prot#'!A:AL,10,FALSE)-VLOOKUP(A382,'SegEnds_NonXtal_Prot#'!A:AL,7,FALSE)</f>
        <v>12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103</v>
      </c>
      <c r="AF382" s="1" t="e">
        <f>VLOOKUP(A382,'SegEnds_NonXtal_Prot#'!A:AL,22,FALSE)-VLOOKUP(A382,'SegEnds_NonXtal_Prot#'!A:AL,19,FALSE)</f>
        <v>#VALUE!</v>
      </c>
      <c r="AG382" s="1">
        <f>VLOOKUP(A382,'SegEnds_NonXtal_Prot#'!A:AL,28,FALSE)-VLOOKUP(A382,'SegEnds_NonXtal_Prot#'!A:AL,25,FALSE)</f>
        <v>21</v>
      </c>
      <c r="AH382" s="1">
        <f>VLOOKUP(A382,'SegEnds_NonXtal_Prot#'!A:AL,28,FALSE)-VLOOKUP(A382,'SegEnds_NonXtal_Prot#'!A:AL,22,FALSE)</f>
        <v>46</v>
      </c>
      <c r="AI382" s="1">
        <f>VLOOKUP(A382,'SegEnds_NonXtal_Prot#'!A:AL,31,FALSE)-VLOOKUP(A382,'SegEnds_NonXtal_Prot#'!A:AL,28,FALSE)</f>
        <v>57</v>
      </c>
      <c r="AJ382" s="1">
        <f>VLOOKUP(A382,'SegEnds_NonXtal_Prot#'!A:AL,34,FALSE)-VLOOKUP(A382,'SegEnds_NonXtal_Prot#'!A:AL,31,FALSE)</f>
        <v>49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NoXtal</v>
      </c>
    </row>
    <row r="383" spans="1:38" x14ac:dyDescent="0.2">
      <c r="A383" s="1" t="s">
        <v>455</v>
      </c>
      <c r="B383" s="1" t="str">
        <f>VLOOKUP(A383,Xtal_Templ!A:B,2,FALSE)</f>
        <v>fzd4_human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39</v>
      </c>
      <c r="H383" s="12">
        <f>VLOOKUP($B383&amp;"__wt",'SegEnds_Xtal_BW#'!$A:$Z,8,FALSE)</f>
        <v>66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22</v>
      </c>
      <c r="L383" s="1">
        <f>VLOOKUP($B383&amp;"__wt",'SegEnds_Xtal_BW#'!$A:$Z,12,FALSE)</f>
        <v>55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28</v>
      </c>
      <c r="V383" s="108">
        <v>78</v>
      </c>
      <c r="W383" s="1">
        <f>VLOOKUP($B383&amp;"__wt",'SegEnds_Xtal_BW#'!$A:$Z,23,FALSE)</f>
        <v>34</v>
      </c>
      <c r="X383" s="1">
        <f>VLOOKUP($B383&amp;"__wt",'SegEnds_Xtal_BW#'!$A:$Z,24,FALSE)</f>
        <v>57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26</v>
      </c>
      <c r="AC383" s="1">
        <f>VLOOKUP(A383,'SegEnds_NonXtal_Prot#'!A:AL,10,FALSE)-VLOOKUP(A383,'SegEnds_NonXtal_Prot#'!A:AL,7,FALSE)</f>
        <v>12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66</v>
      </c>
      <c r="AF383" s="1" t="e">
        <f>VLOOKUP(A383,'SegEnds_NonXtal_Prot#'!A:AL,22,FALSE)-VLOOKUP(A383,'SegEnds_NonXtal_Prot#'!A:AL,19,FALSE)</f>
        <v>#VALUE!</v>
      </c>
      <c r="AG383" s="1">
        <f>VLOOKUP(A383,'SegEnds_NonXtal_Prot#'!A:AL,28,FALSE)-VLOOKUP(A383,'SegEnds_NonXtal_Prot#'!A:AL,25,FALSE)</f>
        <v>21</v>
      </c>
      <c r="AH383" s="1">
        <f>VLOOKUP(A383,'SegEnds_NonXtal_Prot#'!A:AL,28,FALSE)-VLOOKUP(A383,'SegEnds_NonXtal_Prot#'!A:AL,22,FALSE)</f>
        <v>46</v>
      </c>
      <c r="AI383" s="1">
        <f>VLOOKUP(A383,'SegEnds_NonXtal_Prot#'!A:AL,31,FALSE)-VLOOKUP(A383,'SegEnds_NonXtal_Prot#'!A:AL,28,FALSE)</f>
        <v>55</v>
      </c>
      <c r="AJ383" s="1">
        <f>VLOOKUP(A383,'SegEnds_NonXtal_Prot#'!A:AL,34,FALSE)-VLOOKUP(A383,'SegEnds_NonXtal_Prot#'!A:AL,31,FALSE)</f>
        <v>58</v>
      </c>
      <c r="AK383" s="1">
        <f>VLOOKUP(A383,'SegEnds_NonXtal_Prot#'!A:AL,37,FALSE)-VLOOKUP(A383,'SegEnds_NonXtal_Prot#'!A:AL,34,FALSE)</f>
        <v>11</v>
      </c>
      <c r="AL383" s="1" t="str">
        <f>IF(ISERROR(MATCH(A383,'SegEnds_Xtal_Prot#'!B:B, 0)), "NoXtal", "Xtal")</f>
        <v>NoXtal</v>
      </c>
    </row>
    <row r="384" spans="1:38" x14ac:dyDescent="0.2">
      <c r="A384" s="121" t="s">
        <v>1495</v>
      </c>
      <c r="B384" s="1" t="str">
        <f>VLOOKUP(A384,Xtal_Templ!A:B,2,FALSE)</f>
        <v>q98sw5_xenla</v>
      </c>
      <c r="C384" s="5">
        <f>VLOOKUP($B384&amp;"__wt",'SegEnds_Xtal_BW#'!$A:$Z,3,FALSE)</f>
        <v>28</v>
      </c>
      <c r="D384" s="1">
        <f>VLOOKUP($B384&amp;"__wt",'SegEnds_Xtal_BW#'!$A:$Z,4,FALSE)</f>
        <v>60</v>
      </c>
      <c r="E384" s="1">
        <f>VLOOKUP($B384&amp;"__wt",'SegEnds_Xtal_BW#'!$A:$Z,5,FALSE)</f>
        <v>47</v>
      </c>
      <c r="F384" s="1">
        <f>VLOOKUP($B384&amp;"__wt",'SegEnds_Xtal_BW#'!$A:$Z,6,FALSE)</f>
        <v>51</v>
      </c>
      <c r="G384" s="1">
        <v>40</v>
      </c>
      <c r="H384" s="12">
        <f>VLOOKUP($B384&amp;"__wt",'SegEnds_Xtal_BW#'!$A:$Z,8,FALSE)</f>
        <v>61</v>
      </c>
      <c r="I384" s="1" t="str">
        <f>VLOOKUP($B384&amp;"__wt",'SegEnds_Xtal_BW#'!$A:$Z,9,FALSE)</f>
        <v>-</v>
      </c>
      <c r="J384" s="1" t="str">
        <f>VLOOKUP($B384&amp;"__wt",'SegEnds_Xtal_BW#'!$A:$Z,10,FALSE)</f>
        <v>-</v>
      </c>
      <c r="K384" s="12">
        <f>VLOOKUP($B384&amp;"__wt",'SegEnds_Xtal_BW#'!$A:$Z,11,FALSE)</f>
        <v>23</v>
      </c>
      <c r="L384" s="1">
        <f>VLOOKUP($B384&amp;"__wt",'SegEnds_Xtal_BW#'!$A:$Z,12,FALSE)</f>
        <v>59</v>
      </c>
      <c r="M384" s="1" t="str">
        <f>VLOOKUP($B384&amp;"__wt",'SegEnds_Xtal_BW#'!$A:$Z,13,FALSE)</f>
        <v>-</v>
      </c>
      <c r="N384" s="12" t="str">
        <f>VLOOKUP($B384&amp;"__wt",'SegEnds_Xtal_BW#'!$A:$Z,14,FALSE)</f>
        <v>-</v>
      </c>
      <c r="O384" s="87">
        <f>VLOOKUP($B384&amp;"__wt",'SegEnds_Xtal_BW#'!$A:$Z,15,FALSE)</f>
        <v>38</v>
      </c>
      <c r="P384" s="1">
        <f>VLOOKUP($B384&amp;"__wt",'SegEnds_Xtal_BW#'!$A:$Z,16,FALSE)</f>
        <v>63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f>VLOOKUP($B384&amp;"__wt",'SegEnds_Xtal_BW#'!$A:$Z,19,FALSE)</f>
        <v>35</v>
      </c>
      <c r="T384" s="1">
        <f>VLOOKUP($B384&amp;"__wt",'SegEnds_Xtal_BW#'!$A:$Z,20,FALSE)</f>
        <v>72</v>
      </c>
      <c r="U384" s="1">
        <f>VLOOKUP($B384&amp;"__wt",'SegEnds_Xtal_BW#'!$A:$Z,21,FALSE)</f>
        <v>24</v>
      </c>
      <c r="V384" s="1">
        <f>VLOOKUP($B384&amp;"__wt",'SegEnds_Xtal_BW#'!$A:$Z,22,FALSE)</f>
        <v>81</v>
      </c>
      <c r="W384" s="1">
        <f>VLOOKUP($B384&amp;"__wt",'SegEnds_Xtal_BW#'!$A:$Z,23,FALSE)</f>
        <v>34</v>
      </c>
      <c r="X384" s="1">
        <f>VLOOKUP($B384&amp;"__wt",'SegEnds_Xtal_BW#'!$A:$Z,24,FALSE)</f>
        <v>57</v>
      </c>
      <c r="Y384" s="1">
        <f>VLOOKUP($B384&amp;"__wt",'SegEnds_Xtal_BW#'!$A:$Z,25,FALSE)</f>
        <v>47</v>
      </c>
      <c r="Z384" s="1">
        <f>VLOOKUP($B384&amp;"__wt",'SegEnds_Xtal_BW#'!$A:$Z,26,FALSE)</f>
        <v>62</v>
      </c>
      <c r="AA384" s="27" t="str">
        <f>VLOOKUP(A384,Classification!A:B,2,FALSE)</f>
        <v>F</v>
      </c>
      <c r="AB384" s="1">
        <f>VLOOKUP(A384,'SegEnds_NonXtal_Prot#'!A:AL,10,FALSE)-VLOOKUP(A384,'SegEnds_NonXtal_Prot#'!A:AL,4,FALSE)</f>
        <v>27</v>
      </c>
      <c r="AC384" s="1">
        <f>VLOOKUP(A384,'SegEnds_NonXtal_Prot#'!A:AL,10,FALSE)-VLOOKUP(A384,'SegEnds_NonXtal_Prot#'!A:AL,7,FALSE)</f>
        <v>13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67</v>
      </c>
      <c r="AF384" s="1" t="e">
        <f>VLOOKUP(A384,'SegEnds_NonXtal_Prot#'!A:AL,22,FALSE)-VLOOKUP(A384,'SegEnds_NonXtal_Prot#'!A:AL,19,FALSE)</f>
        <v>#VALUE!</v>
      </c>
      <c r="AG384" s="1">
        <f>VLOOKUP(A384,'SegEnds_NonXtal_Prot#'!A:AL,28,FALSE)-VLOOKUP(A384,'SegEnds_NonXtal_Prot#'!A:AL,25,FALSE)</f>
        <v>21</v>
      </c>
      <c r="AH384" s="1">
        <f>VLOOKUP(A384,'SegEnds_NonXtal_Prot#'!A:AL,28,FALSE)-VLOOKUP(A384,'SegEnds_NonXtal_Prot#'!A:AL,22,FALSE)</f>
        <v>46</v>
      </c>
      <c r="AI384" s="1">
        <f>VLOOKUP(A384,'SegEnds_NonXtal_Prot#'!A:AL,31,FALSE)-VLOOKUP(A384,'SegEnds_NonXtal_Prot#'!A:AL,28,FALSE)</f>
        <v>57</v>
      </c>
      <c r="AJ384" s="1">
        <f>VLOOKUP(A384,'SegEnds_NonXtal_Prot#'!A:AL,34,FALSE)-VLOOKUP(A384,'SegEnds_NonXtal_Prot#'!A:AL,31,FALSE)</f>
        <v>62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Xtal</v>
      </c>
    </row>
    <row r="385" spans="1:38" x14ac:dyDescent="0.2">
      <c r="A385" s="1" t="s">
        <v>33</v>
      </c>
      <c r="B385" s="1" t="str">
        <f>VLOOKUP(A385,Xtal_Templ!A:B,2,FALSE)</f>
        <v>smo_human</v>
      </c>
      <c r="C385" s="5">
        <f>VLOOKUP($B385&amp;"__wt",'SegEnds_Xtal_BW#'!$A:$Z,3,FALSE)</f>
        <v>28</v>
      </c>
      <c r="D385" s="1">
        <f>VLOOKUP($B385&amp;"__wt",'SegEnds_Xtal_BW#'!$A:$Z,4,FALSE)</f>
        <v>60</v>
      </c>
      <c r="E385" s="1">
        <f>VLOOKUP($B385&amp;"__wt",'SegEnds_Xtal_BW#'!$A:$Z,5,FALSE)</f>
        <v>47</v>
      </c>
      <c r="F385" s="1">
        <f>VLOOKUP($B385&amp;"__wt",'SegEnds_Xtal_BW#'!$A:$Z,6,FALSE)</f>
        <v>51</v>
      </c>
      <c r="G385" s="1">
        <v>40</v>
      </c>
      <c r="H385" s="12">
        <f>VLOOKUP($B385&amp;"__wt",'SegEnds_Xtal_BW#'!$A:$Z,8,FALSE)</f>
        <v>63</v>
      </c>
      <c r="I385" s="1" t="str">
        <f>VLOOKUP($B385&amp;"__wt",'SegEnds_Xtal_BW#'!$A:$Z,9,FALSE)</f>
        <v>-</v>
      </c>
      <c r="J385" s="1" t="str">
        <f>VLOOKUP($B385&amp;"__wt",'SegEnds_Xtal_BW#'!$A:$Z,10,FALSE)</f>
        <v>-</v>
      </c>
      <c r="K385" s="12">
        <f>VLOOKUP($B385&amp;"__wt",'SegEnds_Xtal_BW#'!$A:$Z,11,FALSE)</f>
        <v>23</v>
      </c>
      <c r="L385" s="1">
        <f>VLOOKUP($B385&amp;"__wt",'SegEnds_Xtal_BW#'!$A:$Z,12,FALSE)</f>
        <v>56</v>
      </c>
      <c r="M385" s="1" t="str">
        <f>VLOOKUP($B385&amp;"__wt",'SegEnds_Xtal_BW#'!$A:$Z,13,FALSE)</f>
        <v>-</v>
      </c>
      <c r="N385" s="12" t="str">
        <f>VLOOKUP($B385&amp;"__wt",'SegEnds_Xtal_BW#'!$A:$Z,14,FALSE)</f>
        <v>-</v>
      </c>
      <c r="O385" s="87">
        <f>VLOOKUP($B385&amp;"__wt",'SegEnds_Xtal_BW#'!$A:$Z,15,FALSE)</f>
        <v>41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f>VLOOKUP($B385&amp;"__wt",'SegEnds_Xtal_BW#'!$A:$Z,19,FALSE)</f>
        <v>35</v>
      </c>
      <c r="T385" s="1">
        <f>VLOOKUP($B385&amp;"__wt",'SegEnds_Xtal_BW#'!$A:$Z,20,FALSE)</f>
        <v>72</v>
      </c>
      <c r="U385" s="1">
        <f>VLOOKUP($B385&amp;"__wt",'SegEnds_Xtal_BW#'!$A:$Z,21,FALSE)</f>
        <v>20</v>
      </c>
      <c r="V385" s="1">
        <f>VLOOKUP($B385&amp;"__wt",'SegEnds_Xtal_BW#'!$A:$Z,22,FALSE)</f>
        <v>78</v>
      </c>
      <c r="W385" s="1">
        <f>VLOOKUP($B385&amp;"__wt",'SegEnds_Xtal_BW#'!$A:$Z,23,FALSE)</f>
        <v>34</v>
      </c>
      <c r="X385" s="1">
        <f>VLOOKUP($B385&amp;"__wt",'SegEnds_Xtal_BW#'!$A:$Z,24,FALSE)</f>
        <v>57</v>
      </c>
      <c r="Y385" s="1">
        <f>VLOOKUP($B385&amp;"__wt",'SegEnds_Xtal_BW#'!$A:$Z,25,FALSE)</f>
        <v>47</v>
      </c>
      <c r="Z385" s="1">
        <f>VLOOKUP($B385&amp;"__wt",'SegEnds_Xtal_BW#'!$A:$Z,26,FALSE)</f>
        <v>62</v>
      </c>
      <c r="AA385" s="27" t="str">
        <f>VLOOKUP(A385,Classification!A:B,2,FALSE)</f>
        <v>F</v>
      </c>
      <c r="AB385" s="1">
        <f>VLOOKUP(A385,'SegEnds_NonXtal_Prot#'!A:AL,10,FALSE)-VLOOKUP(A385,'SegEnds_NonXtal_Prot#'!A:AL,4,FALSE)</f>
        <v>27</v>
      </c>
      <c r="AC385" s="1">
        <f>VLOOKUP(A385,'SegEnds_NonXtal_Prot#'!A:AL,10,FALSE)-VLOOKUP(A385,'SegEnds_NonXtal_Prot#'!A:AL,7,FALSE)</f>
        <v>13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67</v>
      </c>
      <c r="AF385" s="1" t="e">
        <f>VLOOKUP(A385,'SegEnds_NonXtal_Prot#'!A:AL,22,FALSE)-VLOOKUP(A385,'SegEnds_NonXtal_Prot#'!A:AL,19,FALSE)</f>
        <v>#VALUE!</v>
      </c>
      <c r="AG385" s="1">
        <f>VLOOKUP(A385,'SegEnds_NonXtal_Prot#'!A:AL,28,FALSE)-VLOOKUP(A385,'SegEnds_NonXtal_Prot#'!A:AL,25,FALSE)</f>
        <v>21</v>
      </c>
      <c r="AH385" s="1">
        <f>VLOOKUP(A385,'SegEnds_NonXtal_Prot#'!A:AL,28,FALSE)-VLOOKUP(A385,'SegEnds_NonXtal_Prot#'!A:AL,22,FALSE)</f>
        <v>46</v>
      </c>
      <c r="AI385" s="1">
        <f>VLOOKUP(A385,'SegEnds_NonXtal_Prot#'!A:AL,31,FALSE)-VLOOKUP(A385,'SegEnds_NonXtal_Prot#'!A:AL,28,FALSE)</f>
        <v>57</v>
      </c>
      <c r="AJ385" s="1">
        <f>VLOOKUP(A385,'SegEnds_NonXtal_Prot#'!A:AL,34,FALSE)-VLOOKUP(A385,'SegEnds_NonXtal_Prot#'!A:AL,31,FALSE)</f>
        <v>62</v>
      </c>
      <c r="AK385" s="1">
        <f>VLOOKUP(A385,'SegEnds_NonXtal_Prot#'!A:AL,37,FALSE)-VLOOKUP(A385,'SegEnds_NonXtal_Prot#'!A:AL,34,FALSE)</f>
        <v>11</v>
      </c>
      <c r="AL385" s="1" t="str">
        <f>IF(ISERROR(MATCH(A385,'SegEnds_Xtal_Prot#'!B:B, 0)), "NoXtal", "Xtal")</f>
        <v>Xtal</v>
      </c>
    </row>
    <row r="386" spans="1:38" x14ac:dyDescent="0.2">
      <c r="A386" s="1" t="s">
        <v>1594</v>
      </c>
      <c r="B386" s="1" t="str">
        <f>VLOOKUP(A386,Xtal_Templ!A:B,2,FALSE)</f>
        <v>smo_mouse</v>
      </c>
      <c r="C386" s="5">
        <f>VLOOKUP($B386&amp;"__wt",'SegEnds_Xtal_BW#'!$A:$Z,3,FALSE)</f>
        <v>28</v>
      </c>
      <c r="D386" s="1">
        <f>VLOOKUP($B386&amp;"__wt",'SegEnds_Xtal_BW#'!$A:$Z,4,FALSE)</f>
        <v>60</v>
      </c>
      <c r="E386" s="1">
        <f>VLOOKUP($B386&amp;"__wt",'SegEnds_Xtal_BW#'!$A:$Z,5,FALSE)</f>
        <v>47</v>
      </c>
      <c r="F386" s="1">
        <f>VLOOKUP($B386&amp;"__wt",'SegEnds_Xtal_BW#'!$A:$Z,6,FALSE)</f>
        <v>51</v>
      </c>
      <c r="G386" s="1">
        <v>41</v>
      </c>
      <c r="H386" s="12">
        <f>VLOOKUP($B386&amp;"__wt",'SegEnds_Xtal_BW#'!$A:$Z,8,FALSE)</f>
        <v>63</v>
      </c>
      <c r="I386" s="1" t="str">
        <f>VLOOKUP($B386&amp;"__wt",'SegEnds_Xtal_BW#'!$A:$Z,9,FALSE)</f>
        <v>-</v>
      </c>
      <c r="J386" s="1" t="str">
        <f>VLOOKUP($B386&amp;"__wt",'SegEnds_Xtal_BW#'!$A:$Z,10,FALSE)</f>
        <v>-</v>
      </c>
      <c r="K386" s="12">
        <f>VLOOKUP($B386&amp;"__wt",'SegEnds_Xtal_BW#'!$A:$Z,11,FALSE)</f>
        <v>23</v>
      </c>
      <c r="L386" s="1">
        <f>VLOOKUP($B386&amp;"__wt",'SegEnds_Xtal_BW#'!$A:$Z,12,FALSE)</f>
        <v>56</v>
      </c>
      <c r="M386" s="1" t="str">
        <f>VLOOKUP($B386&amp;"__wt",'SegEnds_Xtal_BW#'!$A:$Z,13,FALSE)</f>
        <v>-</v>
      </c>
      <c r="N386" s="12" t="str">
        <f>VLOOKUP($B386&amp;"__wt",'SegEnds_Xtal_BW#'!$A:$Z,14,FALSE)</f>
        <v>-</v>
      </c>
      <c r="O386" s="87">
        <f>VLOOKUP($B386&amp;"__wt",'SegEnds_Xtal_BW#'!$A:$Z,15,FALSE)</f>
        <v>41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f>VLOOKUP($B386&amp;"__wt",'SegEnds_Xtal_BW#'!$A:$Z,19,FALSE)</f>
        <v>35</v>
      </c>
      <c r="T386" s="1">
        <f>VLOOKUP($B386&amp;"__wt",'SegEnds_Xtal_BW#'!$A:$Z,20,FALSE)</f>
        <v>72</v>
      </c>
      <c r="U386" s="1">
        <f>VLOOKUP($B386&amp;"__wt",'SegEnds_Xtal_BW#'!$A:$Z,21,FALSE)</f>
        <v>20</v>
      </c>
      <c r="V386" s="1">
        <f>VLOOKUP($B386&amp;"__wt",'SegEnds_Xtal_BW#'!$A:$Z,22,FALSE)</f>
        <v>78</v>
      </c>
      <c r="W386" s="1">
        <f>VLOOKUP($B386&amp;"__wt",'SegEnds_Xtal_BW#'!$A:$Z,23,FALSE)</f>
        <v>34</v>
      </c>
      <c r="X386" s="1">
        <f>VLOOKUP($B386&amp;"__wt",'SegEnds_Xtal_BW#'!$A:$Z,24,FALSE)</f>
        <v>57</v>
      </c>
      <c r="Y386" s="1">
        <f>VLOOKUP($B386&amp;"__wt",'SegEnds_Xtal_BW#'!$A:$Z,25,FALSE)</f>
        <v>47</v>
      </c>
      <c r="Z386" s="1">
        <f>VLOOKUP($B386&amp;"__wt",'SegEnds_Xtal_BW#'!$A:$Z,26,FALSE)</f>
        <v>62</v>
      </c>
      <c r="AA386" s="27" t="str">
        <f>VLOOKUP(A386,Classification!A:B,2,FALSE)</f>
        <v>F</v>
      </c>
      <c r="AB386" s="1">
        <f>VLOOKUP(A386,'SegEnds_NonXtal_Prot#'!A:AL,10,FALSE)-VLOOKUP(A386,'SegEnds_NonXtal_Prot#'!A:AL,4,FALSE)</f>
        <v>27</v>
      </c>
      <c r="AC386" s="1">
        <f>VLOOKUP(A386,'SegEnds_NonXtal_Prot#'!A:AL,10,FALSE)-VLOOKUP(A386,'SegEnds_NonXtal_Prot#'!A:AL,7,FALSE)</f>
        <v>13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67</v>
      </c>
      <c r="AF386" s="1" t="e">
        <f>VLOOKUP(A386,'SegEnds_NonXtal_Prot#'!A:AL,22,FALSE)-VLOOKUP(A386,'SegEnds_NonXtal_Prot#'!A:AL,19,FALSE)</f>
        <v>#VALUE!</v>
      </c>
      <c r="AG386" s="1">
        <f>VLOOKUP(A386,'SegEnds_NonXtal_Prot#'!A:AL,28,FALSE)-VLOOKUP(A386,'SegEnds_NonXtal_Prot#'!A:AL,25,FALSE)</f>
        <v>21</v>
      </c>
      <c r="AH386" s="1">
        <f>VLOOKUP(A386,'SegEnds_NonXtal_Prot#'!A:AL,28,FALSE)-VLOOKUP(A386,'SegEnds_NonXtal_Prot#'!A:AL,22,FALSE)</f>
        <v>46</v>
      </c>
      <c r="AI386" s="1">
        <f>VLOOKUP(A386,'SegEnds_NonXtal_Prot#'!A:AL,31,FALSE)-VLOOKUP(A386,'SegEnds_NonXtal_Prot#'!A:AL,28,FALSE)</f>
        <v>57</v>
      </c>
      <c r="AJ386" s="1">
        <f>VLOOKUP(A386,'SegEnds_NonXtal_Prot#'!A:AL,34,FALSE)-VLOOKUP(A386,'SegEnds_NonXtal_Prot#'!A:AL,31,FALSE)</f>
        <v>62</v>
      </c>
      <c r="AK386" s="1">
        <f>VLOOKUP(A386,'SegEnds_NonXtal_Prot#'!A:AL,37,FALSE)-VLOOKUP(A386,'SegEnds_NonXtal_Prot#'!A:AL,34,FALSE)</f>
        <v>11</v>
      </c>
      <c r="AL386" s="1" t="str">
        <f>IF(ISERROR(MATCH(A386,'SegEnds_Xtal_Prot#'!B:B, 0)), "NoXtal", "Xtal")</f>
        <v>Xtal</v>
      </c>
    </row>
    <row r="387" spans="1:38" x14ac:dyDescent="0.2">
      <c r="A387" s="1" t="s">
        <v>484</v>
      </c>
      <c r="B387" s="1" t="str">
        <f>VLOOKUP(A387,Xtal_Templ!A:B,2,FALSE)</f>
        <v>pe2r4_human</v>
      </c>
      <c r="C387" s="5">
        <f>VLOOKUP($B387&amp;"__wt",'SegEnds_Xtal_BW#'!$A:$Z,3,FALSE)</f>
        <v>33</v>
      </c>
      <c r="D387" s="1">
        <v>60</v>
      </c>
      <c r="E387" s="1" t="s">
        <v>23</v>
      </c>
      <c r="F387" s="1" t="s">
        <v>23</v>
      </c>
      <c r="G387" s="1">
        <v>39</v>
      </c>
      <c r="H387" s="12">
        <v>63</v>
      </c>
      <c r="I387" s="1" t="s">
        <v>23</v>
      </c>
      <c r="J387" s="1" t="s">
        <v>23</v>
      </c>
      <c r="K387" s="12">
        <v>23</v>
      </c>
      <c r="L387" s="1">
        <v>56</v>
      </c>
      <c r="M387" s="1" t="s">
        <v>23</v>
      </c>
      <c r="N387" s="12" t="s">
        <v>23</v>
      </c>
      <c r="O387" s="87">
        <v>40</v>
      </c>
      <c r="P387" s="108">
        <v>61</v>
      </c>
      <c r="Q387" s="1" t="s">
        <v>23</v>
      </c>
      <c r="R387" s="1" t="s">
        <v>23</v>
      </c>
      <c r="S387" s="108">
        <v>40</v>
      </c>
      <c r="T387" s="1">
        <v>61</v>
      </c>
      <c r="U387" s="1">
        <v>29</v>
      </c>
      <c r="V387" s="1">
        <v>53</v>
      </c>
      <c r="W387" s="1">
        <v>35</v>
      </c>
      <c r="X387" s="1">
        <v>56</v>
      </c>
      <c r="Y387" s="1">
        <v>47</v>
      </c>
      <c r="Z387" s="1">
        <v>57</v>
      </c>
      <c r="AA387" s="27" t="str">
        <f>VLOOKUP(A387,Classification!A:B,2,FALSE)</f>
        <v>O</v>
      </c>
      <c r="AB387" s="1">
        <f>VLOOKUP(A387,'SegEnds_NonXtal_Prot#'!A:AL,10,FALSE)-VLOOKUP(A387,'SegEnds_NonXtal_Prot#'!A:AL,4,FALSE)</f>
        <v>32</v>
      </c>
      <c r="AC387" s="1" t="e">
        <f>VLOOKUP(A387,'SegEnds_NonXtal_Prot#'!A:AL,10,FALSE)-VLOOKUP(A387,'SegEnds_NonXtal_Prot#'!A:AL,7,FALSE)</f>
        <v>#VALUE!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45</v>
      </c>
      <c r="AF387" s="1" t="e">
        <f>VLOOKUP(A387,'SegEnds_NonXtal_Prot#'!A:AL,22,FALSE)-VLOOKUP(A387,'SegEnds_NonXtal_Prot#'!A:AL,19,FALSE)</f>
        <v>#VALUE!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25</v>
      </c>
      <c r="AI387" s="1">
        <f>VLOOKUP(A387,'SegEnds_NonXtal_Prot#'!A:AL,31,FALSE)-VLOOKUP(A387,'SegEnds_NonXtal_Prot#'!A:AL,28,FALSE)</f>
        <v>76</v>
      </c>
      <c r="AJ387" s="1">
        <f>VLOOKUP(A387,'SegEnds_NonXtal_Prot#'!A:AL,34,FALSE)-VLOOKUP(A387,'SegEnds_NonXtal_Prot#'!A:AL,31,FALSE)</f>
        <v>36</v>
      </c>
      <c r="AK387" s="1">
        <f>VLOOKUP(A387,'SegEnds_NonXtal_Prot#'!A:AL,37,FALSE)-VLOOKUP(A387,'SegEnds_NonXtal_Prot#'!A:AL,34,FALSE)</f>
        <v>24</v>
      </c>
      <c r="AL387" s="1" t="str">
        <f>IF(ISERROR(MATCH(A387,'SegEnds_Xtal_Prot#'!B:B, 0)), "NoXtal", "Xtal")</f>
        <v>NoXtal</v>
      </c>
    </row>
    <row r="388" spans="1:38" x14ac:dyDescent="0.2">
      <c r="A388" s="1" t="s">
        <v>486</v>
      </c>
      <c r="B388" s="1" t="str">
        <f>VLOOKUP(A388,Xtal_Templ!A:B,2,FALSE)</f>
        <v>5ht2c_human</v>
      </c>
      <c r="C388" s="5">
        <f>VLOOKUP($B388&amp;"__wt",'SegEnds_Xtal_BW#'!$A:$Z,3,FALSE)</f>
        <v>33</v>
      </c>
      <c r="D388" s="1">
        <v>60</v>
      </c>
      <c r="E388" s="1" t="s">
        <v>23</v>
      </c>
      <c r="F388" s="1" t="s">
        <v>23</v>
      </c>
      <c r="G388" s="1">
        <v>39</v>
      </c>
      <c r="H388" s="12">
        <v>63</v>
      </c>
      <c r="I388" s="1" t="s">
        <v>23</v>
      </c>
      <c r="J388" s="1" t="s">
        <v>23</v>
      </c>
      <c r="K388" s="12">
        <v>23</v>
      </c>
      <c r="L388" s="1">
        <v>56</v>
      </c>
      <c r="M388" s="1" t="s">
        <v>23</v>
      </c>
      <c r="N388" s="12" t="s">
        <v>23</v>
      </c>
      <c r="O388" s="87">
        <v>40</v>
      </c>
      <c r="P388" s="1">
        <v>64</v>
      </c>
      <c r="Q388" s="1" t="s">
        <v>23</v>
      </c>
      <c r="R388" s="1" t="s">
        <v>23</v>
      </c>
      <c r="S388" s="1">
        <v>39</v>
      </c>
      <c r="T388" s="1">
        <v>61</v>
      </c>
      <c r="U388" s="1">
        <v>29</v>
      </c>
      <c r="V388" s="1">
        <v>53</v>
      </c>
      <c r="W388" s="1">
        <v>35</v>
      </c>
      <c r="X388" s="1">
        <v>56</v>
      </c>
      <c r="Y388" s="1">
        <v>47</v>
      </c>
      <c r="Z388" s="1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28</v>
      </c>
      <c r="AC388" s="1" t="e">
        <f>VLOOKUP(A388,'SegEnds_NonXtal_Prot#'!A:AL,10,FALSE)-VLOOKUP(A388,'SegEnds_NonXtal_Prot#'!A:AL,7,FALSE)</f>
        <v>#VALUE!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47</v>
      </c>
      <c r="AF388" s="1" t="e">
        <f>VLOOKUP(A388,'SegEnds_NonXtal_Prot#'!A:AL,22,FALSE)-VLOOKUP(A388,'SegEnds_NonXtal_Prot#'!A:AL,19,FALSE)</f>
        <v>#VALUE!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29</v>
      </c>
      <c r="AI388" s="1">
        <f>VLOOKUP(A388,'SegEnds_NonXtal_Prot#'!A:AL,31,FALSE)-VLOOKUP(A388,'SegEnds_NonXtal_Prot#'!A:AL,28,FALSE)</f>
        <v>67</v>
      </c>
      <c r="AJ388" s="1">
        <f>VLOOKUP(A388,'SegEnds_NonXtal_Prot#'!A:AL,34,FALSE)-VLOOKUP(A388,'SegEnds_NonXtal_Prot#'!A:AL,31,FALSE)</f>
        <v>45</v>
      </c>
      <c r="AK388" s="1">
        <f>VLOOKUP(A388,'SegEnds_NonXtal_Prot#'!A:AL,37,FALSE)-VLOOKUP(A388,'SegEnds_NonXtal_Prot#'!A:AL,34,FALSE)</f>
        <v>18</v>
      </c>
      <c r="AL388" s="1" t="str">
        <f>IF(ISERROR(MATCH(A388,'SegEnds_Xtal_Prot#'!B:B, 0)), "NoXtal", "Xtal")</f>
        <v>NoXtal</v>
      </c>
    </row>
    <row r="389" spans="1:38" x14ac:dyDescent="0.2">
      <c r="A389" s="4" t="s">
        <v>485</v>
      </c>
      <c r="B389" s="4" t="str">
        <f>VLOOKUP(A389,Xtal_Templ!A:B,2,FALSE)</f>
        <v>aa2ar_human</v>
      </c>
      <c r="C389" s="5">
        <f>VLOOKUP($B389&amp;"__wt",'SegEnds_Xtal_BW#'!$A:$Z,3,FALSE)</f>
        <v>27</v>
      </c>
      <c r="D389" s="4">
        <v>60</v>
      </c>
      <c r="E389" s="4" t="s">
        <v>23</v>
      </c>
      <c r="F389" s="4" t="s">
        <v>23</v>
      </c>
      <c r="G389" s="4">
        <v>39</v>
      </c>
      <c r="H389" s="11">
        <v>63</v>
      </c>
      <c r="I389" s="4" t="s">
        <v>23</v>
      </c>
      <c r="J389" s="4" t="s">
        <v>23</v>
      </c>
      <c r="K389" s="11">
        <v>23</v>
      </c>
      <c r="L389" s="4">
        <v>56</v>
      </c>
      <c r="M389" s="4" t="s">
        <v>23</v>
      </c>
      <c r="N389" s="11" t="s">
        <v>23</v>
      </c>
      <c r="O389" s="88">
        <v>40</v>
      </c>
      <c r="P389" s="4">
        <v>64</v>
      </c>
      <c r="Q389" s="4" t="s">
        <v>23</v>
      </c>
      <c r="R389" s="4" t="s">
        <v>23</v>
      </c>
      <c r="S389" s="4">
        <v>39</v>
      </c>
      <c r="T389" s="4">
        <v>61</v>
      </c>
      <c r="U389" s="4">
        <v>29</v>
      </c>
      <c r="V389" s="4">
        <v>53</v>
      </c>
      <c r="W389" s="4">
        <v>35</v>
      </c>
      <c r="X389" s="4">
        <v>56</v>
      </c>
      <c r="Y389" s="4">
        <v>47</v>
      </c>
      <c r="Z389" s="4">
        <v>57</v>
      </c>
      <c r="AA389" s="27" t="str">
        <f>VLOOKUP(A389,Classification!A:B,2,FALSE)</f>
        <v>O</v>
      </c>
      <c r="AB389" s="1">
        <f>VLOOKUP(A389,'SegEnds_NonXtal_Prot#'!A:AL,10,FALSE)-VLOOKUP(A389,'SegEnds_NonXtal_Prot#'!A:AL,4,FALSE)</f>
        <v>36</v>
      </c>
      <c r="AC389" s="4" t="e">
        <f>VLOOKUP(A389,'SegEnds_NonXtal_Prot#'!A:AL,10,FALSE)-VLOOKUP(A389,'SegEnds_NonXtal_Prot#'!A:AL,7,FALSE)</f>
        <v>#VALUE!</v>
      </c>
      <c r="AD389" s="4" t="e">
        <f>VLOOKUP(A389,'SegEnds_NonXtal_Prot#'!A:AL,13,FALSE)-VLOOKUP(A389,'SegEnds_NonXtal_Prot#'!A:AL,10,FALSE)</f>
        <v>#VALUE!</v>
      </c>
      <c r="AE389" s="4">
        <f>VLOOKUP(A389,'SegEnds_NonXtal_Prot#'!A:AL,16,FALSE)-VLOOKUP(A389,'SegEnds_NonXtal_Prot#'!A:AL,10,FALSE)</f>
        <v>63</v>
      </c>
      <c r="AF389" s="1" t="e">
        <f>VLOOKUP(A389,'SegEnds_NonXtal_Prot#'!A:AL,22,FALSE)-VLOOKUP(A389,'SegEnds_NonXtal_Prot#'!A:AL,19,FALSE)</f>
        <v>#VALUE!</v>
      </c>
      <c r="AG389" s="4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39</v>
      </c>
      <c r="AI389" s="4">
        <f>VLOOKUP(A389,'SegEnds_NonXtal_Prot#'!A:AL,31,FALSE)-VLOOKUP(A389,'SegEnds_NonXtal_Prot#'!A:AL,28,FALSE)</f>
        <v>58</v>
      </c>
      <c r="AJ389" s="4">
        <f>VLOOKUP(A389,'SegEnds_NonXtal_Prot#'!A:AL,34,FALSE)-VLOOKUP(A389,'SegEnds_NonXtal_Prot#'!A:AL,31,FALSE)</f>
        <v>49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482</v>
      </c>
      <c r="B390" s="1" t="str">
        <f>VLOOKUP(A390,Xtal_Templ!A:B,2,FALSE)</f>
        <v>ste2_yeast</v>
      </c>
      <c r="C390" s="5" t="e">
        <f>VLOOKUP($B390&amp;"__wt",'SegEnds_Xtal_BW#'!$A:$Z,3,FALSE)</f>
        <v>#N/A</v>
      </c>
      <c r="D390" s="1">
        <v>60</v>
      </c>
      <c r="E390" s="1" t="s">
        <v>23</v>
      </c>
      <c r="F390" s="1" t="s">
        <v>23</v>
      </c>
      <c r="G390" s="1">
        <v>39</v>
      </c>
      <c r="H390" s="12">
        <v>63</v>
      </c>
      <c r="I390" s="1" t="s">
        <v>23</v>
      </c>
      <c r="J390" s="1" t="s">
        <v>23</v>
      </c>
      <c r="K390" s="12">
        <v>23</v>
      </c>
      <c r="L390" s="1">
        <v>56</v>
      </c>
      <c r="M390" s="1" t="s">
        <v>23</v>
      </c>
      <c r="N390" s="12" t="s">
        <v>23</v>
      </c>
      <c r="O390" s="87">
        <v>40</v>
      </c>
      <c r="P390" s="1">
        <v>64</v>
      </c>
      <c r="Q390" s="1" t="s">
        <v>23</v>
      </c>
      <c r="R390" s="1" t="s">
        <v>23</v>
      </c>
      <c r="S390" s="1">
        <v>39</v>
      </c>
      <c r="T390" s="1">
        <v>61</v>
      </c>
      <c r="U390" s="1">
        <v>29</v>
      </c>
      <c r="V390" s="1">
        <v>53</v>
      </c>
      <c r="W390" s="1">
        <v>35</v>
      </c>
      <c r="X390" s="1">
        <v>56</v>
      </c>
      <c r="Y390" s="1">
        <v>47</v>
      </c>
      <c r="Z390" s="1">
        <v>57</v>
      </c>
      <c r="AA390" s="27" t="str">
        <f>VLOOKUP(A390,Classification!A:B,2,FALSE)</f>
        <v>O</v>
      </c>
      <c r="AB390" s="1">
        <f>VLOOKUP(A390,'SegEnds_NonXtal_Prot#'!A:AL,10,FALSE)-VLOOKUP(A390,'SegEnds_NonXtal_Prot#'!A:AL,4,FALSE)</f>
        <v>49</v>
      </c>
      <c r="AC390" s="1" t="e">
        <f>VLOOKUP(A390,'SegEnds_NonXtal_Prot#'!A:AL,10,FALSE)-VLOOKUP(A390,'SegEnds_NonXtal_Prot#'!A:AL,7,FALSE)</f>
        <v>#VALUE!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74</v>
      </c>
      <c r="AF390" s="1" t="e">
        <f>VLOOKUP(A390,'SegEnds_NonXtal_Prot#'!A:AL,22,FALSE)-VLOOKUP(A390,'SegEnds_NonXtal_Prot#'!A:AL,19,FALSE)</f>
        <v>#VALUE!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81</v>
      </c>
      <c r="AI390" s="1">
        <f>VLOOKUP(A390,'SegEnds_NonXtal_Prot#'!A:AL,31,FALSE)-VLOOKUP(A390,'SegEnds_NonXtal_Prot#'!A:AL,28,FALSE)</f>
        <v>37</v>
      </c>
      <c r="AJ390" s="1">
        <f>VLOOKUP(A390,'SegEnds_NonXtal_Prot#'!A:AL,34,FALSE)-VLOOKUP(A390,'SegEnds_NonXtal_Prot#'!A:AL,31,FALSE)</f>
        <v>44</v>
      </c>
      <c r="AK390" s="1">
        <f>VLOOKUP(A390,'SegEnds_NonXtal_Prot#'!A:AL,37,FALSE)-VLOOKUP(A390,'SegEnds_NonXtal_Prot#'!A:AL,34,FALSE)</f>
        <v>11</v>
      </c>
      <c r="AL390" s="1" t="str">
        <f>IF(ISERROR(MATCH(A390,'SegEnds_Xtal_Prot#'!B:B, 0)), "NoXtal", "Xtal")</f>
        <v>NoXtal</v>
      </c>
    </row>
    <row r="391" spans="1:38" x14ac:dyDescent="0.2">
      <c r="A391" s="1" t="s">
        <v>481</v>
      </c>
      <c r="B391" s="1" t="str">
        <f>VLOOKUP(A391,Xtal_Templ!A:B,2,FALSE)</f>
        <v>fpr2_human</v>
      </c>
      <c r="C391" s="5">
        <f>VLOOKUP($B391&amp;"__wt",'SegEnds_Xtal_BW#'!$A:$Z,3,FALSE)</f>
        <v>25</v>
      </c>
      <c r="D391" s="1">
        <v>60</v>
      </c>
      <c r="E391" s="1" t="s">
        <v>23</v>
      </c>
      <c r="F391" s="1" t="s">
        <v>23</v>
      </c>
      <c r="G391" s="1">
        <v>39</v>
      </c>
      <c r="H391" s="12">
        <v>63</v>
      </c>
      <c r="I391" s="1" t="s">
        <v>23</v>
      </c>
      <c r="J391" s="1" t="s">
        <v>23</v>
      </c>
      <c r="K391" s="12">
        <v>23</v>
      </c>
      <c r="L391" s="1">
        <v>56</v>
      </c>
      <c r="M391" s="1" t="s">
        <v>23</v>
      </c>
      <c r="N391" s="12" t="s">
        <v>23</v>
      </c>
      <c r="O391" s="87">
        <v>40</v>
      </c>
      <c r="P391" s="1">
        <f>VLOOKUP($B391&amp;"__wt",'SegEnds_Xtal_BW#'!$A:$Z,16,FALSE)</f>
        <v>64</v>
      </c>
      <c r="Q391" s="1" t="s">
        <v>23</v>
      </c>
      <c r="R391" s="1" t="s">
        <v>23</v>
      </c>
      <c r="S391" s="1">
        <v>39</v>
      </c>
      <c r="T391" s="1">
        <v>61</v>
      </c>
      <c r="U391" s="1">
        <v>29</v>
      </c>
      <c r="V391" s="1">
        <v>53</v>
      </c>
      <c r="W391" s="1">
        <v>35</v>
      </c>
      <c r="X391" s="1">
        <v>56</v>
      </c>
      <c r="Y391" s="1">
        <v>47</v>
      </c>
      <c r="Z391" s="1">
        <v>57</v>
      </c>
      <c r="AA391" s="27" t="str">
        <f>VLOOKUP(A391,Classification!A:B,2,FALSE)</f>
        <v>O</v>
      </c>
      <c r="AB391" s="1">
        <f>VLOOKUP(A391,'SegEnds_NonXtal_Prot#'!A:AL,10,FALSE)-VLOOKUP(A391,'SegEnds_NonXtal_Prot#'!A:AL,4,FALSE)</f>
        <v>18</v>
      </c>
      <c r="AC391" s="1" t="e">
        <f>VLOOKUP(A391,'SegEnds_NonXtal_Prot#'!A:AL,10,FALSE)-VLOOKUP(A391,'SegEnds_NonXtal_Prot#'!A:AL,7,FALSE)</f>
        <v>#VALUE!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81</v>
      </c>
      <c r="AF391" s="1" t="e">
        <f>VLOOKUP(A391,'SegEnds_NonXtal_Prot#'!A:AL,22,FALSE)-VLOOKUP(A391,'SegEnds_NonXtal_Prot#'!A:AL,19,FALSE)</f>
        <v>#VALUE!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83</v>
      </c>
      <c r="AI391" s="1">
        <f>VLOOKUP(A391,'SegEnds_NonXtal_Prot#'!A:AL,31,FALSE)-VLOOKUP(A391,'SegEnds_NonXtal_Prot#'!A:AL,28,FALSE)</f>
        <v>79</v>
      </c>
      <c r="AJ391" s="1">
        <f>VLOOKUP(A391,'SegEnds_NonXtal_Prot#'!A:AL,34,FALSE)-VLOOKUP(A391,'SegEnds_NonXtal_Prot#'!A:AL,31,FALSE)</f>
        <v>33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477</v>
      </c>
      <c r="B392" s="1" t="str">
        <f>VLOOKUP(A392,Xtal_Templ!A:B,2,FALSE)</f>
        <v>hrh1_human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24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f>VLOOKUP($B392&amp;"__wt",'SegEnds_Xtal_BW#'!$A:$Z,14,FALSE)</f>
        <v>57</v>
      </c>
      <c r="O392" s="87">
        <v>38</v>
      </c>
      <c r="P392" s="1">
        <f>VLOOKUP($B392&amp;"__wt",'SegEnds_Xtal_BW#'!$A:$Z,16,FALSE)</f>
        <v>62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48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48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456</v>
      </c>
      <c r="B393" s="1" t="str">
        <f>VLOOKUP(A393,Xtal_Templ!A:B,2,FALSE)</f>
        <v>drd2_human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f>VLOOKUP($B393&amp;"__wt",'SegEnds_Xtal_BW#'!$A:$Z,14,FALSE)</f>
        <v>58</v>
      </c>
      <c r="O393" s="88">
        <v>38</v>
      </c>
      <c r="P393" s="1">
        <f>VLOOKUP($B393&amp;"__wt",'SegEnds_Xtal_BW#'!$A:$Z,16,FALSE)</f>
        <v>62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30</v>
      </c>
      <c r="AC393" s="1">
        <f>VLOOKUP(A393,'SegEnds_NonXtal_Prot#'!A:AL,10,FALSE)-VLOOKUP(A393,'SegEnds_NonXtal_Prot#'!A:AL,7,FALSE)</f>
        <v>15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52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50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460</v>
      </c>
      <c r="B394" s="1" t="str">
        <f>VLOOKUP(A394,Xtal_Templ!A:B,2,FALSE)</f>
        <v>5ht2c_human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67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461</v>
      </c>
      <c r="B395" s="1" t="str">
        <f>VLOOKUP(A395,Xtal_Templ!A:B,2,FALSE)</f>
        <v>5ht2c_human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67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51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52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462</v>
      </c>
      <c r="B396" s="1" t="str">
        <f>VLOOKUP(A396,Xtal_Templ!A:B,2,FALSE)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51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52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463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469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929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33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56</v>
      </c>
      <c r="AJ399" s="1">
        <f>VLOOKUP(A399,'SegEnds_NonXtal_Prot#'!A:AL,34,FALSE)-VLOOKUP(A399,'SegEnds_NonXtal_Prot#'!A:AL,31,FALSE)</f>
        <v>33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470</v>
      </c>
      <c r="B400" s="1" t="str">
        <f>VLOOKUP(A400,Xtal_Templ!A:B,2,FALSE)</f>
        <v>5ht2c_human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7">
        <v>38</v>
      </c>
      <c r="P400" s="1">
        <f>VLOOKUP($B400&amp;"__wt",'SegEnds_Xtal_BW#'!$A:$Z,16,FALSE)</f>
        <v>67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471</v>
      </c>
      <c r="B401" s="1" t="str">
        <f>VLOOKUP(A401,Xtal_Templ!A:B,2,FALSE)</f>
        <v>drd2_human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62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476</v>
      </c>
      <c r="B402" s="1" t="str">
        <f>VLOOKUP(A402,Xtal_Templ!A:B,2,FALSE)</f>
        <v>5ht1b_human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63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53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457</v>
      </c>
      <c r="B403" s="1" t="str">
        <f>VLOOKUP(A403,Xtal_Templ!A:B,2,FALSE)</f>
        <v>5ht2a_human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7">
        <v>38</v>
      </c>
      <c r="P403" s="1">
        <f>VLOOKUP($B403&amp;"__wt",'SegEnds_Xtal_BW#'!$A:$Z,16,FALSE)</f>
        <v>67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52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54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35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458</v>
      </c>
      <c r="B404" s="1" t="str">
        <f>VLOOKUP(A404,Xtal_Templ!A:B,2,FALSE)</f>
        <v>5ht2c_human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67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67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54</v>
      </c>
      <c r="AI404" s="1">
        <f>VLOOKUP(A404,'SegEnds_NonXtal_Prot#'!A:AL,31,FALSE)-VLOOKUP(A404,'SegEnds_NonXtal_Prot#'!A:AL,28,FALSE)</f>
        <v>52</v>
      </c>
      <c r="AJ404" s="1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4" t="s">
        <v>474</v>
      </c>
      <c r="B405" s="4" t="str">
        <f>VLOOKUP(A405,Xtal_Templ!A:B,2,FALSE)</f>
        <v>cxcr4_human</v>
      </c>
      <c r="C405" s="5">
        <v>32</v>
      </c>
      <c r="D405" s="4">
        <v>62</v>
      </c>
      <c r="E405" s="4">
        <f>VLOOKUP($B405&amp;"__wt",'SegEnds_Xtal_BW#'!$A:$Z,5,FALSE)</f>
        <v>48</v>
      </c>
      <c r="F405" s="4">
        <f>VLOOKUP($B405&amp;"__wt",'SegEnds_Xtal_BW#'!$A:$Z,6,FALSE)</f>
        <v>51</v>
      </c>
      <c r="G405" s="4">
        <v>39</v>
      </c>
      <c r="H405" s="11">
        <v>66</v>
      </c>
      <c r="I405" s="4" t="s">
        <v>23</v>
      </c>
      <c r="J405" s="4" t="s">
        <v>23</v>
      </c>
      <c r="K405" s="11">
        <v>24</v>
      </c>
      <c r="L405" s="4">
        <f>VLOOKUP($B405&amp;"__wt",'SegEnds_Xtal_BW#'!$A:$Z,12,FALSE)</f>
        <v>56</v>
      </c>
      <c r="M405" s="4">
        <f>VLOOKUP($B405&amp;"__wt",'SegEnds_Xtal_BW#'!$A:$Z,13,FALSE)</f>
        <v>50</v>
      </c>
      <c r="N405" s="11">
        <v>57</v>
      </c>
      <c r="O405" s="88">
        <v>38</v>
      </c>
      <c r="P405" s="4">
        <f>VLOOKUP($B405&amp;"__wt",'SegEnds_Xtal_BW#'!$A:$Z,16,FALSE)</f>
        <v>64</v>
      </c>
      <c r="Q405" s="4">
        <f>VLOOKUP($B405&amp;"__wt",'SegEnds_Xtal_BW#'!$A:$Z,17,FALSE)</f>
        <v>50</v>
      </c>
      <c r="R405" s="4">
        <f>VLOOKUP($B405&amp;"__wt",'SegEnds_Xtal_BW#'!$A:$Z,18,FALSE)</f>
        <v>52</v>
      </c>
      <c r="S405" s="4">
        <v>32</v>
      </c>
      <c r="T405" s="4">
        <v>72</v>
      </c>
      <c r="U405" s="4">
        <v>29</v>
      </c>
      <c r="V405" s="4">
        <v>61</v>
      </c>
      <c r="W405" s="4">
        <v>31</v>
      </c>
      <c r="X405" s="4">
        <f>VLOOKUP($B405&amp;"__wt",'SegEnds_Xtal_BW#'!$A:$Z,24,FALSE)</f>
        <v>56</v>
      </c>
      <c r="Y405" s="4">
        <f>VLOOKUP($B405&amp;"__wt",'SegEnds_Xtal_BW#'!$A:$Z,25,FALSE)</f>
        <v>47</v>
      </c>
      <c r="Z405" s="4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4">
        <f>VLOOKUP(A405,'SegEnds_NonXtal_Prot#'!A:AL,10,FALSE)-VLOOKUP(A405,'SegEnds_NonXtal_Prot#'!A:AL,7,FALSE)</f>
        <v>16</v>
      </c>
      <c r="AD405" s="4" t="e">
        <f>VLOOKUP(A405,'SegEnds_NonXtal_Prot#'!A:AL,13,FALSE)-VLOOKUP(A405,'SegEnds_NonXtal_Prot#'!A:AL,10,FALSE)</f>
        <v>#VALUE!</v>
      </c>
      <c r="AE405" s="4">
        <f>VLOOKUP(A405,'SegEnds_NonXtal_Prot#'!A:AL,16,FALSE)-VLOOKUP(A405,'SegEnds_NonXtal_Prot#'!A:AL,10,FALSE)</f>
        <v>48</v>
      </c>
      <c r="AF405" s="1">
        <f>VLOOKUP(A405,'SegEnds_NonXtal_Prot#'!A:AL,22,FALSE)-VLOOKUP(A405,'SegEnds_NonXtal_Prot#'!A:AL,19,FALSE)</f>
        <v>20</v>
      </c>
      <c r="AG405" s="4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54</v>
      </c>
      <c r="AI405" s="4">
        <f>VLOOKUP(A405,'SegEnds_NonXtal_Prot#'!A:AL,31,FALSE)-VLOOKUP(A405,'SegEnds_NonXtal_Prot#'!A:AL,28,FALSE)</f>
        <v>53</v>
      </c>
      <c r="AJ405" s="4">
        <f>VLOOKUP(A405,'SegEnds_NonXtal_Prot#'!A:AL,34,FALSE)-VLOOKUP(A405,'SegEnds_NonXtal_Prot#'!A:AL,31,FALSE)</f>
        <v>35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480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8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54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459</v>
      </c>
      <c r="B407" s="1" t="str">
        <f>VLOOKUP(A407,Xtal_Templ!A:B,2,FALSE)</f>
        <v>pd2r2_human</v>
      </c>
      <c r="C407" s="5">
        <v>32</v>
      </c>
      <c r="D407" s="1">
        <v>62</v>
      </c>
      <c r="E407" s="1" t="str">
        <f>VLOOKUP($B407&amp;"__wt",'SegEnds_Xtal_BW#'!$A:$Z,5,FALSE)</f>
        <v>-</v>
      </c>
      <c r="F407" s="1" t="str">
        <f>VLOOKUP($B407&amp;"__wt",'SegEnds_Xtal_BW#'!$A:$Z,6,FALSE)</f>
        <v>-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24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47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56</v>
      </c>
      <c r="AI407" s="1">
        <f>VLOOKUP(A407,'SegEnds_NonXtal_Prot#'!A:AL,31,FALSE)-VLOOKUP(A407,'SegEnds_NonXtal_Prot#'!A:AL,28,FALSE)</f>
        <v>50</v>
      </c>
      <c r="AJ407" s="1">
        <f>VLOOKUP(A407,'SegEnds_NonXtal_Prot#'!A:AL,34,FALSE)-VLOOKUP(A407,'SegEnds_NonXtal_Prot#'!A:AL,31,FALSE)</f>
        <v>35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465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56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35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467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56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35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468</v>
      </c>
      <c r="B410" s="1" t="str">
        <f>VLOOKUP(A410,Xtal_Templ!A:B,2,FALSE)</f>
        <v>hrh1_human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67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56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475</v>
      </c>
      <c r="B411" s="1" t="str">
        <f>VLOOKUP(A411,Xtal_Templ!A:B,2,FALSE)</f>
        <v>cxcr4_human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67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56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  <row r="412" spans="1:38" x14ac:dyDescent="0.2">
      <c r="A412" s="1" t="s">
        <v>466</v>
      </c>
      <c r="B412" s="1" t="str">
        <f>VLOOKUP(A412,Xtal_Templ!A:B,2,FALSE)</f>
        <v>5ht2a_human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18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7">
        <v>38</v>
      </c>
      <c r="P412" s="1">
        <f>VLOOKUP($B412&amp;"__wt",'SegEnds_Xtal_BW#'!$A:$Z,16,FALSE)</f>
        <v>67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52</v>
      </c>
      <c r="AF412" s="1">
        <f>VLOOKUP(A412,'SegEnds_NonXtal_Prot#'!A:AL,22,FALSE)-VLOOKUP(A412,'SegEnds_NonXtal_Prot#'!A:AL,19,FALSE)</f>
        <v>20</v>
      </c>
      <c r="AG412" s="1" t="e">
        <f>VLOOKUP(A412,'SegEnds_NonXtal_Prot#'!A:AL,28,FALSE)-VLOOKUP(A412,'SegEnds_NonXtal_Prot#'!A:AL,25,FALSE)</f>
        <v>#VALUE!</v>
      </c>
      <c r="AH412" s="1">
        <f>VLOOKUP(A412,'SegEnds_NonXtal_Prot#'!A:AL,28,FALSE)-VLOOKUP(A412,'SegEnds_NonXtal_Prot#'!A:AL,22,FALSE)</f>
        <v>57</v>
      </c>
      <c r="AI412" s="1">
        <f>VLOOKUP(A412,'SegEnds_NonXtal_Prot#'!A:AL,31,FALSE)-VLOOKUP(A412,'SegEnds_NonXtal_Prot#'!A:AL,28,FALSE)</f>
        <v>53</v>
      </c>
      <c r="AJ412" s="1">
        <f>VLOOKUP(A412,'SegEnds_NonXtal_Prot#'!A:AL,34,FALSE)-VLOOKUP(A412,'SegEnds_NonXtal_Prot#'!A:AL,31,FALSE)</f>
        <v>35</v>
      </c>
      <c r="AK412" s="1">
        <f>VLOOKUP(A412,'SegEnds_NonXtal_Prot#'!A:AL,37,FALSE)-VLOOKUP(A412,'SegEnds_NonXtal_Prot#'!A:AL,34,FALSE)</f>
        <v>10</v>
      </c>
      <c r="AL412" s="1" t="str">
        <f>IF(ISERROR(MATCH(A412,'SegEnds_Xtal_Prot#'!B:B, 0)), "NoXtal", "Xtal")</f>
        <v>NoXtal</v>
      </c>
    </row>
    <row r="413" spans="1:38" x14ac:dyDescent="0.2">
      <c r="A413" s="1" t="s">
        <v>478</v>
      </c>
      <c r="B413" s="1" t="str">
        <f>VLOOKUP(A413,Xtal_Templ!A:B,2,FALSE)</f>
        <v>drd2_human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67</v>
      </c>
      <c r="I413" s="1" t="s">
        <v>23</v>
      </c>
      <c r="J413" s="1" t="s">
        <v>23</v>
      </c>
      <c r="K413" s="12">
        <v>21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8">
        <v>38</v>
      </c>
      <c r="P413" s="1">
        <f>VLOOKUP($B413&amp;"__wt",'SegEnds_Xtal_BW#'!$A:$Z,16,FALSE)</f>
        <v>62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52</v>
      </c>
      <c r="AF413" s="1">
        <f>VLOOKUP(A413,'SegEnds_NonXtal_Prot#'!A:AL,22,FALSE)-VLOOKUP(A413,'SegEnds_NonXtal_Prot#'!A:AL,19,FALSE)</f>
        <v>20</v>
      </c>
      <c r="AG413" s="1" t="e">
        <f>VLOOKUP(A413,'SegEnds_NonXtal_Prot#'!A:AL,28,FALSE)-VLOOKUP(A413,'SegEnds_NonXtal_Prot#'!A:AL,25,FALSE)</f>
        <v>#VALUE!</v>
      </c>
      <c r="AH413" s="1">
        <f>VLOOKUP(A413,'SegEnds_NonXtal_Prot#'!A:AL,28,FALSE)-VLOOKUP(A413,'SegEnds_NonXtal_Prot#'!A:AL,22,FALSE)</f>
        <v>57</v>
      </c>
      <c r="AI413" s="1">
        <f>VLOOKUP(A413,'SegEnds_NonXtal_Prot#'!A:AL,31,FALSE)-VLOOKUP(A413,'SegEnds_NonXtal_Prot#'!A:AL,28,FALSE)</f>
        <v>53</v>
      </c>
      <c r="AJ413" s="1">
        <f>VLOOKUP(A413,'SegEnds_NonXtal_Prot#'!A:AL,34,FALSE)-VLOOKUP(A413,'SegEnds_NonXtal_Prot#'!A:AL,31,FALSE)</f>
        <v>36</v>
      </c>
      <c r="AK413" s="1">
        <f>VLOOKUP(A413,'SegEnds_NonXtal_Prot#'!A:AL,37,FALSE)-VLOOKUP(A413,'SegEnds_NonXtal_Prot#'!A:AL,34,FALSE)</f>
        <v>10</v>
      </c>
      <c r="AL413" s="1" t="str">
        <f>IF(ISERROR(MATCH(A413,'SegEnds_Xtal_Prot#'!B:B, 0)), "NoXtal", "Xtal")</f>
        <v>NoXtal</v>
      </c>
    </row>
    <row r="414" spans="1:38" x14ac:dyDescent="0.2">
      <c r="A414" s="1" t="s">
        <v>479</v>
      </c>
      <c r="B414" s="1" t="str">
        <f>VLOOKUP(A414,Xtal_Templ!A:B,2,FALSE)</f>
        <v>drd2_human</v>
      </c>
      <c r="C414" s="5">
        <v>32</v>
      </c>
      <c r="D414" s="1">
        <v>62</v>
      </c>
      <c r="E414" s="1">
        <f>VLOOKUP($B414&amp;"__wt",'SegEnds_Xtal_BW#'!$A:$Z,5,FALSE)</f>
        <v>48</v>
      </c>
      <c r="F414" s="1">
        <f>VLOOKUP($B414&amp;"__wt",'SegEnds_Xtal_BW#'!$A:$Z,6,FALSE)</f>
        <v>51</v>
      </c>
      <c r="G414" s="1">
        <v>39</v>
      </c>
      <c r="H414" s="12">
        <v>66</v>
      </c>
      <c r="I414" s="1" t="s">
        <v>23</v>
      </c>
      <c r="J414" s="1" t="s">
        <v>23</v>
      </c>
      <c r="K414" s="12">
        <v>18</v>
      </c>
      <c r="L414" s="1">
        <f>VLOOKUP($B414&amp;"__wt",'SegEnds_Xtal_BW#'!$A:$Z,12,FALSE)</f>
        <v>56</v>
      </c>
      <c r="M414" s="1">
        <f>VLOOKUP($B414&amp;"__wt",'SegEnds_Xtal_BW#'!$A:$Z,13,FALSE)</f>
        <v>50</v>
      </c>
      <c r="N414" s="12">
        <v>57</v>
      </c>
      <c r="O414" s="87">
        <v>38</v>
      </c>
      <c r="P414" s="1">
        <f>VLOOKUP($B414&amp;"__wt",'SegEnds_Xtal_BW#'!$A:$Z,16,FALSE)</f>
        <v>62</v>
      </c>
      <c r="Q414" s="1">
        <f>VLOOKUP($B414&amp;"__wt",'SegEnds_Xtal_BW#'!$A:$Z,17,FALSE)</f>
        <v>50</v>
      </c>
      <c r="R414" s="1">
        <f>VLOOKUP($B414&amp;"__wt",'SegEnds_Xtal_BW#'!$A:$Z,18,FALSE)</f>
        <v>52</v>
      </c>
      <c r="S414" s="1">
        <v>32</v>
      </c>
      <c r="T414" s="1">
        <v>72</v>
      </c>
      <c r="U414" s="1">
        <v>29</v>
      </c>
      <c r="V414" s="1">
        <v>61</v>
      </c>
      <c r="W414" s="1">
        <v>31</v>
      </c>
      <c r="X414" s="1">
        <f>VLOOKUP($B414&amp;"__wt",'SegEnds_Xtal_BW#'!$A:$Z,24,FALSE)</f>
        <v>56</v>
      </c>
      <c r="Y414" s="1">
        <f>VLOOKUP($B414&amp;"__wt",'SegEnds_Xtal_BW#'!$A:$Z,25,FALSE)</f>
        <v>47</v>
      </c>
      <c r="Z414" s="1">
        <v>60</v>
      </c>
      <c r="AA414" s="27" t="str">
        <f>VLOOKUP(A414,Classification!A:B,2,FALSE)</f>
        <v>T</v>
      </c>
      <c r="AB414" s="1">
        <f>VLOOKUP(A414,'SegEnds_NonXtal_Prot#'!A:AL,10,FALSE)-VLOOKUP(A414,'SegEnds_NonXtal_Prot#'!A:AL,4,FALSE)</f>
        <v>31</v>
      </c>
      <c r="AC414" s="1">
        <f>VLOOKUP(A414,'SegEnds_NonXtal_Prot#'!A:AL,10,FALSE)-VLOOKUP(A414,'SegEnds_NonXtal_Prot#'!A:AL,7,FALSE)</f>
        <v>16</v>
      </c>
      <c r="AD414" s="1" t="e">
        <f>VLOOKUP(A414,'SegEnds_NonXtal_Prot#'!A:AL,13,FALSE)-VLOOKUP(A414,'SegEnds_NonXtal_Prot#'!A:AL,10,FALSE)</f>
        <v>#VALUE!</v>
      </c>
      <c r="AE414" s="1">
        <f>VLOOKUP(A414,'SegEnds_NonXtal_Prot#'!A:AL,16,FALSE)-VLOOKUP(A414,'SegEnds_NonXtal_Prot#'!A:AL,10,FALSE)</f>
        <v>52</v>
      </c>
      <c r="AF414" s="1">
        <f>VLOOKUP(A414,'SegEnds_NonXtal_Prot#'!A:AL,22,FALSE)-VLOOKUP(A414,'SegEnds_NonXtal_Prot#'!A:AL,19,FALSE)</f>
        <v>20</v>
      </c>
      <c r="AG414" s="1" t="e">
        <f>VLOOKUP(A414,'SegEnds_NonXtal_Prot#'!A:AL,28,FALSE)-VLOOKUP(A414,'SegEnds_NonXtal_Prot#'!A:AL,25,FALSE)</f>
        <v>#VALUE!</v>
      </c>
      <c r="AH414" s="1">
        <f>VLOOKUP(A414,'SegEnds_NonXtal_Prot#'!A:AL,28,FALSE)-VLOOKUP(A414,'SegEnds_NonXtal_Prot#'!A:AL,22,FALSE)</f>
        <v>57</v>
      </c>
      <c r="AI414" s="1">
        <f>VLOOKUP(A414,'SegEnds_NonXtal_Prot#'!A:AL,31,FALSE)-VLOOKUP(A414,'SegEnds_NonXtal_Prot#'!A:AL,28,FALSE)</f>
        <v>53</v>
      </c>
      <c r="AJ414" s="1">
        <f>VLOOKUP(A414,'SegEnds_NonXtal_Prot#'!A:AL,34,FALSE)-VLOOKUP(A414,'SegEnds_NonXtal_Prot#'!A:AL,31,FALSE)</f>
        <v>36</v>
      </c>
      <c r="AK414" s="1">
        <f>VLOOKUP(A414,'SegEnds_NonXtal_Prot#'!A:AL,37,FALSE)-VLOOKUP(A414,'SegEnds_NonXtal_Prot#'!A:AL,34,FALSE)</f>
        <v>10</v>
      </c>
      <c r="AL414" s="1" t="str">
        <f>IF(ISERROR(MATCH(A414,'SegEnds_Xtal_Prot#'!B:B, 0)), "NoXtal", "Xtal")</f>
        <v>NoXtal</v>
      </c>
    </row>
    <row r="415" spans="1:38" x14ac:dyDescent="0.2">
      <c r="A415" s="1" t="s">
        <v>472</v>
      </c>
      <c r="B415" s="1" t="str">
        <f>VLOOKUP(A415,Xtal_Templ!A:B,2,FALSE)</f>
        <v>oprk_human</v>
      </c>
      <c r="C415" s="5">
        <v>32</v>
      </c>
      <c r="D415" s="1">
        <v>62</v>
      </c>
      <c r="E415" s="1">
        <f>VLOOKUP($B415&amp;"__wt",'SegEnds_Xtal_BW#'!$A:$Z,5,FALSE)</f>
        <v>48</v>
      </c>
      <c r="F415" s="1">
        <f>VLOOKUP($B415&amp;"__wt",'SegEnds_Xtal_BW#'!$A:$Z,6,FALSE)</f>
        <v>51</v>
      </c>
      <c r="G415" s="1">
        <v>39</v>
      </c>
      <c r="H415" s="12">
        <v>66</v>
      </c>
      <c r="I415" s="1" t="s">
        <v>23</v>
      </c>
      <c r="J415" s="1" t="s">
        <v>23</v>
      </c>
      <c r="K415" s="12">
        <v>18</v>
      </c>
      <c r="L415" s="1">
        <f>VLOOKUP($B415&amp;"__wt",'SegEnds_Xtal_BW#'!$A:$Z,12,FALSE)</f>
        <v>56</v>
      </c>
      <c r="M415" s="1">
        <f>VLOOKUP($B415&amp;"__wt",'SegEnds_Xtal_BW#'!$A:$Z,13,FALSE)</f>
        <v>50</v>
      </c>
      <c r="N415" s="12">
        <v>57</v>
      </c>
      <c r="O415" s="88">
        <v>38</v>
      </c>
      <c r="P415" s="1">
        <f>VLOOKUP($B415&amp;"__wt",'SegEnds_Xtal_BW#'!$A:$Z,16,FALSE)</f>
        <v>64</v>
      </c>
      <c r="Q415" s="1">
        <f>VLOOKUP($B415&amp;"__wt",'SegEnds_Xtal_BW#'!$A:$Z,17,FALSE)</f>
        <v>50</v>
      </c>
      <c r="R415" s="1">
        <f>VLOOKUP($B415&amp;"__wt",'SegEnds_Xtal_BW#'!$A:$Z,18,FALSE)</f>
        <v>52</v>
      </c>
      <c r="S415" s="1">
        <v>32</v>
      </c>
      <c r="T415" s="1">
        <v>72</v>
      </c>
      <c r="U415" s="1">
        <v>29</v>
      </c>
      <c r="V415" s="1">
        <v>61</v>
      </c>
      <c r="W415" s="1">
        <v>31</v>
      </c>
      <c r="X415" s="1">
        <f>VLOOKUP($B415&amp;"__wt",'SegEnds_Xtal_BW#'!$A:$Z,24,FALSE)</f>
        <v>56</v>
      </c>
      <c r="Y415" s="1">
        <f>VLOOKUP($B415&amp;"__wt",'SegEnds_Xtal_BW#'!$A:$Z,25,FALSE)</f>
        <v>47</v>
      </c>
      <c r="Z415" s="1">
        <v>60</v>
      </c>
      <c r="AA415" s="27" t="str">
        <f>VLOOKUP(A415,Classification!A:B,2,FALSE)</f>
        <v>T</v>
      </c>
      <c r="AB415" s="1">
        <f>VLOOKUP(A415,'SegEnds_NonXtal_Prot#'!A:AL,10,FALSE)-VLOOKUP(A415,'SegEnds_NonXtal_Prot#'!A:AL,4,FALSE)</f>
        <v>31</v>
      </c>
      <c r="AC415" s="1">
        <f>VLOOKUP(A415,'SegEnds_NonXtal_Prot#'!A:AL,10,FALSE)-VLOOKUP(A415,'SegEnds_NonXtal_Prot#'!A:AL,7,FALSE)</f>
        <v>16</v>
      </c>
      <c r="AD415" s="1" t="e">
        <f>VLOOKUP(A415,'SegEnds_NonXtal_Prot#'!A:AL,13,FALSE)-VLOOKUP(A415,'SegEnds_NonXtal_Prot#'!A:AL,10,FALSE)</f>
        <v>#VALUE!</v>
      </c>
      <c r="AE415" s="1">
        <f>VLOOKUP(A415,'SegEnds_NonXtal_Prot#'!A:AL,16,FALSE)-VLOOKUP(A415,'SegEnds_NonXtal_Prot#'!A:AL,10,FALSE)</f>
        <v>52</v>
      </c>
      <c r="AF415" s="1">
        <f>VLOOKUP(A415,'SegEnds_NonXtal_Prot#'!A:AL,22,FALSE)-VLOOKUP(A415,'SegEnds_NonXtal_Prot#'!A:AL,19,FALSE)</f>
        <v>20</v>
      </c>
      <c r="AG415" s="1" t="e">
        <f>VLOOKUP(A415,'SegEnds_NonXtal_Prot#'!A:AL,28,FALSE)-VLOOKUP(A415,'SegEnds_NonXtal_Prot#'!A:AL,25,FALSE)</f>
        <v>#VALUE!</v>
      </c>
      <c r="AH415" s="1">
        <f>VLOOKUP(A415,'SegEnds_NonXtal_Prot#'!A:AL,28,FALSE)-VLOOKUP(A415,'SegEnds_NonXtal_Prot#'!A:AL,22,FALSE)</f>
        <v>58</v>
      </c>
      <c r="AI415" s="1">
        <f>VLOOKUP(A415,'SegEnds_NonXtal_Prot#'!A:AL,31,FALSE)-VLOOKUP(A415,'SegEnds_NonXtal_Prot#'!A:AL,28,FALSE)</f>
        <v>53</v>
      </c>
      <c r="AJ415" s="1">
        <f>VLOOKUP(A415,'SegEnds_NonXtal_Prot#'!A:AL,34,FALSE)-VLOOKUP(A415,'SegEnds_NonXtal_Prot#'!A:AL,31,FALSE)</f>
        <v>35</v>
      </c>
      <c r="AK415" s="1">
        <f>VLOOKUP(A415,'SegEnds_NonXtal_Prot#'!A:AL,37,FALSE)-VLOOKUP(A415,'SegEnds_NonXtal_Prot#'!A:AL,34,FALSE)</f>
        <v>10</v>
      </c>
      <c r="AL415" s="1" t="str">
        <f>IF(ISERROR(MATCH(A415,'SegEnds_Xtal_Prot#'!B:B, 0)), "NoXtal", "Xtal")</f>
        <v>NoXtal</v>
      </c>
    </row>
    <row r="416" spans="1:38" x14ac:dyDescent="0.2">
      <c r="A416" s="1" t="s">
        <v>464</v>
      </c>
      <c r="B416" s="1" t="str">
        <f>VLOOKUP(A416,Xtal_Templ!A:B,2,FALSE)</f>
        <v>agtr1_human</v>
      </c>
      <c r="C416" s="5">
        <v>32</v>
      </c>
      <c r="D416" s="1">
        <v>62</v>
      </c>
      <c r="E416" s="1">
        <f>VLOOKUP($B416&amp;"__wt",'SegEnds_Xtal_BW#'!$A:$Z,5,FALSE)</f>
        <v>48</v>
      </c>
      <c r="F416" s="1">
        <f>VLOOKUP($B416&amp;"__wt",'SegEnds_Xtal_BW#'!$A:$Z,6,FALSE)</f>
        <v>51</v>
      </c>
      <c r="G416" s="1">
        <v>39</v>
      </c>
      <c r="H416" s="12">
        <v>67</v>
      </c>
      <c r="I416" s="1" t="s">
        <v>23</v>
      </c>
      <c r="J416" s="1" t="s">
        <v>23</v>
      </c>
      <c r="K416" s="12">
        <v>18</v>
      </c>
      <c r="L416" s="1">
        <f>VLOOKUP($B416&amp;"__wt",'SegEnds_Xtal_BW#'!$A:$Z,12,FALSE)</f>
        <v>56</v>
      </c>
      <c r="M416" s="1">
        <f>VLOOKUP($B416&amp;"__wt",'SegEnds_Xtal_BW#'!$A:$Z,13,FALSE)</f>
        <v>50</v>
      </c>
      <c r="N416" s="12">
        <v>57</v>
      </c>
      <c r="O416" s="87">
        <v>38</v>
      </c>
      <c r="P416" s="1">
        <f>VLOOKUP($B416&amp;"__wt",'SegEnds_Xtal_BW#'!$A:$Z,16,FALSE)</f>
        <v>64</v>
      </c>
      <c r="Q416" s="1">
        <f>VLOOKUP($B416&amp;"__wt",'SegEnds_Xtal_BW#'!$A:$Z,17,FALSE)</f>
        <v>50</v>
      </c>
      <c r="R416" s="1">
        <f>VLOOKUP($B416&amp;"__wt",'SegEnds_Xtal_BW#'!$A:$Z,18,FALSE)</f>
        <v>52</v>
      </c>
      <c r="S416" s="1">
        <v>32</v>
      </c>
      <c r="T416" s="1">
        <v>72</v>
      </c>
      <c r="U416" s="1">
        <v>29</v>
      </c>
      <c r="V416" s="1">
        <v>61</v>
      </c>
      <c r="W416" s="1">
        <v>31</v>
      </c>
      <c r="X416" s="1">
        <f>VLOOKUP($B416&amp;"__wt",'SegEnds_Xtal_BW#'!$A:$Z,24,FALSE)</f>
        <v>56</v>
      </c>
      <c r="Y416" s="1">
        <f>VLOOKUP($B416&amp;"__wt",'SegEnds_Xtal_BW#'!$A:$Z,25,FALSE)</f>
        <v>47</v>
      </c>
      <c r="Z416" s="1">
        <v>60</v>
      </c>
      <c r="AA416" s="27" t="str">
        <f>VLOOKUP(A416,Classification!A:B,2,FALSE)</f>
        <v>T</v>
      </c>
      <c r="AB416" s="1">
        <f>VLOOKUP(A416,'SegEnds_NonXtal_Prot#'!A:AL,10,FALSE)-VLOOKUP(A416,'SegEnds_NonXtal_Prot#'!A:AL,4,FALSE)</f>
        <v>31</v>
      </c>
      <c r="AC416" s="1">
        <f>VLOOKUP(A416,'SegEnds_NonXtal_Prot#'!A:AL,10,FALSE)-VLOOKUP(A416,'SegEnds_NonXtal_Prot#'!A:AL,7,FALSE)</f>
        <v>16</v>
      </c>
      <c r="AD416" s="1" t="e">
        <f>VLOOKUP(A416,'SegEnds_NonXtal_Prot#'!A:AL,13,FALSE)-VLOOKUP(A416,'SegEnds_NonXtal_Prot#'!A:AL,10,FALSE)</f>
        <v>#VALUE!</v>
      </c>
      <c r="AE416" s="1">
        <f>VLOOKUP(A416,'SegEnds_NonXtal_Prot#'!A:AL,16,FALSE)-VLOOKUP(A416,'SegEnds_NonXtal_Prot#'!A:AL,10,FALSE)</f>
        <v>53</v>
      </c>
      <c r="AF416" s="1">
        <f>VLOOKUP(A416,'SegEnds_NonXtal_Prot#'!A:AL,22,FALSE)-VLOOKUP(A416,'SegEnds_NonXtal_Prot#'!A:AL,19,FALSE)</f>
        <v>20</v>
      </c>
      <c r="AG416" s="1" t="e">
        <f>VLOOKUP(A416,'SegEnds_NonXtal_Prot#'!A:AL,28,FALSE)-VLOOKUP(A416,'SegEnds_NonXtal_Prot#'!A:AL,25,FALSE)</f>
        <v>#VALUE!</v>
      </c>
      <c r="AH416" s="1">
        <f>VLOOKUP(A416,'SegEnds_NonXtal_Prot#'!A:AL,28,FALSE)-VLOOKUP(A416,'SegEnds_NonXtal_Prot#'!A:AL,22,FALSE)</f>
        <v>59</v>
      </c>
      <c r="AI416" s="1">
        <f>VLOOKUP(A416,'SegEnds_NonXtal_Prot#'!A:AL,31,FALSE)-VLOOKUP(A416,'SegEnds_NonXtal_Prot#'!A:AL,28,FALSE)</f>
        <v>53</v>
      </c>
      <c r="AJ416" s="1">
        <f>VLOOKUP(A416,'SegEnds_NonXtal_Prot#'!A:AL,34,FALSE)-VLOOKUP(A416,'SegEnds_NonXtal_Prot#'!A:AL,31,FALSE)</f>
        <v>36</v>
      </c>
      <c r="AK416" s="1">
        <f>VLOOKUP(A416,'SegEnds_NonXtal_Prot#'!A:AL,37,FALSE)-VLOOKUP(A416,'SegEnds_NonXtal_Prot#'!A:AL,34,FALSE)</f>
        <v>10</v>
      </c>
      <c r="AL416" s="1" t="str">
        <f>IF(ISERROR(MATCH(A416,'SegEnds_Xtal_Prot#'!B:B, 0)), "NoXtal", "Xtal")</f>
        <v>NoXtal</v>
      </c>
    </row>
  </sheetData>
  <sortState ref="A2:AL416">
    <sortCondition ref="AA2:AA416"/>
    <sortCondition ref="AH2:AH416"/>
    <sortCondition ref="A2:A416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8"/>
  <sheetViews>
    <sheetView tabSelected="1" zoomScale="120" zoomScaleNormal="120" zoomScalePageLayoutView="120" workbookViewId="0">
      <pane ySplit="1" topLeftCell="A2" activePane="bottomLeft" state="frozenSplit"/>
      <selection pane="bottomLeft" activeCell="A264" sqref="A264:XFD264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1203</v>
      </c>
      <c r="C1" s="8" t="s">
        <v>1060</v>
      </c>
      <c r="D1" s="41" t="s">
        <v>1081</v>
      </c>
      <c r="E1" s="8" t="s">
        <v>1061</v>
      </c>
      <c r="F1" s="41" t="s">
        <v>1077</v>
      </c>
      <c r="G1" s="41" t="s">
        <v>1082</v>
      </c>
      <c r="H1" s="41" t="s">
        <v>1078</v>
      </c>
      <c r="I1" s="41" t="s">
        <v>1062</v>
      </c>
      <c r="J1" s="41" t="s">
        <v>1083</v>
      </c>
      <c r="K1" s="8" t="s">
        <v>1063</v>
      </c>
      <c r="L1" s="8" t="s">
        <v>1079</v>
      </c>
      <c r="M1" s="41" t="s">
        <v>1084</v>
      </c>
      <c r="N1" s="8" t="s">
        <v>1080</v>
      </c>
      <c r="O1" s="8" t="s">
        <v>1064</v>
      </c>
      <c r="P1" s="41" t="s">
        <v>1085</v>
      </c>
      <c r="Q1" s="8" t="s">
        <v>1065</v>
      </c>
      <c r="R1" s="8" t="s">
        <v>1092</v>
      </c>
      <c r="S1" s="41" t="s">
        <v>1091</v>
      </c>
      <c r="T1" s="86" t="s">
        <v>1093</v>
      </c>
      <c r="U1" s="99" t="s">
        <v>1066</v>
      </c>
      <c r="V1" s="41" t="s">
        <v>1086</v>
      </c>
      <c r="W1" s="8" t="s">
        <v>1067</v>
      </c>
      <c r="X1" s="8" t="s">
        <v>1095</v>
      </c>
      <c r="Y1" s="41" t="s">
        <v>1094</v>
      </c>
      <c r="Z1" s="8" t="s">
        <v>1096</v>
      </c>
      <c r="AA1" s="8" t="s">
        <v>1068</v>
      </c>
      <c r="AB1" s="41" t="s">
        <v>1087</v>
      </c>
      <c r="AC1" s="8" t="s">
        <v>1069</v>
      </c>
      <c r="AD1" s="8" t="s">
        <v>1070</v>
      </c>
      <c r="AE1" s="41" t="s">
        <v>1088</v>
      </c>
      <c r="AF1" s="8" t="s">
        <v>1071</v>
      </c>
      <c r="AG1" s="8" t="s">
        <v>1072</v>
      </c>
      <c r="AH1" s="41" t="s">
        <v>1089</v>
      </c>
      <c r="AI1" s="8" t="s">
        <v>1073</v>
      </c>
      <c r="AJ1" s="8" t="s">
        <v>1074</v>
      </c>
      <c r="AK1" s="41" t="s">
        <v>1090</v>
      </c>
      <c r="AL1" s="8" t="s">
        <v>1075</v>
      </c>
      <c r="AM1" s="26" t="s">
        <v>99</v>
      </c>
      <c r="AN1" s="26" t="s">
        <v>1166</v>
      </c>
      <c r="AO1" s="8" t="s">
        <v>1226</v>
      </c>
      <c r="AP1" s="8" t="s">
        <v>1228</v>
      </c>
      <c r="AQ1" s="8" t="s">
        <v>1229</v>
      </c>
      <c r="AR1" s="8" t="s">
        <v>1230</v>
      </c>
      <c r="AS1" s="8" t="s">
        <v>1231</v>
      </c>
      <c r="AT1" s="8" t="s">
        <v>1232</v>
      </c>
      <c r="AU1" s="8" t="s">
        <v>1233</v>
      </c>
      <c r="AV1" s="8" t="s">
        <v>1234</v>
      </c>
      <c r="AW1" s="8" t="s">
        <v>1235</v>
      </c>
      <c r="AX1" s="8" t="s">
        <v>1236</v>
      </c>
      <c r="AY1" s="8" t="s">
        <v>1237</v>
      </c>
      <c r="AZ1" s="8" t="s">
        <v>1238</v>
      </c>
      <c r="BA1" s="8" t="s">
        <v>1305</v>
      </c>
      <c r="BB1" s="26" t="s">
        <v>1240</v>
      </c>
      <c r="BC1" s="99" t="s">
        <v>1275</v>
      </c>
      <c r="BD1" s="8" t="s">
        <v>1240</v>
      </c>
      <c r="BE1" s="8" t="s">
        <v>1242</v>
      </c>
      <c r="BF1" s="8" t="s">
        <v>1239</v>
      </c>
      <c r="BG1" s="8" t="s">
        <v>1306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1174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1175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ccr7_human</v>
      </c>
      <c r="C10" s="3">
        <f>VLOOKUP($A10,'SegEnds_NonXtal_BW#'!$A:$Z,3,FALSE)+D10-50</f>
        <v>36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197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321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8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29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ccr7_human</v>
      </c>
      <c r="C11" s="3">
        <f>VLOOKUP($A11,'SegEnds_NonXtal_BW#'!$A:$Z,3,FALSE)+D11-50</f>
        <v>45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330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30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1440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1451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919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919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286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2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909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96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471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1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8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911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91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2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100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2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MIN(ABS(BE79-ICL3_classA!F2:F231))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fpr2_human</v>
      </c>
      <c r="C89" s="3">
        <f>VLOOKUP($A89,'SegEnds_NonXtal_BW#'!$A:$Z,3,FALSE)+D89-50</f>
        <v>33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69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102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205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331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2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14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42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238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13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ccr7_human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210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5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1171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1172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357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20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fpr2_human</v>
      </c>
      <c r="C106" s="3">
        <f>VLOOKUP($A106,'SegEnds_NonXtal_BW#'!$A:$Z,3,FALSE)+D106-50</f>
        <v>19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55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186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316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8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34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fpr2_human</v>
      </c>
      <c r="C107" s="3">
        <f>VLOOKUP($A107,'SegEnds_NonXtal_BW#'!$A:$Z,3,FALSE)+D107-50</f>
        <v>19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55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186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232</v>
      </c>
      <c r="AD107" s="3">
        <f>IF(ISERROR(VLOOKUP($A107,'SegEnds_NonXtal_BW#'!$A:$Z,21,FALSE)+VLOOKUP($A107,A:AL,31,FALSE)-50),"-",(VLOOKUP($A107,'SegEnds_NonXtal_BW#'!$A:$Z,21,FALSE)+VLOOKUP($A107,A:AL,31,FALSE)-50))</f>
        <v>237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277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317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8</v>
      </c>
      <c r="AX107" s="3">
        <f t="shared" si="47"/>
        <v>5</v>
      </c>
      <c r="AY107" s="3">
        <f t="shared" si="48"/>
        <v>10</v>
      </c>
      <c r="AZ107" s="3">
        <f t="shared" si="49"/>
        <v>1</v>
      </c>
      <c r="BA107" s="3">
        <f>IF(ISERROR(LEN(VLOOKUP(A107,Seqs!A:E,2,FALSE))-AL107),"-",LEN(VLOOKUP(A107,Seqs!A:E,2,FALSE))-AL107)</f>
        <v>34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fpr2_human</v>
      </c>
      <c r="C108" s="3">
        <f>VLOOKUP($A108,'SegEnds_NonXtal_BW#'!$A:$Z,3,FALSE)+D108-50</f>
        <v>19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55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186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317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8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36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224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3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410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37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ntr1_human</v>
      </c>
      <c r="C114" s="3">
        <f>VLOOKUP($A114,'SegEnds_NonXtal_BW#'!$A:$Z,3,FALSE)+D114-50</f>
        <v>39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205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342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5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24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3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12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38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5ht2a_human</v>
      </c>
      <c r="C116" s="3">
        <f>VLOOKUP($A116,'SegEnds_NonXtal_BW#'!$A:$Z,3,FALSE)+D116-50</f>
        <v>-1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8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39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ccr7_human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154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179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12</v>
      </c>
      <c r="AW117" s="3">
        <f t="shared" si="46"/>
        <v>11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19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fpr2_human</v>
      </c>
      <c r="C119" s="3">
        <f>VLOOKUP($A119,'SegEnds_NonXtal_BW#'!$A:$Z,3,FALSE)+D119-50</f>
        <v>22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58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160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316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293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cltr2_human</v>
      </c>
      <c r="C127" s="3">
        <f>VLOOKUP($A127,'SegEnds_NonXtal_BW#'!$A:$Z,3,FALSE)+D127-50</f>
        <v>52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195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341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10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34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fpr2_human</v>
      </c>
      <c r="C128" s="3">
        <f>VLOOKUP($A128,'SegEnds_NonXtal_BW#'!$A:$Z,3,FALSE)+D128-50</f>
        <v>31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67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100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191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319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2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2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36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2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cltr2_human</v>
      </c>
      <c r="C131" s="3">
        <f>VLOOKUP($A131,'SegEnds_NonXtal_BW#'!$A:$Z,3,FALSE)+D131-50</f>
        <v>52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197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213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342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12</v>
      </c>
      <c r="AW131" s="3">
        <f t="shared" si="46"/>
        <v>2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25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ccr7_human</v>
      </c>
      <c r="C132" s="3">
        <f>VLOOKUP($A132,'SegEnds_NonXtal_BW#'!$A:$Z,3,FALSE)+D132-50</f>
        <v>19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182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8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275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8</v>
      </c>
      <c r="AZ133" s="3">
        <f t="shared" si="91"/>
        <v>1</v>
      </c>
      <c r="BA133" s="3">
        <f>IF(ISERROR(LEN(VLOOKUP(A133,Seqs!A:E,2,FALSE))-AL133),"-",LEN(VLOOKUP(A133,Seqs!A:E,2,FALSE))-AL133)</f>
        <v>43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gpr52_human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166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328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15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21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102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2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fpr2_human</v>
      </c>
      <c r="C139" s="3">
        <f>VLOOKUP($A139,'SegEnds_NonXtal_BW#'!$A:$Z,3,FALSE)+D139-50</f>
        <v>36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72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201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331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8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25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fpr2_human</v>
      </c>
      <c r="C140" s="3">
        <f>VLOOKUP($A140,'SegEnds_NonXtal_BW#'!$A:$Z,3,FALSE)+D140-50</f>
        <v>22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58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91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190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314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2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9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19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fpr2_human</v>
      </c>
      <c r="C142" s="3">
        <f>VLOOKUP($A142,'SegEnds_NonXtal_BW#'!$A:$Z,3,FALSE)+D142-50</f>
        <v>13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363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90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gpr52_human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104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110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178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200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295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341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15</v>
      </c>
      <c r="AW147" s="3">
        <f t="shared" si="88"/>
        <v>5</v>
      </c>
      <c r="AX147" s="3">
        <f t="shared" si="89"/>
        <v>13</v>
      </c>
      <c r="AY147" s="3">
        <f t="shared" si="90"/>
        <v>4</v>
      </c>
      <c r="AZ147" s="3">
        <f t="shared" si="91"/>
        <v>1</v>
      </c>
      <c r="BA147" s="3">
        <f>IF(ISERROR(LEN(VLOOKUP(A147,Seqs!A:E,2,FALSE))-AL147),"-",LEN(VLOOKUP(A147,Seqs!A:E,2,FALSE))-AL147)</f>
        <v>20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361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90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10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9</v>
      </c>
      <c r="AW153" s="3">
        <f t="shared" si="88"/>
        <v>43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95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356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28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p2ry1_human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182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3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3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mtr1a_human</v>
      </c>
      <c r="C166" s="3">
        <f>VLOOKUP($A166,'SegEnds_NonXtal_BW#'!$A:$Z,3,FALSE)+D166-50</f>
        <v>557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626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847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120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cltr2_human</v>
      </c>
      <c r="C168" s="3">
        <f>VLOOKUP($A168,'SegEnds_NonXtal_BW#'!$A:$Z,3,FALSE)+D168-50</f>
        <v>15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159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185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314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16</v>
      </c>
      <c r="AW168" s="3">
        <f t="shared" si="88"/>
        <v>8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58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cltr1_human</v>
      </c>
      <c r="C169" s="3">
        <f>VLOOKUP($A169,'SegEnds_NonXtal_BW#'!$A:$Z,3,FALSE)+D169-50</f>
        <v>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174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4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37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ccr7_human</v>
      </c>
      <c r="C171" s="3">
        <f>VLOOKUP($A171,'SegEnds_NonXtal_BW#'!$A:$Z,3,FALSE)+D171-50</f>
        <v>15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301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51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8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21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250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8</v>
      </c>
      <c r="AZ187" s="3">
        <f t="shared" si="91"/>
        <v>1</v>
      </c>
      <c r="BA187" s="3">
        <f>IF(ISERROR(LEN(VLOOKUP(A187,Seqs!A:E,2,FALSE))-AL187),"-",LEN(VLOOKUP(A187,Seqs!A:E,2,FALSE))-AL187)</f>
        <v>32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5" si="112">G188-2</f>
        <v>67</v>
      </c>
      <c r="G188" s="3">
        <v>69</v>
      </c>
      <c r="H188" s="3">
        <f t="shared" ref="H188:I195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374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38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mtr1a_human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273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315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9</v>
      </c>
      <c r="AZ190" s="3">
        <f t="shared" si="91"/>
        <v>1</v>
      </c>
      <c r="BA190" s="3">
        <f>IF(ISERROR(LEN(VLOOKUP(A190,Seqs!A:E,2,FALSE))-AL190),"-",LEN(VLOOKUP(A190,Seqs!A:E,2,FALSE))-AL190)</f>
        <v>35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mtr1b_human</v>
      </c>
      <c r="C191" s="3">
        <f>VLOOKUP($A191,'SegEnds_NonXtal_BW#'!$A:$Z,3,FALSE)+D191-50</f>
        <v>38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286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328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9</v>
      </c>
      <c r="AZ191" s="3">
        <f t="shared" si="91"/>
        <v>1</v>
      </c>
      <c r="BA191" s="3">
        <f>IF(ISERROR(LEN(VLOOKUP(A191,Seqs!A:E,2,FALSE))-AL191),"-",LEN(VLOOKUP(A191,Seqs!A:E,2,FALSE))-AL191)</f>
        <v>34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mtr1a_human</v>
      </c>
      <c r="C192" s="3">
        <f>VLOOKUP($A192,'SegEnds_NonXtal_BW#'!$A:$Z,3,FALSE)+D192-50</f>
        <v>24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225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272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314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3</v>
      </c>
      <c r="AY192" s="3">
        <f t="shared" si="90"/>
        <v>9</v>
      </c>
      <c r="AZ192" s="3">
        <f t="shared" si="91"/>
        <v>1</v>
      </c>
      <c r="BA192" s="3">
        <f>IF(ISERROR(LEN(VLOOKUP(A192,Seqs!A:E,2,FALSE))-AL192),"-",LEN(VLOOKUP(A192,Seqs!A:E,2,FALSE))-AL192)</f>
        <v>303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375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51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346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69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ntr1_human</v>
      </c>
      <c r="C196" s="3">
        <f>VLOOKUP($A196,'SegEnds_NonXtal_BW#'!$A:$Z,3,FALSE)+D196-50</f>
        <v>59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 t="s">
        <v>23</v>
      </c>
      <c r="G196" s="3" t="s">
        <v>23</v>
      </c>
      <c r="H196" s="3" t="s">
        <v>23</v>
      </c>
      <c r="I196" s="3">
        <f>VLOOKUP($A196,'SegEnds_NonXtal_BW#'!$A:$Z,7,FALSE)+J196-50</f>
        <v>99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229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383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Xtal</v>
      </c>
      <c r="AP196" s="3" t="str">
        <f t="shared" ref="AP196:AP260" si="118">IF(ISERROR(F196-E196),"-",F196-E196)</f>
        <v>-</v>
      </c>
      <c r="AQ196" s="3" t="str">
        <f t="shared" ref="AQ196:AQ260" si="119">IF(ISERROR(I196-H196),"-",I196-H196)</f>
        <v>-</v>
      </c>
      <c r="AR196" s="3">
        <f t="shared" ref="AR196:AR260" si="120">IF(ISERROR(L196-K196),"-",L196-K196)</f>
        <v>3</v>
      </c>
      <c r="AS196" s="3">
        <f t="shared" ref="AS196:AS260" si="121">IF(ISERROR(O196-N196),"-",O196-N196)</f>
        <v>1</v>
      </c>
      <c r="AT196" s="3">
        <f t="shared" ref="AT196:AT260" si="122">IF(ISERROR(R196-Q196),"-",R196-Q196)</f>
        <v>1</v>
      </c>
      <c r="AU196" s="3">
        <f t="shared" ref="AU196:AU260" si="123">IF(ISERROR(U196-T196),"-",U196-T196)</f>
        <v>1</v>
      </c>
      <c r="AV196" s="3">
        <f t="shared" ref="AV196:AV260" si="124">IF(ISERROR(X196-W196),"-",X196-W196)</f>
        <v>17</v>
      </c>
      <c r="AW196" s="3">
        <f t="shared" ref="AW196:AW260" si="125">IF(ISERROR(AA196-Z196),"-",AA196-Z196)</f>
        <v>3</v>
      </c>
      <c r="AX196" s="3">
        <f t="shared" ref="AX196:AX260" si="126">IF(ISERROR(AD196-AC196),"-",AD196-AC196)</f>
        <v>18</v>
      </c>
      <c r="AY196" s="3">
        <f t="shared" ref="AY196:AY260" si="127">IF(ISERROR(AG196-AF196),"-",AG196-AF196)</f>
        <v>6</v>
      </c>
      <c r="AZ196" s="3">
        <f t="shared" ref="AZ196:AZ260" si="128">IF(ISERROR(AJ196-AI196),"-",AJ196-AI196)</f>
        <v>1</v>
      </c>
      <c r="BA196" s="3">
        <f>IF(ISERROR(LEN(VLOOKUP(A196,Seqs!A:E,2,FALSE))-AL196),"-",LEN(VLOOKUP(A196,Seqs!A:E,2,FALSE))-AL196)</f>
        <v>35</v>
      </c>
      <c r="BB196" s="16">
        <f t="shared" ref="BB196:BB260" si="129">J196-D196</f>
        <v>31</v>
      </c>
      <c r="BC196" s="9">
        <f t="shared" ref="BC196:BC260" si="130">IF(ISERROR(V196-S196),"-",V196-S196)</f>
        <v>20</v>
      </c>
      <c r="BD196" s="3">
        <f t="shared" ref="BD196:BD260" si="131">J196-D196</f>
        <v>31</v>
      </c>
      <c r="BE196" s="3">
        <f t="shared" ref="BE196:BE260" si="132">AE196-AB196</f>
        <v>70</v>
      </c>
    </row>
    <row r="197" spans="1:57" s="3" customFormat="1" x14ac:dyDescent="0.2">
      <c r="A197" s="3" t="s">
        <v>913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100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388</v>
      </c>
      <c r="AM197" s="28" t="str">
        <f>VLOOKUP(A197,Classification!A:B,2,FALSE)</f>
        <v>A</v>
      </c>
      <c r="AN197" s="28" t="b">
        <f t="shared" ref="AN197:AN261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 t="str">
        <f t="shared" si="118"/>
        <v>-</v>
      </c>
      <c r="AQ197" s="3" t="str">
        <f t="shared" si="119"/>
        <v>-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36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377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33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ptafr_human</v>
      </c>
      <c r="C199" s="3">
        <f>VLOOKUP($A199,'SegEnds_NonXtal_BW#'!$A:$Z,3,FALSE)+D199-50</f>
        <v>16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84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159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180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292</v>
      </c>
      <c r="AJ199" s="3">
        <f>IF(ISERROR(VLOOKUP($A199,'SegEnds_NonXtal_BW#'!$A:$Z,25,FALSE)+VLOOKUP($A199,A:AL,37,FALSE)-50),"-",(VLOOKUP($A199,'SegEnds_NonXtal_BW#'!$A:$Z,25,FALSE)+VLOOKUP($A199,A:AL,37,FALSE)-50))</f>
        <v>293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306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2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13</v>
      </c>
      <c r="AW199" s="3">
        <f t="shared" si="125"/>
        <v>6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59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919</v>
      </c>
      <c r="C200" s="3">
        <f>VLOOKUP($A200,'SegEnds_NonXtal_BW#'!$A:$Z,3,FALSE)+D200-50</f>
        <v>66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915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917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1173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921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1307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ptafr_human</v>
      </c>
      <c r="C229" s="3">
        <f>VLOOKUP($A229,'SegEnds_NonXtal_BW#'!$A:$Z,3,FALSE)+D229-50</f>
        <v>9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2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152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310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2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18</v>
      </c>
      <c r="AW229" s="3">
        <f t="shared" si="125"/>
        <v>6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27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352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79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4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48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2" si="142">M234-1</f>
        <v>122</v>
      </c>
      <c r="M234" s="3">
        <v>123</v>
      </c>
      <c r="N234" s="3">
        <f t="shared" ref="N234:N252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9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3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61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sucr1_rat</v>
      </c>
      <c r="C239" s="3">
        <f>VLOOKUP($A239,'SegEnds_NonXtal_BW#'!$A:$Z,3,FALSE)+D239-50</f>
        <v>11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52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164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180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317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8</v>
      </c>
      <c r="AW239" s="3">
        <f t="shared" si="125"/>
        <v>6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17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8" si="145">AH239-AE239</f>
        <v>45</v>
      </c>
    </row>
    <row r="240" spans="1:58" s="3" customFormat="1" x14ac:dyDescent="0.2">
      <c r="A240" s="3" t="s">
        <v>1597</v>
      </c>
      <c r="B240" s="3" t="str">
        <f>LOWER(VLOOKUP(A240,Xtal_Templ!A:B,2,FALSE))</f>
        <v>sucr1_rat</v>
      </c>
      <c r="C240" s="3">
        <f>VLOOKUP($A240,'SegEnds_NonXtal_BW#'!$A:$Z,3,FALSE)+D240-50</f>
        <v>7</v>
      </c>
      <c r="D240" s="3">
        <v>37</v>
      </c>
      <c r="E240" s="3">
        <f>IF(ISERROR(VLOOKUP($A240,'SegEnds_NonXtal_BW#'!$A:$Z,4,FALSE)+VLOOKUP($A240,A:AL,4,FALSE)-50),"-",(VLOOKUP($A240,'SegEnds_NonXtal_BW#'!$A:$Z,4,FALSE)+VLOOKUP($A240,A:AL,4,FALSE)-50))</f>
        <v>48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52</v>
      </c>
      <c r="J240" s="3">
        <v>65</v>
      </c>
      <c r="K240" s="3">
        <f>VLOOKUP($A240,'SegEnds_NonXtal_BW#'!$A:$Z,8,FALSE)+VLOOKUP($A240,A:AL,10,FALSE)-50</f>
        <v>82</v>
      </c>
      <c r="L240" s="3">
        <f t="shared" ref="L240" si="146">M240-1</f>
        <v>83</v>
      </c>
      <c r="M240" s="3">
        <v>84</v>
      </c>
      <c r="N240" s="3">
        <f t="shared" ref="N240" si="147">M240+2</f>
        <v>86</v>
      </c>
      <c r="O240" s="3">
        <f t="shared" ref="O240" si="148">N240+1</f>
        <v>87</v>
      </c>
      <c r="P240" s="3">
        <v>116</v>
      </c>
      <c r="Q240" s="3">
        <f>VLOOKUP($A240,'SegEnds_NonXtal_BW#'!$A:$Z,12,FALSE)+VLOOKUP($A240,A:AL,16,FALSE)-50</f>
        <v>122</v>
      </c>
      <c r="R240" s="3">
        <f>IF(ISERROR(VLOOKUP($A240,'SegEnds_NonXtal_BW#'!$A:$Z,13,FALSE)+VLOOKUP($A240,A:AL,19,FALSE)-50),"-",VLOOKUP($A240,'SegEnds_NonXtal_BW#'!$A:$Z,13,FALSE)+VLOOKUP($A240,A:AL,19,FALSE)-50)</f>
        <v>123</v>
      </c>
      <c r="S240" s="3">
        <v>123</v>
      </c>
      <c r="T240" s="100">
        <f>IF(ISERROR(VLOOKUP($A240,'SegEnds_NonXtal_BW#'!$A:$Z,14,FALSE)+VLOOKUP($A240,A:AL,19,FALSE)-50),"-",(VLOOKUP($A240,'SegEnds_NonXtal_BW#'!$A:$Z,14,FALSE)+VLOOKUP($A240,A:AL,19,FALSE)-50))</f>
        <v>130</v>
      </c>
      <c r="U240" s="9">
        <f>IF(ISERROR(VLOOKUP($A240,'SegEnds_NonXtal_BW#'!$A:$Z,15,FALSE)+VLOOKUP($A240,A:AL,22,FALSE)-50),"-",VLOOKUP($A240,'SegEnds_NonXtal_BW#'!$A:$Z,15,FALSE)+VLOOKUP($A240,A:AL,22,FALSE)-50)</f>
        <v>131</v>
      </c>
      <c r="V240" s="3">
        <v>143</v>
      </c>
      <c r="W240" s="3">
        <f>IF(ISERROR(VLOOKUP($A240,'SegEnds_NonXtal_BW#'!$A:$Z,16,FALSE)+VLOOKUP($A240,A:AL,22,FALSE)-50),"-",(VLOOKUP($A240,'SegEnds_NonXtal_BW#'!$A:$Z,16,FALSE)+VLOOKUP($A240,A:AL,22,FALSE)-50))</f>
        <v>160</v>
      </c>
      <c r="X240" s="3">
        <f>IF(ISERROR(VLOOKUP($A240,'SegEnds_NonXtal_BW#'!$A:$Z,17,FALSE)+VLOOKUP($A240,A:AL,25,FALSE)-50),"-",(VLOOKUP($A240,'SegEnds_NonXtal_BW#'!$A:$Z,17,FALSE)+VLOOKUP($A240,A:AL,25,FALSE)-50))</f>
        <v>168</v>
      </c>
      <c r="Y240" s="3">
        <v>168</v>
      </c>
      <c r="Z240" s="3">
        <f t="shared" ref="Z240" si="149">Y240+2</f>
        <v>170</v>
      </c>
      <c r="AA240" s="3">
        <f>IF(ISERROR(VLOOKUP($A240,'SegEnds_NonXtal_BW#'!$A:$Z,19,FALSE)+VLOOKUP($A240,A:AL,28,FALSE)-50),"-",(VLOOKUP($A240,'SegEnds_NonXtal_BW#'!$A:$Z,19,FALSE)+VLOOKUP($A240,A:AL,28,FALSE)-50))</f>
        <v>176</v>
      </c>
      <c r="AB240" s="3">
        <v>195</v>
      </c>
      <c r="AC240" s="3">
        <f>IF(ISERROR((VLOOKUP($A240,'SegEnds_NonXtal_BW#'!$A:$Z,20,FALSE)+VLOOKUP($A240,A:AL,28,FALSE)-50)),"-",(VLOOKUP($A240,'SegEnds_NonXtal_BW#'!$A:$Z,20,FALSE)+VLOOKUP($A240,A:AL,28,FALSE)-50))</f>
        <v>213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243</v>
      </c>
      <c r="AF240" s="3">
        <f>IF(ISERROR((VLOOKUP($A240,'SegEnds_NonXtal_BW#'!$A:$Z,22,FALSE)+VLOOKUP($A240,A:AL,31,FALSE)-50)),"-",(VLOOKUP($A240,'SegEnds_NonXtal_BW#'!$A:$Z,22,FALSE)+VLOOKUP($A240,A:AL,31,FALSE)-50))</f>
        <v>256</v>
      </c>
      <c r="AG240" s="3">
        <f>IF(ISERROR(VLOOKUP($A240,'SegEnds_NonXtal_BW#'!$A:$Z,23,FALSE)+VLOOKUP($A240,A:AL,34,FALSE)-50),"-",(VLOOKUP($A240,'SegEnds_NonXtal_BW#'!$A:$Z,23,FALSE)+VLOOKUP($A240,A:AL,34,FALSE)-50))</f>
        <v>263</v>
      </c>
      <c r="AH240" s="3">
        <v>287</v>
      </c>
      <c r="AI240" s="3">
        <f>IF(ISERROR((VLOOKUP($A240,'SegEnds_NonXtal_BW#'!$A:$Z,24,FALSE)+VLOOKUP($A240,A:AL,34,FALSE)-50)),"-",(VLOOKUP($A240,'SegEnds_NonXtal_BW#'!$A:$Z,24,FALSE)+VLOOKUP($A240,A:AL,34,FALSE)-50))</f>
        <v>293</v>
      </c>
      <c r="AJ240" s="3">
        <f>IF(ISERROR(VLOOKUP($A240,'SegEnds_NonXtal_BW#'!$A:$Z,25,FALSE)+VLOOKUP($A240,A:AL,37,FALSE)-50),"-",(VLOOKUP($A240,'SegEnds_NonXtal_BW#'!$A:$Z,25,FALSE)+VLOOKUP($A240,A:AL,37,FALSE)-50))</f>
        <v>294</v>
      </c>
      <c r="AK240" s="3">
        <v>297</v>
      </c>
      <c r="AL240" s="3">
        <f>IF(ISERROR((VLOOKUP($A240,'SegEnds_NonXtal_BW#'!$A:$Z,26,FALSE)+VLOOKUP($A240,A:AL,37,FALSE)-50)),"-",(VLOOKUP($A240,'SegEnds_NonXtal_BW#'!$A:$Z,26,FALSE)+VLOOKUP($A240,A:AL,37,FALSE)-50))</f>
        <v>312</v>
      </c>
      <c r="AM240" s="28" t="str">
        <f>VLOOKUP(A240,Classification!A:B,2,FALSE)</f>
        <v>A</v>
      </c>
      <c r="AN240" s="28" t="b">
        <f t="shared" ref="AN240" si="150">AND(IF(Y240="-",IF(AA240-W240&gt;3,TRUE,FALSE),TRUE),IF(M240="-",IF(O240-K240&gt;3,TRUE,FALSE),TRUE),IF(AG240-AF240&gt;1,TRUE,FALSE),C240&lt;E240,OR(E240&lt;F240,F240="-"),OR(F240&lt;H240,F240="-"),OR(H240&lt;I240,H240="-"),I240&lt;K240,OR(K240&lt;L240,L240="-"),OR(L240&lt;N240,L240="-"),OR(N240&lt;O240,N240="-"),O240&lt;Q240,OR(Q240&lt;R240,R240="-"),OR(R240&lt;T240,R240="-"),OR(T240&lt;U240,T240="-"),U240&lt;W240,OR(W240&lt;X240,X240="-"),OR(X240&lt;Z240,X240="-"),OR(Z240&lt;AA240,Z240="-"),AA240&lt;AC240,AC240&lt;AD240,AD240&lt;AF240,AF240&lt;AG240,AG240&lt;AI240,OR(AI240&lt;AJ240,AJ240="-"),OR(AJ240&lt;AL240,AJ240="-"))</f>
        <v>1</v>
      </c>
      <c r="AO240" s="3" t="str">
        <f>IF(ISERROR(MATCH(A240,'SegEnds_Xtal_Prot#'!B:B, 0)), "NoXtal", "Xtal")</f>
        <v>Xtal</v>
      </c>
      <c r="AP240" s="3" t="str">
        <f t="shared" ref="AP240" si="151">IF(ISERROR(F240-E240),"-",F240-E240)</f>
        <v>-</v>
      </c>
      <c r="AQ240" s="3" t="str">
        <f t="shared" ref="AQ240" si="152">IF(ISERROR(I240-H240),"-",I240-H240)</f>
        <v>-</v>
      </c>
      <c r="AR240" s="3">
        <f t="shared" ref="AR240" si="153">IF(ISERROR(L240-K240),"-",L240-K240)</f>
        <v>1</v>
      </c>
      <c r="AS240" s="3">
        <f t="shared" ref="AS240" si="154">IF(ISERROR(O240-N240),"-",O240-N240)</f>
        <v>1</v>
      </c>
      <c r="AT240" s="3">
        <f t="shared" ref="AT240" si="155">IF(ISERROR(R240-Q240),"-",R240-Q240)</f>
        <v>1</v>
      </c>
      <c r="AU240" s="3">
        <f t="shared" ref="AU240" si="156">IF(ISERROR(U240-T240),"-",U240-T240)</f>
        <v>1</v>
      </c>
      <c r="AV240" s="3">
        <f t="shared" ref="AV240" si="157">IF(ISERROR(X240-W240),"-",X240-W240)</f>
        <v>8</v>
      </c>
      <c r="AW240" s="3">
        <f t="shared" ref="AW240" si="158">IF(ISERROR(AA240-Z240),"-",AA240-Z240)</f>
        <v>6</v>
      </c>
      <c r="AX240" s="3">
        <f t="shared" ref="AX240" si="159">IF(ISERROR(AD240-AC240),"-",AD240-AC240)</f>
        <v>4</v>
      </c>
      <c r="AY240" s="3">
        <f t="shared" ref="AY240" si="160">IF(ISERROR(AG240-AF240),"-",AG240-AF240)</f>
        <v>7</v>
      </c>
      <c r="AZ240" s="3">
        <f t="shared" ref="AZ240" si="161">IF(ISERROR(AJ240-AI240),"-",AJ240-AI240)</f>
        <v>1</v>
      </c>
      <c r="BA240" s="3">
        <f>IF(ISERROR(LEN(VLOOKUP(A240,Seqs!A:E,2,FALSE))-AL240),"-",LEN(VLOOKUP(A240,Seqs!A:E,2,FALSE))-AL240)</f>
        <v>5</v>
      </c>
      <c r="BB240" s="16">
        <f t="shared" ref="BB240" si="162">J240-D240</f>
        <v>28</v>
      </c>
      <c r="BC240" s="9">
        <f t="shared" ref="BC240" si="163">IF(ISERROR(V240-S240),"-",V240-S240)</f>
        <v>20</v>
      </c>
      <c r="BD240" s="3">
        <f t="shared" ref="BD240" si="164">J240-D240</f>
        <v>28</v>
      </c>
      <c r="BE240" s="3">
        <f t="shared" ref="BE240" si="165">AE240-AB240</f>
        <v>48</v>
      </c>
      <c r="BF240" s="3">
        <f t="shared" ref="BF240" si="166">AH240-AE240</f>
        <v>44</v>
      </c>
    </row>
    <row r="241" spans="1:58" s="3" customFormat="1" x14ac:dyDescent="0.2">
      <c r="A241" s="3" t="s">
        <v>473</v>
      </c>
      <c r="B241" s="3" t="str">
        <f>LOWER(VLOOKUP(A241,Xtal_Templ!A:B,2,FALSE))</f>
        <v>ta2r_human</v>
      </c>
      <c r="C241" s="3">
        <f>VLOOKUP($A241,'SegEnds_NonXtal_BW#'!$A:$Z,3,FALSE)+D241-50</f>
        <v>27</v>
      </c>
      <c r="D241" s="3">
        <v>42</v>
      </c>
      <c r="E241" s="3">
        <f>IF(ISERROR(VLOOKUP($A241,'SegEnds_NonXtal_BW#'!$A:$Z,4,FALSE)+VLOOKUP($A241,A:AL,4,FALSE)-50),"-",(VLOOKUP($A241,'SegEnds_NonXtal_BW#'!$A:$Z,4,FALSE)+VLOOKUP($A241,A:AL,4,FALSE)-50))</f>
        <v>54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61</v>
      </c>
      <c r="J241" s="3">
        <v>74</v>
      </c>
      <c r="K241" s="3">
        <f>VLOOKUP($A241,'SegEnds_NonXtal_BW#'!$A:$Z,8,FALSE)+VLOOKUP($A241,A:AL,10,FALSE)-50</f>
        <v>91</v>
      </c>
      <c r="L241" s="3">
        <f t="shared" si="142"/>
        <v>94</v>
      </c>
      <c r="M241" s="3">
        <v>95</v>
      </c>
      <c r="N241" s="105">
        <v>98</v>
      </c>
      <c r="O241" s="105">
        <v>102</v>
      </c>
      <c r="P241" s="3">
        <v>130</v>
      </c>
      <c r="Q241" s="3">
        <f>VLOOKUP($A241,'SegEnds_NonXtal_BW#'!$A:$Z,12,FALSE)+VLOOKUP($A241,A:AL,16,FALSE)-50</f>
        <v>136</v>
      </c>
      <c r="R241" s="3">
        <f>IF(ISERROR(VLOOKUP($A241,'SegEnds_NonXtal_BW#'!$A:$Z,13,FALSE)+VLOOKUP($A241,A:AL,19,FALSE)-50),"-",VLOOKUP($A241,'SegEnds_NonXtal_BW#'!$A:$Z,13,FALSE)+VLOOKUP($A241,A:AL,19,FALSE)-50)</f>
        <v>137</v>
      </c>
      <c r="S241" s="3">
        <v>137</v>
      </c>
      <c r="T241" s="100">
        <f>IF(ISERROR(VLOOKUP($A241,'SegEnds_NonXtal_BW#'!$A:$Z,14,FALSE)+VLOOKUP($A241,A:AL,19,FALSE)-50),"-",(VLOOKUP($A241,'SegEnds_NonXtal_BW#'!$A:$Z,14,FALSE)+VLOOKUP($A241,A:AL,19,FALSE)-50))</f>
        <v>144</v>
      </c>
      <c r="U241" s="9">
        <f>IF(ISERROR(VLOOKUP($A241,'SegEnds_NonXtal_BW#'!$A:$Z,15,FALSE)+VLOOKUP($A241,A:AL,22,FALSE)-50),"-",VLOOKUP($A241,'SegEnds_NonXtal_BW#'!$A:$Z,15,FALSE)+VLOOKUP($A241,A:AL,22,FALSE)-50)</f>
        <v>145</v>
      </c>
      <c r="V241" s="3">
        <v>157</v>
      </c>
      <c r="W241" s="3">
        <f>IF(ISERROR(VLOOKUP($A241,'SegEnds_NonXtal_BW#'!$A:$Z,16,FALSE)+VLOOKUP($A241,A:AL,22,FALSE)-50),"-",(VLOOKUP($A241,'SegEnds_NonXtal_BW#'!$A:$Z,16,FALSE)+VLOOKUP($A241,A:AL,22,FALSE)-50))</f>
        <v>170</v>
      </c>
      <c r="X241" s="3">
        <f>Y241</f>
        <v>183</v>
      </c>
      <c r="Y241" s="3">
        <v>183</v>
      </c>
      <c r="Z241" s="3">
        <f t="shared" si="144"/>
        <v>185</v>
      </c>
      <c r="AA241" s="3">
        <f>IF(ISERROR(VLOOKUP($A241,'SegEnds_NonXtal_BW#'!$A:$Z,19,FALSE)+VLOOKUP($A241,A:AL,28,FALSE)-50),"-",(VLOOKUP($A241,'SegEnds_NonXtal_BW#'!$A:$Z,19,FALSE)+VLOOKUP($A241,A:AL,28,FALSE)-50))</f>
        <v>190</v>
      </c>
      <c r="AB241" s="3">
        <v>207</v>
      </c>
      <c r="AC241" s="3">
        <f>IF(ISERROR((VLOOKUP($A241,'SegEnds_NonXtal_BW#'!$A:$Z,20,FALSE)+VLOOKUP($A241,A:AL,28,FALSE)-50)),"-",(VLOOKUP($A241,'SegEnds_NonXtal_BW#'!$A:$Z,20,FALSE)+VLOOKUP($A241,A:AL,28,FALSE)-50))</f>
        <v>229</v>
      </c>
      <c r="AD241" s="3">
        <f>IF(ISERROR(VLOOKUP($A241,'SegEnds_NonXtal_BW#'!$A:$Z,21,FALSE)+VLOOKUP($A241,A:AL,31,FALSE)-50),"-",(VLOOKUP($A241,'SegEnds_NonXtal_BW#'!$A:$Z,21,FALSE)+VLOOKUP($A241,A:AL,31,FALSE)-50))</f>
        <v>234</v>
      </c>
      <c r="AE241" s="3">
        <v>260</v>
      </c>
      <c r="AF241" s="3">
        <f>IF(ISERROR((VLOOKUP($A241,'SegEnds_NonXtal_BW#'!$A:$Z,22,FALSE)+VLOOKUP($A241,A:AL,31,FALSE)-50)),"-",(VLOOKUP($A241,'SegEnds_NonXtal_BW#'!$A:$Z,22,FALSE)+VLOOKUP($A241,A:AL,31,FALSE)-50))</f>
        <v>271</v>
      </c>
      <c r="AG241" s="3">
        <f>IF(ISERROR(VLOOKUP($A241,'SegEnds_NonXtal_BW#'!$A:$Z,23,FALSE)+VLOOKUP($A241,A:AL,34,FALSE)-50),"-",(VLOOKUP($A241,'SegEnds_NonXtal_BW#'!$A:$Z,23,FALSE)+VLOOKUP($A241,A:AL,34,FALSE)-50))</f>
        <v>283</v>
      </c>
      <c r="AH241" s="3">
        <v>305</v>
      </c>
      <c r="AI241" s="3">
        <f>IF(ISERROR((VLOOKUP($A241,'SegEnds_NonXtal_BW#'!$A:$Z,24,FALSE)+VLOOKUP($A241,A:AL,34,FALSE)-50)),"-",(VLOOKUP($A241,'SegEnds_NonXtal_BW#'!$A:$Z,24,FALSE)+VLOOKUP($A241,A:AL,34,FALSE)-50))</f>
        <v>311</v>
      </c>
      <c r="AJ241" s="3">
        <f>IF(ISERROR(VLOOKUP($A241,'SegEnds_NonXtal_BW#'!$A:$Z,25,FALSE)+VLOOKUP($A241,A:AL,37,FALSE)-50),"-",(VLOOKUP($A241,'SegEnds_NonXtal_BW#'!$A:$Z,25,FALSE)+VLOOKUP($A241,A:AL,37,FALSE)-50))</f>
        <v>312</v>
      </c>
      <c r="AK241" s="3">
        <v>315</v>
      </c>
      <c r="AL241" s="3">
        <f>IF(ISERROR((VLOOKUP($A241,'SegEnds_NonXtal_BW#'!$A:$Z,26,FALSE)+VLOOKUP($A241,A:AL,37,FALSE)-50)),"-",(VLOOKUP($A241,'SegEnds_NonXtal_BW#'!$A:$Z,26,FALSE)+VLOOKUP($A241,A:AL,37,FALSE)-50))</f>
        <v>331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Xtal</v>
      </c>
      <c r="AP241" s="3" t="str">
        <f t="shared" si="118"/>
        <v>-</v>
      </c>
      <c r="AQ241" s="3" t="str">
        <f t="shared" si="119"/>
        <v>-</v>
      </c>
      <c r="AR241" s="3">
        <f t="shared" si="120"/>
        <v>3</v>
      </c>
      <c r="AS241" s="3">
        <f t="shared" si="121"/>
        <v>4</v>
      </c>
      <c r="AT241" s="3">
        <f t="shared" si="122"/>
        <v>1</v>
      </c>
      <c r="AU241" s="3">
        <f t="shared" si="123"/>
        <v>1</v>
      </c>
      <c r="AV241" s="3">
        <f t="shared" si="124"/>
        <v>13</v>
      </c>
      <c r="AW241" s="3">
        <f t="shared" si="125"/>
        <v>5</v>
      </c>
      <c r="AX241" s="3">
        <f t="shared" si="126"/>
        <v>5</v>
      </c>
      <c r="AY241" s="3">
        <f t="shared" si="127"/>
        <v>12</v>
      </c>
      <c r="AZ241" s="3">
        <f t="shared" si="128"/>
        <v>1</v>
      </c>
      <c r="BA241" s="3">
        <f>IF(ISERROR(LEN(VLOOKUP(A241,Seqs!A:E,2,FALSE))-AL241),"-",LEN(VLOOKUP(A241,Seqs!A:E,2,FALSE))-AL241)</f>
        <v>12</v>
      </c>
      <c r="BB241" s="16">
        <f t="shared" si="129"/>
        <v>32</v>
      </c>
      <c r="BC241" s="9">
        <f t="shared" si="130"/>
        <v>20</v>
      </c>
      <c r="BD241" s="3">
        <f t="shared" si="131"/>
        <v>32</v>
      </c>
      <c r="BE241" s="3">
        <f t="shared" si="132"/>
        <v>53</v>
      </c>
      <c r="BF241" s="3">
        <f t="shared" si="145"/>
        <v>45</v>
      </c>
    </row>
    <row r="242" spans="1:58" s="3" customFormat="1" x14ac:dyDescent="0.2">
      <c r="A242" s="3" t="s">
        <v>387</v>
      </c>
      <c r="B242" s="3" t="str">
        <f>LOWER(VLOOKUP(A242,Xtal_Templ!A:B,2,FALSE))</f>
        <v>drd2_human</v>
      </c>
      <c r="C242" s="3">
        <f>VLOOKUP($A242,'SegEnds_NonXtal_BW#'!$A:$Z,3,FALSE)+D242-50</f>
        <v>20</v>
      </c>
      <c r="D242" s="3">
        <v>41</v>
      </c>
      <c r="E242" s="3">
        <f>IF(ISERROR(VLOOKUP($A242,'SegEnds_NonXtal_BW#'!$A:$Z,4,FALSE)+VLOOKUP($A242,A:AL,4,FALSE)-50),"-",(VLOOKUP($A242,'SegEnds_NonXtal_BW#'!$A:$Z,4,FALSE)+VLOOKUP($A242,A:AL,4,FALSE)-50))</f>
        <v>51</v>
      </c>
      <c r="F242" s="3">
        <f t="shared" ref="F242:F263" si="167">G242-2</f>
        <v>52</v>
      </c>
      <c r="G242" s="3">
        <v>54</v>
      </c>
      <c r="H242" s="3">
        <f t="shared" ref="H242:I263" si="168">G242+1</f>
        <v>55</v>
      </c>
      <c r="I242" s="3">
        <f t="shared" si="168"/>
        <v>56</v>
      </c>
      <c r="J242" s="3">
        <v>69</v>
      </c>
      <c r="K242" s="3">
        <f>VLOOKUP($A242,'SegEnds_NonXtal_BW#'!$A:$Z,8,FALSE)+VLOOKUP($A242,A:AL,10,FALSE)-50</f>
        <v>87</v>
      </c>
      <c r="L242" s="3">
        <f t="shared" si="142"/>
        <v>88</v>
      </c>
      <c r="M242" s="3">
        <v>89</v>
      </c>
      <c r="N242" s="3">
        <f t="shared" si="143"/>
        <v>91</v>
      </c>
      <c r="O242" s="3">
        <f t="shared" si="139"/>
        <v>92</v>
      </c>
      <c r="P242" s="3">
        <v>121</v>
      </c>
      <c r="Q242" s="3">
        <f>VLOOKUP($A242,'SegEnds_NonXtal_BW#'!$A:$Z,12,FALSE)+VLOOKUP($A242,A:AL,16,FALSE)-50</f>
        <v>127</v>
      </c>
      <c r="R242" s="3">
        <f>IF(ISERROR(VLOOKUP($A242,'SegEnds_NonXtal_BW#'!$A:$Z,13,FALSE)+VLOOKUP($A242,A:AL,19,FALSE)-50),"-",VLOOKUP($A242,'SegEnds_NonXtal_BW#'!$A:$Z,13,FALSE)+VLOOKUP($A242,A:AL,19,FALSE)-50)</f>
        <v>128</v>
      </c>
      <c r="S242" s="3">
        <v>128</v>
      </c>
      <c r="T242" s="100">
        <f>IF(ISERROR(VLOOKUP($A242,'SegEnds_NonXtal_BW#'!$A:$Z,14,FALSE)+VLOOKUP($A242,A:AL,19,FALSE)-50),"-",(VLOOKUP($A242,'SegEnds_NonXtal_BW#'!$A:$Z,14,FALSE)+VLOOKUP($A242,A:AL,19,FALSE)-50))</f>
        <v>135</v>
      </c>
      <c r="U242" s="9">
        <f>IF(ISERROR(VLOOKUP($A242,'SegEnds_NonXtal_BW#'!$A:$Z,15,FALSE)+VLOOKUP($A242,A:AL,22,FALSE)-50),"-",VLOOKUP($A242,'SegEnds_NonXtal_BW#'!$A:$Z,15,FALSE)+VLOOKUP($A242,A:AL,22,FALSE)-50)</f>
        <v>136</v>
      </c>
      <c r="V242" s="3">
        <v>148</v>
      </c>
      <c r="W242" s="3">
        <f>IF(ISERROR(VLOOKUP($A242,'SegEnds_NonXtal_BW#'!$A:$Z,16,FALSE)+VLOOKUP($A242,A:AL,22,FALSE)-50),"-",(VLOOKUP($A242,'SegEnds_NonXtal_BW#'!$A:$Z,16,FALSE)+VLOOKUP($A242,A:AL,22,FALSE)-50))</f>
        <v>160</v>
      </c>
      <c r="X242" s="3">
        <f>IF(ISERROR(VLOOKUP($A242,'SegEnds_NonXtal_BW#'!$A:$Z,17,FALSE)+VLOOKUP($A242,A:AL,25,FALSE)-50),"-",(VLOOKUP($A242,'SegEnds_NonXtal_BW#'!$A:$Z,17,FALSE)+VLOOKUP($A242,A:AL,25,FALSE)-50))</f>
        <v>182</v>
      </c>
      <c r="Y242" s="3">
        <v>182</v>
      </c>
      <c r="Z242" s="3">
        <f t="shared" si="144"/>
        <v>184</v>
      </c>
      <c r="AA242" s="3">
        <f>IF(ISERROR(VLOOKUP($A242,'SegEnds_NonXtal_BW#'!$A:$Z,19,FALSE)+VLOOKUP($A242,A:AL,28,FALSE)-50),"-",(VLOOKUP($A242,'SegEnds_NonXtal_BW#'!$A:$Z,19,FALSE)+VLOOKUP($A242,A:AL,28,FALSE)-50))</f>
        <v>187</v>
      </c>
      <c r="AB242" s="3">
        <v>202</v>
      </c>
      <c r="AC242" s="3">
        <f>IF(ISERROR((VLOOKUP($A242,'SegEnds_NonXtal_BW#'!$A:$Z,20,FALSE)+VLOOKUP($A242,A:AL,28,FALSE)-50)),"-",(VLOOKUP($A242,'SegEnds_NonXtal_BW#'!$A:$Z,20,FALSE)+VLOOKUP($A242,A:AL,28,FALSE)-50))</f>
        <v>226</v>
      </c>
      <c r="AD242" s="3">
        <f>IF(ISERROR(VLOOKUP($A242,'SegEnds_NonXtal_BW#'!$A:$Z,21,FALSE)+VLOOKUP($A242,A:AL,31,FALSE)-50),"-",(VLOOKUP($A242,'SegEnds_NonXtal_BW#'!$A:$Z,21,FALSE)+VLOOKUP($A242,A:AL,31,FALSE)-50))</f>
        <v>237</v>
      </c>
      <c r="AE242" s="3">
        <v>266</v>
      </c>
      <c r="AF242" s="3">
        <f>IF(ISERROR((VLOOKUP($A242,'SegEnds_NonXtal_BW#'!$A:$Z,22,FALSE)+VLOOKUP($A242,A:AL,31,FALSE)-50)),"-",(VLOOKUP($A242,'SegEnds_NonXtal_BW#'!$A:$Z,22,FALSE)+VLOOKUP($A242,A:AL,31,FALSE)-50))</f>
        <v>277</v>
      </c>
      <c r="AG242" s="3">
        <f>IF(ISERROR(VLOOKUP($A242,'SegEnds_NonXtal_BW#'!$A:$Z,23,FALSE)+VLOOKUP($A242,A:AL,34,FALSE)-50),"-",(VLOOKUP($A242,'SegEnds_NonXtal_BW#'!$A:$Z,23,FALSE)+VLOOKUP($A242,A:AL,34,FALSE)-50))</f>
        <v>282</v>
      </c>
      <c r="AH242" s="3">
        <v>301</v>
      </c>
      <c r="AI242" s="3">
        <v>307</v>
      </c>
      <c r="AJ242" s="3">
        <f>IF(ISERROR(VLOOKUP($A242,'SegEnds_NonXtal_BW#'!$A:$Z,25,FALSE)+VLOOKUP($A242,A:AL,37,FALSE)-50),"-",(VLOOKUP($A242,'SegEnds_NonXtal_BW#'!$A:$Z,25,FALSE)+VLOOKUP($A242,A:AL,37,FALSE)-50))</f>
        <v>308</v>
      </c>
      <c r="AK242" s="3">
        <v>311</v>
      </c>
      <c r="AL242" s="3">
        <f>IF(ISERROR((VLOOKUP($A242,'SegEnds_NonXtal_BW#'!$A:$Z,26,FALSE)+VLOOKUP($A242,A:AL,37,FALSE)-50)),"-",(VLOOKUP($A242,'SegEnds_NonXtal_BW#'!$A:$Z,26,FALSE)+VLOOKUP($A242,A:AL,37,FALSE)-50))</f>
        <v>320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22</v>
      </c>
      <c r="AW242" s="3">
        <f t="shared" si="125"/>
        <v>3</v>
      </c>
      <c r="AX242" s="3">
        <f t="shared" si="126"/>
        <v>11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19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64</v>
      </c>
      <c r="BF242" s="3">
        <f t="shared" si="145"/>
        <v>35</v>
      </c>
    </row>
    <row r="243" spans="1:58" s="3" customFormat="1" x14ac:dyDescent="0.2">
      <c r="A243" s="3" t="s">
        <v>388</v>
      </c>
      <c r="B243" s="3" t="str">
        <f>LOWER(VLOOKUP(A243,Xtal_Templ!A:B,2,FALSE))</f>
        <v>adrb2_human</v>
      </c>
      <c r="C243" s="3">
        <f>VLOOKUP($A243,'SegEnds_NonXtal_BW#'!$A:$Z,3,FALSE)+D243-50</f>
        <v>36</v>
      </c>
      <c r="D243" s="3">
        <v>61</v>
      </c>
      <c r="E243" s="3">
        <f>IF(ISERROR(VLOOKUP($A243,'SegEnds_NonXtal_BW#'!$A:$Z,4,FALSE)+VLOOKUP($A243,A:AL,4,FALSE)-50),"-",(VLOOKUP($A243,'SegEnds_NonXtal_BW#'!$A:$Z,4,FALSE)+VLOOKUP($A243,A:AL,4,FALSE)-50))</f>
        <v>71</v>
      </c>
      <c r="F243" s="3">
        <f t="shared" si="167"/>
        <v>72</v>
      </c>
      <c r="G243" s="3">
        <v>74</v>
      </c>
      <c r="H243" s="3">
        <f t="shared" si="168"/>
        <v>75</v>
      </c>
      <c r="I243" s="3">
        <f t="shared" si="168"/>
        <v>76</v>
      </c>
      <c r="J243" s="3">
        <v>89</v>
      </c>
      <c r="K243" s="3">
        <f>VLOOKUP($A243,'SegEnds_NonXtal_BW#'!$A:$Z,8,FALSE)+VLOOKUP($A243,A:AL,10,FALSE)-50</f>
        <v>106</v>
      </c>
      <c r="L243" s="3">
        <f t="shared" si="142"/>
        <v>108</v>
      </c>
      <c r="M243" s="3">
        <v>109</v>
      </c>
      <c r="N243" s="3">
        <f t="shared" si="143"/>
        <v>111</v>
      </c>
      <c r="O243" s="3">
        <f t="shared" si="139"/>
        <v>112</v>
      </c>
      <c r="P243" s="3">
        <v>141</v>
      </c>
      <c r="Q243" s="3">
        <f>VLOOKUP($A243,'SegEnds_NonXtal_BW#'!$A:$Z,12,FALSE)+VLOOKUP($A243,A:AL,16,FALSE)-50</f>
        <v>147</v>
      </c>
      <c r="R243" s="3">
        <f>IF(ISERROR(VLOOKUP($A243,'SegEnds_NonXtal_BW#'!$A:$Z,13,FALSE)+VLOOKUP($A243,A:AL,19,FALSE)-50),"-",VLOOKUP($A243,'SegEnds_NonXtal_BW#'!$A:$Z,13,FALSE)+VLOOKUP($A243,A:AL,19,FALSE)-50)</f>
        <v>148</v>
      </c>
      <c r="S243" s="3">
        <v>148</v>
      </c>
      <c r="T243" s="100">
        <f>IF(ISERROR(VLOOKUP($A243,'SegEnds_NonXtal_BW#'!$A:$Z,14,FALSE)+VLOOKUP($A243,A:AL,19,FALSE)-50),"-",(VLOOKUP($A243,'SegEnds_NonXtal_BW#'!$A:$Z,14,FALSE)+VLOOKUP($A243,A:AL,19,FALSE)-50))</f>
        <v>155</v>
      </c>
      <c r="U243" s="9">
        <f>IF(ISERROR(VLOOKUP($A243,'SegEnds_NonXtal_BW#'!$A:$Z,15,FALSE)+VLOOKUP($A243,A:AL,22,FALSE)-50),"-",VLOOKUP($A243,'SegEnds_NonXtal_BW#'!$A:$Z,15,FALSE)+VLOOKUP($A243,A:AL,22,FALSE)-50)</f>
        <v>156</v>
      </c>
      <c r="V243" s="3">
        <v>168</v>
      </c>
      <c r="W243" s="3">
        <f>IF(ISERROR(VLOOKUP($A243,'SegEnds_NonXtal_BW#'!$A:$Z,16,FALSE)+VLOOKUP($A243,A:AL,22,FALSE)-50),"-",(VLOOKUP($A243,'SegEnds_NonXtal_BW#'!$A:$Z,16,FALSE)+VLOOKUP($A243,A:AL,22,FALSE)-50))</f>
        <v>182</v>
      </c>
      <c r="X243" s="3">
        <f>IF(ISERROR(VLOOKUP($A243,'SegEnds_NonXtal_BW#'!$A:$Z,17,FALSE)+VLOOKUP($A243,A:AL,25,FALSE)-50),"-",(VLOOKUP($A243,'SegEnds_NonXtal_BW#'!$A:$Z,17,FALSE)+VLOOKUP($A243,A:AL,25,FALSE)-50))</f>
        <v>201</v>
      </c>
      <c r="Y243" s="3">
        <v>201</v>
      </c>
      <c r="Z243" s="3">
        <f t="shared" si="144"/>
        <v>203</v>
      </c>
      <c r="AA243" s="3">
        <f>IF(ISERROR(VLOOKUP($A243,'SegEnds_NonXtal_BW#'!$A:$Z,19,FALSE)+VLOOKUP($A243,A:AL,28,FALSE)-50),"-",(VLOOKUP($A243,'SegEnds_NonXtal_BW#'!$A:$Z,19,FALSE)+VLOOKUP($A243,A:AL,28,FALSE)-50))</f>
        <v>206</v>
      </c>
      <c r="AB243" s="3">
        <v>221</v>
      </c>
      <c r="AC243" s="3">
        <f>IF(ISERROR((VLOOKUP($A243,'SegEnds_NonXtal_BW#'!$A:$Z,20,FALSE)+VLOOKUP($A243,A:AL,28,FALSE)-50)),"-",(VLOOKUP($A243,'SegEnds_NonXtal_BW#'!$A:$Z,20,FALSE)+VLOOKUP($A243,A:AL,28,FALSE)-50))</f>
        <v>244</v>
      </c>
      <c r="AD243" s="3">
        <f>IF(ISERROR(VLOOKUP($A243,'SegEnds_NonXtal_BW#'!$A:$Z,21,FALSE)+VLOOKUP($A243,A:AL,31,FALSE)-50),"-",(VLOOKUP($A243,'SegEnds_NonXtal_BW#'!$A:$Z,21,FALSE)+VLOOKUP($A243,A:AL,31,FALSE)-50))</f>
        <v>249</v>
      </c>
      <c r="AE243" s="3">
        <v>277</v>
      </c>
      <c r="AF243" s="3">
        <f>IF(ISERROR((VLOOKUP($A243,'SegEnds_NonXtal_BW#'!$A:$Z,22,FALSE)+VLOOKUP($A243,A:AL,31,FALSE)-50)),"-",(VLOOKUP($A243,'SegEnds_NonXtal_BW#'!$A:$Z,22,FALSE)+VLOOKUP($A243,A:AL,31,FALSE)-50))</f>
        <v>288</v>
      </c>
      <c r="AG243" s="3">
        <f>IF(ISERROR(VLOOKUP($A243,'SegEnds_NonXtal_BW#'!$A:$Z,23,FALSE)+VLOOKUP($A243,A:AL,34,FALSE)-50),"-",(VLOOKUP($A243,'SegEnds_NonXtal_BW#'!$A:$Z,23,FALSE)+VLOOKUP($A243,A:AL,34,FALSE)-50))</f>
        <v>293</v>
      </c>
      <c r="AH243" s="3">
        <v>312</v>
      </c>
      <c r="AI243" s="3">
        <f>IF(ISERROR((VLOOKUP($A243,'SegEnds_NonXtal_BW#'!$A:$Z,24,FALSE)+VLOOKUP($A243,A:AL,34,FALSE)-50)),"-",(VLOOKUP($A243,'SegEnds_NonXtal_BW#'!$A:$Z,24,FALSE)+VLOOKUP($A243,A:AL,34,FALSE)-50))</f>
        <v>318</v>
      </c>
      <c r="AJ243" s="3">
        <f>IF(ISERROR(VLOOKUP($A243,'SegEnds_NonXtal_BW#'!$A:$Z,25,FALSE)+VLOOKUP($A243,A:AL,37,FALSE)-50),"-",(VLOOKUP($A243,'SegEnds_NonXtal_BW#'!$A:$Z,25,FALSE)+VLOOKUP($A243,A:AL,37,FALSE)-50))</f>
        <v>319</v>
      </c>
      <c r="AK243" s="3">
        <v>322</v>
      </c>
      <c r="AL243" s="3">
        <f>IF(ISERROR((VLOOKUP($A243,'SegEnds_NonXtal_BW#'!$A:$Z,26,FALSE)+VLOOKUP($A243,A:AL,37,FALSE)-50)),"-",(VLOOKUP($A243,'SegEnds_NonXtal_BW#'!$A:$Z,26,FALSE)+VLOOKUP($A243,A:AL,37,FALSE)-50))</f>
        <v>331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2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19</v>
      </c>
      <c r="AW243" s="3">
        <f t="shared" si="125"/>
        <v>3</v>
      </c>
      <c r="AX243" s="3">
        <f t="shared" si="126"/>
        <v>5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20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56</v>
      </c>
      <c r="BF243" s="3">
        <f t="shared" si="145"/>
        <v>35</v>
      </c>
    </row>
    <row r="244" spans="1:58" s="3" customFormat="1" x14ac:dyDescent="0.2">
      <c r="A244" s="3" t="s">
        <v>389</v>
      </c>
      <c r="B244" s="3" t="str">
        <f>LOWER(VLOOKUP(A244,Xtal_Templ!A:B,2,FALSE))</f>
        <v>drd2_human</v>
      </c>
      <c r="C244" s="3">
        <f>VLOOKUP($A244,'SegEnds_NonXtal_BW#'!$A:$Z,3,FALSE)+D244-50</f>
        <v>28</v>
      </c>
      <c r="D244" s="3">
        <v>49</v>
      </c>
      <c r="E244" s="3">
        <f>IF(ISERROR(VLOOKUP($A244,'SegEnds_NonXtal_BW#'!$A:$Z,4,FALSE)+VLOOKUP($A244,A:AL,4,FALSE)-50),"-",(VLOOKUP($A244,'SegEnds_NonXtal_BW#'!$A:$Z,4,FALSE)+VLOOKUP($A244,A:AL,4,FALSE)-50))</f>
        <v>59</v>
      </c>
      <c r="F244" s="3">
        <f t="shared" si="167"/>
        <v>60</v>
      </c>
      <c r="G244" s="3">
        <v>62</v>
      </c>
      <c r="H244" s="3">
        <f t="shared" si="168"/>
        <v>63</v>
      </c>
      <c r="I244" s="3">
        <f t="shared" si="168"/>
        <v>64</v>
      </c>
      <c r="J244" s="3">
        <v>77</v>
      </c>
      <c r="K244" s="3">
        <f>VLOOKUP($A244,'SegEnds_NonXtal_BW#'!$A:$Z,8,FALSE)+VLOOKUP($A244,A:AL,10,FALSE)-50</f>
        <v>95</v>
      </c>
      <c r="L244" s="3">
        <f t="shared" si="142"/>
        <v>96</v>
      </c>
      <c r="M244" s="3">
        <v>97</v>
      </c>
      <c r="N244" s="3">
        <f t="shared" si="143"/>
        <v>99</v>
      </c>
      <c r="O244" s="3">
        <f t="shared" si="139"/>
        <v>100</v>
      </c>
      <c r="P244" s="3">
        <v>129</v>
      </c>
      <c r="Q244" s="3">
        <f>VLOOKUP($A244,'SegEnds_NonXtal_BW#'!$A:$Z,12,FALSE)+VLOOKUP($A244,A:AL,16,FALSE)-50</f>
        <v>135</v>
      </c>
      <c r="R244" s="3">
        <f>IF(ISERROR(VLOOKUP($A244,'SegEnds_NonXtal_BW#'!$A:$Z,13,FALSE)+VLOOKUP($A244,A:AL,19,FALSE)-50),"-",VLOOKUP($A244,'SegEnds_NonXtal_BW#'!$A:$Z,13,FALSE)+VLOOKUP($A244,A:AL,19,FALSE)-50)</f>
        <v>136</v>
      </c>
      <c r="S244" s="3">
        <v>136</v>
      </c>
      <c r="T244" s="100">
        <f>IF(ISERROR(VLOOKUP($A244,'SegEnds_NonXtal_BW#'!$A:$Z,14,FALSE)+VLOOKUP($A244,A:AL,19,FALSE)-50),"-",(VLOOKUP($A244,'SegEnds_NonXtal_BW#'!$A:$Z,14,FALSE)+VLOOKUP($A244,A:AL,19,FALSE)-50))</f>
        <v>143</v>
      </c>
      <c r="U244" s="9">
        <f>IF(ISERROR(VLOOKUP($A244,'SegEnds_NonXtal_BW#'!$A:$Z,15,FALSE)+VLOOKUP($A244,A:AL,22,FALSE)-50),"-",VLOOKUP($A244,'SegEnds_NonXtal_BW#'!$A:$Z,15,FALSE)+VLOOKUP($A244,A:AL,22,FALSE)-50)</f>
        <v>144</v>
      </c>
      <c r="V244" s="3">
        <v>156</v>
      </c>
      <c r="W244" s="3">
        <f>IF(ISERROR(VLOOKUP($A244,'SegEnds_NonXtal_BW#'!$A:$Z,16,FALSE)+VLOOKUP($A244,A:AL,22,FALSE)-50),"-",(VLOOKUP($A244,'SegEnds_NonXtal_BW#'!$A:$Z,16,FALSE)+VLOOKUP($A244,A:AL,22,FALSE)-50))</f>
        <v>168</v>
      </c>
      <c r="X244" s="3">
        <f>IF(ISERROR(VLOOKUP($A244,'SegEnds_NonXtal_BW#'!$A:$Z,17,FALSE)+VLOOKUP($A244,A:AL,25,FALSE)-50),"-",(VLOOKUP($A244,'SegEnds_NonXtal_BW#'!$A:$Z,17,FALSE)+VLOOKUP($A244,A:AL,25,FALSE)-50))</f>
        <v>189</v>
      </c>
      <c r="Y244" s="3">
        <v>189</v>
      </c>
      <c r="Z244" s="3">
        <f t="shared" si="144"/>
        <v>191</v>
      </c>
      <c r="AA244" s="3">
        <f>IF(ISERROR(VLOOKUP($A244,'SegEnds_NonXtal_BW#'!$A:$Z,19,FALSE)+VLOOKUP($A244,A:AL,28,FALSE)-50),"-",(VLOOKUP($A244,'SegEnds_NonXtal_BW#'!$A:$Z,19,FALSE)+VLOOKUP($A244,A:AL,28,FALSE)-50))</f>
        <v>194</v>
      </c>
      <c r="AB244" s="3">
        <v>209</v>
      </c>
      <c r="AC244" s="3">
        <f>IF(ISERROR((VLOOKUP($A244,'SegEnds_NonXtal_BW#'!$A:$Z,20,FALSE)+VLOOKUP($A244,A:AL,28,FALSE)-50)),"-",(VLOOKUP($A244,'SegEnds_NonXtal_BW#'!$A:$Z,20,FALSE)+VLOOKUP($A244,A:AL,28,FALSE)-50))</f>
        <v>233</v>
      </c>
      <c r="AD244" s="3">
        <f>IF(ISERROR(VLOOKUP($A244,'SegEnds_NonXtal_BW#'!$A:$Z,21,FALSE)+VLOOKUP($A244,A:AL,31,FALSE)-50),"-",(VLOOKUP($A244,'SegEnds_NonXtal_BW#'!$A:$Z,21,FALSE)+VLOOKUP($A244,A:AL,31,FALSE)-50))</f>
        <v>242</v>
      </c>
      <c r="AE244" s="3">
        <v>271</v>
      </c>
      <c r="AF244" s="3">
        <f>IF(ISERROR((VLOOKUP($A244,'SegEnds_NonXtal_BW#'!$A:$Z,22,FALSE)+VLOOKUP($A244,A:AL,31,FALSE)-50)),"-",(VLOOKUP($A244,'SegEnds_NonXtal_BW#'!$A:$Z,22,FALSE)+VLOOKUP($A244,A:AL,31,FALSE)-50))</f>
        <v>282</v>
      </c>
      <c r="AG244" s="3">
        <f>IF(ISERROR(VLOOKUP($A244,'SegEnds_NonXtal_BW#'!$A:$Z,23,FALSE)+VLOOKUP($A244,A:AL,34,FALSE)-50),"-",(VLOOKUP($A244,'SegEnds_NonXtal_BW#'!$A:$Z,23,FALSE)+VLOOKUP($A244,A:AL,34,FALSE)-50))</f>
        <v>287</v>
      </c>
      <c r="AH244" s="3">
        <v>306</v>
      </c>
      <c r="AI244" s="3">
        <f>IF(ISERROR((VLOOKUP($A244,'SegEnds_NonXtal_BW#'!$A:$Z,24,FALSE)+VLOOKUP($A244,A:AL,34,FALSE)-50)),"-",(VLOOKUP($A244,'SegEnds_NonXtal_BW#'!$A:$Z,24,FALSE)+VLOOKUP($A244,A:AL,34,FALSE)-50))</f>
        <v>312</v>
      </c>
      <c r="AJ244" s="3">
        <f>IF(ISERROR(VLOOKUP($A244,'SegEnds_NonXtal_BW#'!$A:$Z,25,FALSE)+VLOOKUP($A244,A:AL,37,FALSE)-50),"-",(VLOOKUP($A244,'SegEnds_NonXtal_BW#'!$A:$Z,25,FALSE)+VLOOKUP($A244,A:AL,37,FALSE)-50))</f>
        <v>313</v>
      </c>
      <c r="AK244" s="3">
        <v>316</v>
      </c>
      <c r="AL244" s="3">
        <f>IF(ISERROR((VLOOKUP($A244,'SegEnds_NonXtal_BW#'!$A:$Z,26,FALSE)+VLOOKUP($A244,A:AL,37,FALSE)-50)),"-",(VLOOKUP($A244,'SegEnds_NonXtal_BW#'!$A:$Z,26,FALSE)+VLOOKUP($A244,A:AL,37,FALSE)-50))</f>
        <v>325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21</v>
      </c>
      <c r="AW244" s="3">
        <f t="shared" si="125"/>
        <v>3</v>
      </c>
      <c r="AX244" s="3">
        <f t="shared" si="126"/>
        <v>9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18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62</v>
      </c>
      <c r="BF244" s="3">
        <f t="shared" si="145"/>
        <v>35</v>
      </c>
    </row>
    <row r="245" spans="1:58" s="3" customFormat="1" x14ac:dyDescent="0.2">
      <c r="A245" s="3" t="s">
        <v>390</v>
      </c>
      <c r="B245" s="3" t="str">
        <f>LOWER(VLOOKUP(A245,Xtal_Templ!A:B,2,FALSE))</f>
        <v>5ht1b_human</v>
      </c>
      <c r="C245" s="3">
        <f>VLOOKUP($A245,'SegEnds_NonXtal_BW#'!$A:$Z,3,FALSE)+D245-50</f>
        <v>30</v>
      </c>
      <c r="D245" s="3">
        <v>52</v>
      </c>
      <c r="E245" s="3">
        <f>IF(ISERROR(VLOOKUP($A245,'SegEnds_NonXtal_BW#'!$A:$Z,4,FALSE)+VLOOKUP($A245,A:AL,4,FALSE)-50),"-",(VLOOKUP($A245,'SegEnds_NonXtal_BW#'!$A:$Z,4,FALSE)+VLOOKUP($A245,A:AL,4,FALSE)-50))</f>
        <v>62</v>
      </c>
      <c r="F245" s="3">
        <f t="shared" si="167"/>
        <v>63</v>
      </c>
      <c r="G245" s="3">
        <v>65</v>
      </c>
      <c r="H245" s="3">
        <f t="shared" si="168"/>
        <v>66</v>
      </c>
      <c r="I245" s="3">
        <f t="shared" si="168"/>
        <v>67</v>
      </c>
      <c r="J245" s="3">
        <v>80</v>
      </c>
      <c r="K245" s="3">
        <f>VLOOKUP($A245,'SegEnds_NonXtal_BW#'!$A:$Z,8,FALSE)+VLOOKUP($A245,A:AL,10,FALSE)-50</f>
        <v>98</v>
      </c>
      <c r="L245" s="3">
        <f t="shared" si="142"/>
        <v>99</v>
      </c>
      <c r="M245" s="3">
        <v>100</v>
      </c>
      <c r="N245" s="3">
        <f t="shared" si="143"/>
        <v>102</v>
      </c>
      <c r="O245" s="3">
        <f t="shared" si="139"/>
        <v>103</v>
      </c>
      <c r="P245" s="3">
        <v>132</v>
      </c>
      <c r="Q245" s="3">
        <f>VLOOKUP($A245,'SegEnds_NonXtal_BW#'!$A:$Z,12,FALSE)+VLOOKUP($A245,A:AL,16,FALSE)-50</f>
        <v>138</v>
      </c>
      <c r="R245" s="3">
        <f>IF(ISERROR(VLOOKUP($A245,'SegEnds_NonXtal_BW#'!$A:$Z,13,FALSE)+VLOOKUP($A245,A:AL,19,FALSE)-50),"-",VLOOKUP($A245,'SegEnds_NonXtal_BW#'!$A:$Z,13,FALSE)+VLOOKUP($A245,A:AL,19,FALSE)-50)</f>
        <v>139</v>
      </c>
      <c r="S245" s="3">
        <v>139</v>
      </c>
      <c r="T245" s="100">
        <f>IF(ISERROR(VLOOKUP($A245,'SegEnds_NonXtal_BW#'!$A:$Z,14,FALSE)+VLOOKUP($A245,A:AL,19,FALSE)-50),"-",(VLOOKUP($A245,'SegEnds_NonXtal_BW#'!$A:$Z,14,FALSE)+VLOOKUP($A245,A:AL,19,FALSE)-50))</f>
        <v>146</v>
      </c>
      <c r="U245" s="9">
        <f>IF(ISERROR(VLOOKUP($A245,'SegEnds_NonXtal_BW#'!$A:$Z,15,FALSE)+VLOOKUP($A245,A:AL,22,FALSE)-50),"-",VLOOKUP($A245,'SegEnds_NonXtal_BW#'!$A:$Z,15,FALSE)+VLOOKUP($A245,A:AL,22,FALSE)-50)</f>
        <v>147</v>
      </c>
      <c r="V245" s="3">
        <v>159</v>
      </c>
      <c r="W245" s="3">
        <f>IF(ISERROR(VLOOKUP($A245,'SegEnds_NonXtal_BW#'!$A:$Z,16,FALSE)+VLOOKUP($A245,A:AL,22,FALSE)-50),"-",(VLOOKUP($A245,'SegEnds_NonXtal_BW#'!$A:$Z,16,FALSE)+VLOOKUP($A245,A:AL,22,FALSE)-50))</f>
        <v>172</v>
      </c>
      <c r="X245" s="3">
        <f>IF(ISERROR(VLOOKUP($A245,'SegEnds_NonXtal_BW#'!$A:$Z,17,FALSE)+VLOOKUP($A245,A:AL,25,FALSE)-50),"-",(VLOOKUP($A245,'SegEnds_NonXtal_BW#'!$A:$Z,17,FALSE)+VLOOKUP($A245,A:AL,25,FALSE)-50))</f>
        <v>192</v>
      </c>
      <c r="Y245" s="3">
        <v>192</v>
      </c>
      <c r="Z245" s="3">
        <f t="shared" si="144"/>
        <v>194</v>
      </c>
      <c r="AA245" s="3">
        <f>IF(ISERROR(VLOOKUP($A245,'SegEnds_NonXtal_BW#'!$A:$Z,19,FALSE)+VLOOKUP($A245,A:AL,28,FALSE)-50),"-",(VLOOKUP($A245,'SegEnds_NonXtal_BW#'!$A:$Z,19,FALSE)+VLOOKUP($A245,A:AL,28,FALSE)-50))</f>
        <v>196</v>
      </c>
      <c r="AB245" s="3">
        <v>211</v>
      </c>
      <c r="AC245" s="3">
        <f>IF(ISERROR((VLOOKUP($A245,'SegEnds_NonXtal_BW#'!$A:$Z,20,FALSE)+VLOOKUP($A245,A:AL,28,FALSE)-50)),"-",(VLOOKUP($A245,'SegEnds_NonXtal_BW#'!$A:$Z,20,FALSE)+VLOOKUP($A245,A:AL,28,FALSE)-50))</f>
        <v>234</v>
      </c>
      <c r="AD245" s="3">
        <f>IF(ISERROR(VLOOKUP($A245,'SegEnds_NonXtal_BW#'!$A:$Z,21,FALSE)+VLOOKUP($A245,A:AL,31,FALSE)-50),"-",(VLOOKUP($A245,'SegEnds_NonXtal_BW#'!$A:$Z,21,FALSE)+VLOOKUP($A245,A:AL,31,FALSE)-50))</f>
        <v>239</v>
      </c>
      <c r="AE245" s="3">
        <v>267</v>
      </c>
      <c r="AF245" s="3">
        <f>IF(ISERROR((VLOOKUP($A245,'SegEnds_NonXtal_BW#'!$A:$Z,22,FALSE)+VLOOKUP($A245,A:AL,31,FALSE)-50)),"-",(VLOOKUP($A245,'SegEnds_NonXtal_BW#'!$A:$Z,22,FALSE)+VLOOKUP($A245,A:AL,31,FALSE)-50))</f>
        <v>278</v>
      </c>
      <c r="AG245" s="3">
        <f>IF(ISERROR(VLOOKUP($A245,'SegEnds_NonXtal_BW#'!$A:$Z,23,FALSE)+VLOOKUP($A245,A:AL,34,FALSE)-50),"-",(VLOOKUP($A245,'SegEnds_NonXtal_BW#'!$A:$Z,23,FALSE)+VLOOKUP($A245,A:AL,34,FALSE)-50))</f>
        <v>283</v>
      </c>
      <c r="AH245" s="3">
        <v>302</v>
      </c>
      <c r="AI245" s="3">
        <f>IF(ISERROR((VLOOKUP($A245,'SegEnds_NonXtal_BW#'!$A:$Z,24,FALSE)+VLOOKUP($A245,A:AL,34,FALSE)-50)),"-",(VLOOKUP($A245,'SegEnds_NonXtal_BW#'!$A:$Z,24,FALSE)+VLOOKUP($A245,A:AL,34,FALSE)-50))</f>
        <v>308</v>
      </c>
      <c r="AJ245" s="3">
        <f>IF(ISERROR(VLOOKUP($A245,'SegEnds_NonXtal_BW#'!$A:$Z,25,FALSE)+VLOOKUP($A245,A:AL,37,FALSE)-50),"-",(VLOOKUP($A245,'SegEnds_NonXtal_BW#'!$A:$Z,25,FALSE)+VLOOKUP($A245,A:AL,37,FALSE)-50))</f>
        <v>309</v>
      </c>
      <c r="AK245" s="3">
        <v>312</v>
      </c>
      <c r="AL245" s="3">
        <f>IF(ISERROR((VLOOKUP($A245,'SegEnds_NonXtal_BW#'!$A:$Z,26,FALSE)+VLOOKUP($A245,A:AL,37,FALSE)-50)),"-",(VLOOKUP($A245,'SegEnds_NonXtal_BW#'!$A:$Z,26,FALSE)+VLOOKUP($A245,A:AL,37,FALSE)-50))</f>
        <v>320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5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17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56</v>
      </c>
      <c r="BF245" s="3">
        <f t="shared" si="145"/>
        <v>35</v>
      </c>
    </row>
    <row r="246" spans="1:58" s="3" customFormat="1" x14ac:dyDescent="0.2">
      <c r="A246" s="3" t="s">
        <v>391</v>
      </c>
      <c r="B246" s="3" t="str">
        <f>LOWER(VLOOKUP(A246,Xtal_Templ!A:B,2,FALSE))</f>
        <v>5ht1b_human</v>
      </c>
      <c r="C246" s="3">
        <f>VLOOKUP($A246,'SegEnds_NonXtal_BW#'!$A:$Z,3,FALSE)+D246-50</f>
        <v>28</v>
      </c>
      <c r="D246" s="3">
        <v>50</v>
      </c>
      <c r="E246" s="3">
        <f>IF(ISERROR(VLOOKUP($A246,'SegEnds_NonXtal_BW#'!$A:$Z,4,FALSE)+VLOOKUP($A246,A:AL,4,FALSE)-50),"-",(VLOOKUP($A246,'SegEnds_NonXtal_BW#'!$A:$Z,4,FALSE)+VLOOKUP($A246,A:AL,4,FALSE)-50))</f>
        <v>60</v>
      </c>
      <c r="F246" s="3">
        <f t="shared" si="167"/>
        <v>61</v>
      </c>
      <c r="G246" s="3">
        <v>63</v>
      </c>
      <c r="H246" s="3">
        <f t="shared" si="168"/>
        <v>64</v>
      </c>
      <c r="I246" s="3">
        <f t="shared" si="168"/>
        <v>65</v>
      </c>
      <c r="J246" s="3">
        <v>78</v>
      </c>
      <c r="K246" s="3">
        <f>VLOOKUP($A246,'SegEnds_NonXtal_BW#'!$A:$Z,8,FALSE)+VLOOKUP($A246,A:AL,10,FALSE)-50</f>
        <v>96</v>
      </c>
      <c r="L246" s="3">
        <f t="shared" si="142"/>
        <v>97</v>
      </c>
      <c r="M246" s="3">
        <v>98</v>
      </c>
      <c r="N246" s="3">
        <f t="shared" si="143"/>
        <v>100</v>
      </c>
      <c r="O246" s="3">
        <f t="shared" si="139"/>
        <v>101</v>
      </c>
      <c r="P246" s="3">
        <v>130</v>
      </c>
      <c r="Q246" s="3">
        <f>VLOOKUP($A246,'SegEnds_NonXtal_BW#'!$A:$Z,12,FALSE)+VLOOKUP($A246,A:AL,16,FALSE)-50</f>
        <v>136</v>
      </c>
      <c r="R246" s="3">
        <f>IF(ISERROR(VLOOKUP($A246,'SegEnds_NonXtal_BW#'!$A:$Z,13,FALSE)+VLOOKUP($A246,A:AL,19,FALSE)-50),"-",VLOOKUP($A246,'SegEnds_NonXtal_BW#'!$A:$Z,13,FALSE)+VLOOKUP($A246,A:AL,19,FALSE)-50)</f>
        <v>137</v>
      </c>
      <c r="S246" s="3">
        <v>137</v>
      </c>
      <c r="T246" s="100">
        <f>IF(ISERROR(VLOOKUP($A246,'SegEnds_NonXtal_BW#'!$A:$Z,14,FALSE)+VLOOKUP($A246,A:AL,19,FALSE)-50),"-",(VLOOKUP($A246,'SegEnds_NonXtal_BW#'!$A:$Z,14,FALSE)+VLOOKUP($A246,A:AL,19,FALSE)-50))</f>
        <v>144</v>
      </c>
      <c r="U246" s="9">
        <f>IF(ISERROR(VLOOKUP($A246,'SegEnds_NonXtal_BW#'!$A:$Z,15,FALSE)+VLOOKUP($A246,A:AL,22,FALSE)-50),"-",VLOOKUP($A246,'SegEnds_NonXtal_BW#'!$A:$Z,15,FALSE)+VLOOKUP($A246,A:AL,22,FALSE)-50)</f>
        <v>145</v>
      </c>
      <c r="V246" s="3">
        <v>157</v>
      </c>
      <c r="W246" s="3">
        <f>IF(ISERROR(VLOOKUP($A246,'SegEnds_NonXtal_BW#'!$A:$Z,16,FALSE)+VLOOKUP($A246,A:AL,22,FALSE)-50),"-",(VLOOKUP($A246,'SegEnds_NonXtal_BW#'!$A:$Z,16,FALSE)+VLOOKUP($A246,A:AL,22,FALSE)-50))</f>
        <v>170</v>
      </c>
      <c r="X246" s="3">
        <f>IF(ISERROR(VLOOKUP($A246,'SegEnds_NonXtal_BW#'!$A:$Z,17,FALSE)+VLOOKUP($A246,A:AL,25,FALSE)-50),"-",(VLOOKUP($A246,'SegEnds_NonXtal_BW#'!$A:$Z,17,FALSE)+VLOOKUP($A246,A:AL,25,FALSE)-50))</f>
        <v>190</v>
      </c>
      <c r="Y246" s="3">
        <v>190</v>
      </c>
      <c r="Z246" s="3">
        <f t="shared" si="144"/>
        <v>192</v>
      </c>
      <c r="AA246" s="3">
        <f>IF(ISERROR(VLOOKUP($A246,'SegEnds_NonXtal_BW#'!$A:$Z,19,FALSE)+VLOOKUP($A246,A:AL,28,FALSE)-50),"-",(VLOOKUP($A246,'SegEnds_NonXtal_BW#'!$A:$Z,19,FALSE)+VLOOKUP($A246,A:AL,28,FALSE)-50))</f>
        <v>194</v>
      </c>
      <c r="AB246" s="3">
        <v>209</v>
      </c>
      <c r="AC246" s="3">
        <f>IF(ISERROR((VLOOKUP($A246,'SegEnds_NonXtal_BW#'!$A:$Z,20,FALSE)+VLOOKUP($A246,A:AL,28,FALSE)-50)),"-",(VLOOKUP($A246,'SegEnds_NonXtal_BW#'!$A:$Z,20,FALSE)+VLOOKUP($A246,A:AL,28,FALSE)-50))</f>
        <v>233</v>
      </c>
      <c r="AD246" s="3">
        <f>IF(ISERROR(VLOOKUP($A246,'SegEnds_NonXtal_BW#'!$A:$Z,21,FALSE)+VLOOKUP($A246,A:AL,31,FALSE)-50),"-",(VLOOKUP($A246,'SegEnds_NonXtal_BW#'!$A:$Z,21,FALSE)+VLOOKUP($A246,A:AL,31,FALSE)-50))</f>
        <v>244</v>
      </c>
      <c r="AE246" s="3">
        <v>273</v>
      </c>
      <c r="AF246" s="3">
        <f>IF(ISERROR((VLOOKUP($A246,'SegEnds_NonXtal_BW#'!$A:$Z,22,FALSE)+VLOOKUP($A246,A:AL,31,FALSE)-50)),"-",(VLOOKUP($A246,'SegEnds_NonXtal_BW#'!$A:$Z,22,FALSE)+VLOOKUP($A246,A:AL,31,FALSE)-50))</f>
        <v>284</v>
      </c>
      <c r="AG246" s="3">
        <f>IF(ISERROR(VLOOKUP($A246,'SegEnds_NonXtal_BW#'!$A:$Z,23,FALSE)+VLOOKUP($A246,A:AL,34,FALSE)-50),"-",(VLOOKUP($A246,'SegEnds_NonXtal_BW#'!$A:$Z,23,FALSE)+VLOOKUP($A246,A:AL,34,FALSE)-50))</f>
        <v>289</v>
      </c>
      <c r="AH246" s="3">
        <v>308</v>
      </c>
      <c r="AI246" s="3">
        <f>IF(ISERROR((VLOOKUP($A246,'SegEnds_NonXtal_BW#'!$A:$Z,24,FALSE)+VLOOKUP($A246,A:AL,34,FALSE)-50)),"-",(VLOOKUP($A246,'SegEnds_NonXtal_BW#'!$A:$Z,24,FALSE)+VLOOKUP($A246,A:AL,34,FALSE)-50))</f>
        <v>314</v>
      </c>
      <c r="AJ246" s="3">
        <f>IF(ISERROR(VLOOKUP($A246,'SegEnds_NonXtal_BW#'!$A:$Z,25,FALSE)+VLOOKUP($A246,A:AL,37,FALSE)-50),"-",(VLOOKUP($A246,'SegEnds_NonXtal_BW#'!$A:$Z,25,FALSE)+VLOOKUP($A246,A:AL,37,FALSE)-50))</f>
        <v>315</v>
      </c>
      <c r="AK246" s="3">
        <v>318</v>
      </c>
      <c r="AL246" s="3">
        <f>IF(ISERROR((VLOOKUP($A246,'SegEnds_NonXtal_BW#'!$A:$Z,26,FALSE)+VLOOKUP($A246,A:AL,37,FALSE)-50)),"-",(VLOOKUP($A246,'SegEnds_NonXtal_BW#'!$A:$Z,26,FALSE)+VLOOKUP($A246,A:AL,37,FALSE)-50))</f>
        <v>326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19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392</v>
      </c>
      <c r="B247" s="3" t="str">
        <f>LOWER(VLOOKUP(A247,Xtal_Templ!A:B,2,FALSE))</f>
        <v>5ht1b_human</v>
      </c>
      <c r="C247" s="3">
        <f>VLOOKUP($A247,'SegEnds_NonXtal_BW#'!$A:$Z,3,FALSE)+D247-50</f>
        <v>27</v>
      </c>
      <c r="D247" s="3">
        <v>49</v>
      </c>
      <c r="E247" s="3">
        <f>IF(ISERROR(VLOOKUP($A247,'SegEnds_NonXtal_BW#'!$A:$Z,4,FALSE)+VLOOKUP($A247,A:AL,4,FALSE)-50),"-",(VLOOKUP($A247,'SegEnds_NonXtal_BW#'!$A:$Z,4,FALSE)+VLOOKUP($A247,A:AL,4,FALSE)-50))</f>
        <v>59</v>
      </c>
      <c r="F247" s="3">
        <f t="shared" si="167"/>
        <v>60</v>
      </c>
      <c r="G247" s="3">
        <v>62</v>
      </c>
      <c r="H247" s="3">
        <f t="shared" si="168"/>
        <v>63</v>
      </c>
      <c r="I247" s="3">
        <f t="shared" si="168"/>
        <v>64</v>
      </c>
      <c r="J247" s="3">
        <v>77</v>
      </c>
      <c r="K247" s="3">
        <f>VLOOKUP($A247,'SegEnds_NonXtal_BW#'!$A:$Z,8,FALSE)+VLOOKUP($A247,A:AL,10,FALSE)-50</f>
        <v>95</v>
      </c>
      <c r="L247" s="3">
        <f t="shared" si="142"/>
        <v>96</v>
      </c>
      <c r="M247" s="3">
        <v>97</v>
      </c>
      <c r="N247" s="3">
        <f t="shared" si="143"/>
        <v>99</v>
      </c>
      <c r="O247" s="3">
        <f t="shared" si="139"/>
        <v>100</v>
      </c>
      <c r="P247" s="3">
        <v>129</v>
      </c>
      <c r="Q247" s="3">
        <f>VLOOKUP($A247,'SegEnds_NonXtal_BW#'!$A:$Z,12,FALSE)+VLOOKUP($A247,A:AL,16,FALSE)-50</f>
        <v>135</v>
      </c>
      <c r="R247" s="3">
        <f>IF(ISERROR(VLOOKUP($A247,'SegEnds_NonXtal_BW#'!$A:$Z,13,FALSE)+VLOOKUP($A247,A:AL,19,FALSE)-50),"-",VLOOKUP($A247,'SegEnds_NonXtal_BW#'!$A:$Z,13,FALSE)+VLOOKUP($A247,A:AL,19,FALSE)-50)</f>
        <v>136</v>
      </c>
      <c r="S247" s="3">
        <v>136</v>
      </c>
      <c r="T247" s="100">
        <f>IF(ISERROR(VLOOKUP($A247,'SegEnds_NonXtal_BW#'!$A:$Z,14,FALSE)+VLOOKUP($A247,A:AL,19,FALSE)-50),"-",(VLOOKUP($A247,'SegEnds_NonXtal_BW#'!$A:$Z,14,FALSE)+VLOOKUP($A247,A:AL,19,FALSE)-50))</f>
        <v>143</v>
      </c>
      <c r="U247" s="9">
        <f>IF(ISERROR(VLOOKUP($A247,'SegEnds_NonXtal_BW#'!$A:$Z,15,FALSE)+VLOOKUP($A247,A:AL,22,FALSE)-50),"-",VLOOKUP($A247,'SegEnds_NonXtal_BW#'!$A:$Z,15,FALSE)+VLOOKUP($A247,A:AL,22,FALSE)-50)</f>
        <v>144</v>
      </c>
      <c r="V247" s="3">
        <v>156</v>
      </c>
      <c r="W247" s="3">
        <f>IF(ISERROR(VLOOKUP($A247,'SegEnds_NonXtal_BW#'!$A:$Z,16,FALSE)+VLOOKUP($A247,A:AL,22,FALSE)-50),"-",(VLOOKUP($A247,'SegEnds_NonXtal_BW#'!$A:$Z,16,FALSE)+VLOOKUP($A247,A:AL,22,FALSE)-50))</f>
        <v>169</v>
      </c>
      <c r="X247" s="3">
        <f>IF(ISERROR(VLOOKUP($A247,'SegEnds_NonXtal_BW#'!$A:$Z,17,FALSE)+VLOOKUP($A247,A:AL,25,FALSE)-50),"-",(VLOOKUP($A247,'SegEnds_NonXtal_BW#'!$A:$Z,17,FALSE)+VLOOKUP($A247,A:AL,25,FALSE)-50))</f>
        <v>189</v>
      </c>
      <c r="Y247" s="3">
        <v>189</v>
      </c>
      <c r="Z247" s="3">
        <f t="shared" si="144"/>
        <v>191</v>
      </c>
      <c r="AA247" s="3">
        <f>IF(ISERROR(VLOOKUP($A247,'SegEnds_NonXtal_BW#'!$A:$Z,19,FALSE)+VLOOKUP($A247,A:AL,28,FALSE)-50),"-",(VLOOKUP($A247,'SegEnds_NonXtal_BW#'!$A:$Z,19,FALSE)+VLOOKUP($A247,A:AL,28,FALSE)-50))</f>
        <v>193</v>
      </c>
      <c r="AB247" s="3">
        <v>208</v>
      </c>
      <c r="AC247" s="3">
        <f>IF(ISERROR((VLOOKUP($A247,'SegEnds_NonXtal_BW#'!$A:$Z,20,FALSE)+VLOOKUP($A247,A:AL,28,FALSE)-50)),"-",(VLOOKUP($A247,'SegEnds_NonXtal_BW#'!$A:$Z,20,FALSE)+VLOOKUP($A247,A:AL,28,FALSE)-50))</f>
        <v>232</v>
      </c>
      <c r="AD247" s="3">
        <f>IF(ISERROR(VLOOKUP($A247,'SegEnds_NonXtal_BW#'!$A:$Z,21,FALSE)+VLOOKUP($A247,A:AL,31,FALSE)-50),"-",(VLOOKUP($A247,'SegEnds_NonXtal_BW#'!$A:$Z,21,FALSE)+VLOOKUP($A247,A:AL,31,FALSE)-50))</f>
        <v>243</v>
      </c>
      <c r="AE247" s="3">
        <v>272</v>
      </c>
      <c r="AF247" s="3">
        <f>IF(ISERROR((VLOOKUP($A247,'SegEnds_NonXtal_BW#'!$A:$Z,22,FALSE)+VLOOKUP($A247,A:AL,31,FALSE)-50)),"-",(VLOOKUP($A247,'SegEnds_NonXtal_BW#'!$A:$Z,22,FALSE)+VLOOKUP($A247,A:AL,31,FALSE)-50))</f>
        <v>283</v>
      </c>
      <c r="AG247" s="3">
        <f>IF(ISERROR(VLOOKUP($A247,'SegEnds_NonXtal_BW#'!$A:$Z,23,FALSE)+VLOOKUP($A247,A:AL,34,FALSE)-50),"-",(VLOOKUP($A247,'SegEnds_NonXtal_BW#'!$A:$Z,23,FALSE)+VLOOKUP($A247,A:AL,34,FALSE)-50))</f>
        <v>288</v>
      </c>
      <c r="AH247" s="3">
        <v>307</v>
      </c>
      <c r="AI247" s="3">
        <f>IF(ISERROR((VLOOKUP($A247,'SegEnds_NonXtal_BW#'!$A:$Z,24,FALSE)+VLOOKUP($A247,A:AL,34,FALSE)-50)),"-",(VLOOKUP($A247,'SegEnds_NonXtal_BW#'!$A:$Z,24,FALSE)+VLOOKUP($A247,A:AL,34,FALSE)-50))</f>
        <v>313</v>
      </c>
      <c r="AJ247" s="3">
        <f>IF(ISERROR(VLOOKUP($A247,'SegEnds_NonXtal_BW#'!$A:$Z,25,FALSE)+VLOOKUP($A247,A:AL,37,FALSE)-50),"-",(VLOOKUP($A247,'SegEnds_NonXtal_BW#'!$A:$Z,25,FALSE)+VLOOKUP($A247,A:AL,37,FALSE)-50))</f>
        <v>314</v>
      </c>
      <c r="AK247" s="3">
        <v>317</v>
      </c>
      <c r="AL247" s="3">
        <f>IF(ISERROR((VLOOKUP($A247,'SegEnds_NonXtal_BW#'!$A:$Z,26,FALSE)+VLOOKUP($A247,A:AL,37,FALSE)-50)),"-",(VLOOKUP($A247,'SegEnds_NonXtal_BW#'!$A:$Z,26,FALSE)+VLOOKUP($A247,A:AL,37,FALSE)-50))</f>
        <v>325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17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393</v>
      </c>
      <c r="B248" s="3" t="str">
        <f>LOWER(VLOOKUP(A248,Xtal_Templ!A:B,2,FALSE))</f>
        <v>5ht1b_human</v>
      </c>
      <c r="C248" s="3">
        <f>VLOOKUP($A248,'SegEnds_NonXtal_BW#'!$A:$Z,3,FALSE)+D248-50</f>
        <v>28</v>
      </c>
      <c r="D248" s="3">
        <v>50</v>
      </c>
      <c r="E248" s="3">
        <f>IF(ISERROR(VLOOKUP($A248,'SegEnds_NonXtal_BW#'!$A:$Z,4,FALSE)+VLOOKUP($A248,A:AL,4,FALSE)-50),"-",(VLOOKUP($A248,'SegEnds_NonXtal_BW#'!$A:$Z,4,FALSE)+VLOOKUP($A248,A:AL,4,FALSE)-50))</f>
        <v>60</v>
      </c>
      <c r="F248" s="3">
        <f t="shared" si="167"/>
        <v>61</v>
      </c>
      <c r="G248" s="3">
        <v>63</v>
      </c>
      <c r="H248" s="3">
        <f t="shared" si="168"/>
        <v>64</v>
      </c>
      <c r="I248" s="3">
        <f t="shared" si="168"/>
        <v>65</v>
      </c>
      <c r="J248" s="3">
        <v>78</v>
      </c>
      <c r="K248" s="3">
        <f>VLOOKUP($A248,'SegEnds_NonXtal_BW#'!$A:$Z,8,FALSE)+VLOOKUP($A248,A:AL,10,FALSE)-50</f>
        <v>96</v>
      </c>
      <c r="L248" s="3">
        <f t="shared" si="142"/>
        <v>97</v>
      </c>
      <c r="M248" s="3">
        <v>98</v>
      </c>
      <c r="N248" s="3">
        <f t="shared" si="143"/>
        <v>100</v>
      </c>
      <c r="O248" s="3">
        <f t="shared" si="139"/>
        <v>101</v>
      </c>
      <c r="P248" s="3">
        <v>130</v>
      </c>
      <c r="Q248" s="3">
        <f>VLOOKUP($A248,'SegEnds_NonXtal_BW#'!$A:$Z,12,FALSE)+VLOOKUP($A248,A:AL,16,FALSE)-50</f>
        <v>136</v>
      </c>
      <c r="R248" s="3">
        <f>IF(ISERROR(VLOOKUP($A248,'SegEnds_NonXtal_BW#'!$A:$Z,13,FALSE)+VLOOKUP($A248,A:AL,19,FALSE)-50),"-",VLOOKUP($A248,'SegEnds_NonXtal_BW#'!$A:$Z,13,FALSE)+VLOOKUP($A248,A:AL,19,FALSE)-50)</f>
        <v>137</v>
      </c>
      <c r="S248" s="3">
        <v>137</v>
      </c>
      <c r="T248" s="100">
        <f>IF(ISERROR(VLOOKUP($A248,'SegEnds_NonXtal_BW#'!$A:$Z,14,FALSE)+VLOOKUP($A248,A:AL,19,FALSE)-50),"-",(VLOOKUP($A248,'SegEnds_NonXtal_BW#'!$A:$Z,14,FALSE)+VLOOKUP($A248,A:AL,19,FALSE)-50))</f>
        <v>144</v>
      </c>
      <c r="U248" s="9">
        <f>IF(ISERROR(VLOOKUP($A248,'SegEnds_NonXtal_BW#'!$A:$Z,15,FALSE)+VLOOKUP($A248,A:AL,22,FALSE)-50),"-",VLOOKUP($A248,'SegEnds_NonXtal_BW#'!$A:$Z,15,FALSE)+VLOOKUP($A248,A:AL,22,FALSE)-50)</f>
        <v>145</v>
      </c>
      <c r="V248" s="3">
        <v>157</v>
      </c>
      <c r="W248" s="3">
        <f>IF(ISERROR(VLOOKUP($A248,'SegEnds_NonXtal_BW#'!$A:$Z,16,FALSE)+VLOOKUP($A248,A:AL,22,FALSE)-50),"-",(VLOOKUP($A248,'SegEnds_NonXtal_BW#'!$A:$Z,16,FALSE)+VLOOKUP($A248,A:AL,22,FALSE)-50))</f>
        <v>170</v>
      </c>
      <c r="X248" s="3">
        <f>IF(ISERROR(VLOOKUP($A248,'SegEnds_NonXtal_BW#'!$A:$Z,17,FALSE)+VLOOKUP($A248,A:AL,25,FALSE)-50),"-",(VLOOKUP($A248,'SegEnds_NonXtal_BW#'!$A:$Z,17,FALSE)+VLOOKUP($A248,A:AL,25,FALSE)-50))</f>
        <v>190</v>
      </c>
      <c r="Y248" s="3">
        <v>190</v>
      </c>
      <c r="Z248" s="3">
        <f t="shared" si="144"/>
        <v>192</v>
      </c>
      <c r="AA248" s="3">
        <f>IF(ISERROR(VLOOKUP($A248,'SegEnds_NonXtal_BW#'!$A:$Z,19,FALSE)+VLOOKUP($A248,A:AL,28,FALSE)-50),"-",(VLOOKUP($A248,'SegEnds_NonXtal_BW#'!$A:$Z,19,FALSE)+VLOOKUP($A248,A:AL,28,FALSE)-50))</f>
        <v>194</v>
      </c>
      <c r="AB248" s="3">
        <v>209</v>
      </c>
      <c r="AC248" s="3">
        <f>IF(ISERROR((VLOOKUP($A248,'SegEnds_NonXtal_BW#'!$A:$Z,20,FALSE)+VLOOKUP($A248,A:AL,28,FALSE)-50)),"-",(VLOOKUP($A248,'SegEnds_NonXtal_BW#'!$A:$Z,20,FALSE)+VLOOKUP($A248,A:AL,28,FALSE)-50))</f>
        <v>233</v>
      </c>
      <c r="AD248" s="3">
        <f>IF(ISERROR(VLOOKUP($A248,'SegEnds_NonXtal_BW#'!$A:$Z,21,FALSE)+VLOOKUP($A248,A:AL,31,FALSE)-50),"-",(VLOOKUP($A248,'SegEnds_NonXtal_BW#'!$A:$Z,21,FALSE)+VLOOKUP($A248,A:AL,31,FALSE)-50))</f>
        <v>244</v>
      </c>
      <c r="AE248" s="3">
        <v>273</v>
      </c>
      <c r="AF248" s="3">
        <f>IF(ISERROR((VLOOKUP($A248,'SegEnds_NonXtal_BW#'!$A:$Z,22,FALSE)+VLOOKUP($A248,A:AL,31,FALSE)-50)),"-",(VLOOKUP($A248,'SegEnds_NonXtal_BW#'!$A:$Z,22,FALSE)+VLOOKUP($A248,A:AL,31,FALSE)-50))</f>
        <v>284</v>
      </c>
      <c r="AG248" s="3">
        <f>IF(ISERROR(VLOOKUP($A248,'SegEnds_NonXtal_BW#'!$A:$Z,23,FALSE)+VLOOKUP($A248,A:AL,34,FALSE)-50),"-",(VLOOKUP($A248,'SegEnds_NonXtal_BW#'!$A:$Z,23,FALSE)+VLOOKUP($A248,A:AL,34,FALSE)-50))</f>
        <v>289</v>
      </c>
      <c r="AH248" s="3">
        <v>308</v>
      </c>
      <c r="AI248" s="3">
        <f>IF(ISERROR((VLOOKUP($A248,'SegEnds_NonXtal_BW#'!$A:$Z,24,FALSE)+VLOOKUP($A248,A:AL,34,FALSE)-50)),"-",(VLOOKUP($A248,'SegEnds_NonXtal_BW#'!$A:$Z,24,FALSE)+VLOOKUP($A248,A:AL,34,FALSE)-50))</f>
        <v>314</v>
      </c>
      <c r="AJ248" s="3">
        <f>IF(ISERROR(VLOOKUP($A248,'SegEnds_NonXtal_BW#'!$A:$Z,25,FALSE)+VLOOKUP($A248,A:AL,37,FALSE)-50),"-",(VLOOKUP($A248,'SegEnds_NonXtal_BW#'!$A:$Z,25,FALSE)+VLOOKUP($A248,A:AL,37,FALSE)-50))</f>
        <v>315</v>
      </c>
      <c r="AK248" s="3">
        <v>318</v>
      </c>
      <c r="AL248" s="3">
        <f>IF(ISERROR((VLOOKUP($A248,'SegEnds_NonXtal_BW#'!$A:$Z,26,FALSE)+VLOOKUP($A248,A:AL,37,FALSE)-50)),"-",(VLOOKUP($A248,'SegEnds_NonXtal_BW#'!$A:$Z,26,FALSE)+VLOOKUP($A248,A:AL,37,FALSE)-50))</f>
        <v>326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1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20</v>
      </c>
      <c r="AW248" s="3">
        <f t="shared" si="125"/>
        <v>2</v>
      </c>
      <c r="AX248" s="3">
        <f t="shared" si="126"/>
        <v>11</v>
      </c>
      <c r="AY248" s="3">
        <f t="shared" si="127"/>
        <v>5</v>
      </c>
      <c r="AZ248" s="3">
        <f t="shared" si="128"/>
        <v>1</v>
      </c>
      <c r="BA248" s="3">
        <f>IF(ISERROR(LEN(VLOOKUP(A248,Seqs!A:E,2,FALSE))-AL248),"-",LEN(VLOOKUP(A248,Seqs!A:E,2,FALSE))-AL248)</f>
        <v>22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64</v>
      </c>
      <c r="BF248" s="3">
        <f t="shared" si="145"/>
        <v>35</v>
      </c>
    </row>
    <row r="249" spans="1:58" s="3" customFormat="1" x14ac:dyDescent="0.2">
      <c r="A249" s="3" t="s">
        <v>394</v>
      </c>
      <c r="B249" s="3" t="str">
        <f>LOWER(VLOOKUP(A249,Xtal_Templ!A:B,2,FALSE))</f>
        <v>oprx_human</v>
      </c>
      <c r="C249" s="3">
        <f>VLOOKUP($A249,'SegEnds_NonXtal_BW#'!$A:$Z,3,FALSE)+D249-50</f>
        <v>22</v>
      </c>
      <c r="D249" s="3">
        <v>43</v>
      </c>
      <c r="E249" s="3">
        <f>IF(ISERROR(VLOOKUP($A249,'SegEnds_NonXtal_BW#'!$A:$Z,4,FALSE)+VLOOKUP($A249,A:AL,4,FALSE)-50),"-",(VLOOKUP($A249,'SegEnds_NonXtal_BW#'!$A:$Z,4,FALSE)+VLOOKUP($A249,A:AL,4,FALSE)-50))</f>
        <v>53</v>
      </c>
      <c r="F249" s="3">
        <f t="shared" si="167"/>
        <v>54</v>
      </c>
      <c r="G249" s="3">
        <v>56</v>
      </c>
      <c r="H249" s="3">
        <f t="shared" si="168"/>
        <v>57</v>
      </c>
      <c r="I249" s="3">
        <f t="shared" si="168"/>
        <v>58</v>
      </c>
      <c r="J249" s="3">
        <v>71</v>
      </c>
      <c r="K249" s="3">
        <f>VLOOKUP($A249,'SegEnds_NonXtal_BW#'!$A:$Z,8,FALSE)+VLOOKUP($A249,A:AL,10,FALSE)-50</f>
        <v>87</v>
      </c>
      <c r="L249" s="3">
        <f t="shared" si="142"/>
        <v>90</v>
      </c>
      <c r="M249" s="3">
        <v>91</v>
      </c>
      <c r="N249" s="3">
        <f t="shared" si="143"/>
        <v>93</v>
      </c>
      <c r="O249" s="3">
        <f t="shared" si="139"/>
        <v>94</v>
      </c>
      <c r="P249" s="3">
        <v>123</v>
      </c>
      <c r="Q249" s="3">
        <f>VLOOKUP($A249,'SegEnds_NonXtal_BW#'!$A:$Z,12,FALSE)+VLOOKUP($A249,A:AL,16,FALSE)-50</f>
        <v>129</v>
      </c>
      <c r="R249" s="3">
        <f>IF(ISERROR(VLOOKUP($A249,'SegEnds_NonXtal_BW#'!$A:$Z,13,FALSE)+VLOOKUP($A249,A:AL,19,FALSE)-50),"-",VLOOKUP($A249,'SegEnds_NonXtal_BW#'!$A:$Z,13,FALSE)+VLOOKUP($A249,A:AL,19,FALSE)-50)</f>
        <v>130</v>
      </c>
      <c r="S249" s="3">
        <v>130</v>
      </c>
      <c r="T249" s="100">
        <f>IF(ISERROR(VLOOKUP($A249,'SegEnds_NonXtal_BW#'!$A:$Z,14,FALSE)+VLOOKUP($A249,A:AL,19,FALSE)-50),"-",(VLOOKUP($A249,'SegEnds_NonXtal_BW#'!$A:$Z,14,FALSE)+VLOOKUP($A249,A:AL,19,FALSE)-50))</f>
        <v>137</v>
      </c>
      <c r="U249" s="9">
        <f>IF(ISERROR(VLOOKUP($A249,'SegEnds_NonXtal_BW#'!$A:$Z,15,FALSE)+VLOOKUP($A249,A:AL,22,FALSE)-50),"-",VLOOKUP($A249,'SegEnds_NonXtal_BW#'!$A:$Z,15,FALSE)+VLOOKUP($A249,A:AL,22,FALSE)-50)</f>
        <v>138</v>
      </c>
      <c r="V249" s="3">
        <v>150</v>
      </c>
      <c r="W249" s="3">
        <f>IF(ISERROR(VLOOKUP($A249,'SegEnds_NonXtal_BW#'!$A:$Z,16,FALSE)+VLOOKUP($A249,A:AL,22,FALSE)-50),"-",(VLOOKUP($A249,'SegEnds_NonXtal_BW#'!$A:$Z,16,FALSE)+VLOOKUP($A249,A:AL,22,FALSE)-50))</f>
        <v>164</v>
      </c>
      <c r="X249" s="3">
        <f>IF(ISERROR(VLOOKUP($A249,'SegEnds_NonXtal_BW#'!$A:$Z,17,FALSE)+VLOOKUP($A249,A:AL,25,FALSE)-50),"-",(VLOOKUP($A249,'SegEnds_NonXtal_BW#'!$A:$Z,17,FALSE)+VLOOKUP($A249,A:AL,25,FALSE)-50))</f>
        <v>179</v>
      </c>
      <c r="Y249" s="3">
        <v>179</v>
      </c>
      <c r="Z249" s="3">
        <f t="shared" si="144"/>
        <v>181</v>
      </c>
      <c r="AA249" s="3">
        <f>IF(ISERROR(VLOOKUP($A249,'SegEnds_NonXtal_BW#'!$A:$Z,19,FALSE)+VLOOKUP($A249,A:AL,28,FALSE)-50),"-",(VLOOKUP($A249,'SegEnds_NonXtal_BW#'!$A:$Z,19,FALSE)+VLOOKUP($A249,A:AL,28,FALSE)-50))</f>
        <v>184</v>
      </c>
      <c r="AB249" s="3">
        <v>203</v>
      </c>
      <c r="AC249" s="3">
        <f>IF(ISERROR((VLOOKUP($A249,'SegEnds_NonXtal_BW#'!$A:$Z,20,FALSE)+VLOOKUP($A249,A:AL,28,FALSE)-50)),"-",(VLOOKUP($A249,'SegEnds_NonXtal_BW#'!$A:$Z,20,FALSE)+VLOOKUP($A249,A:AL,28,FALSE)-50))</f>
        <v>229</v>
      </c>
      <c r="AD249" s="3">
        <f>IF(ISERROR(VLOOKUP($A249,'SegEnds_NonXtal_BW#'!$A:$Z,21,FALSE)+VLOOKUP($A249,A:AL,31,FALSE)-50),"-",(VLOOKUP($A249,'SegEnds_NonXtal_BW#'!$A:$Z,21,FALSE)+VLOOKUP($A249,A:AL,31,FALSE)-50))</f>
        <v>255</v>
      </c>
      <c r="AE249" s="3">
        <v>281</v>
      </c>
      <c r="AF249" s="3">
        <f>IF(ISERROR((VLOOKUP($A249,'SegEnds_NonXtal_BW#'!$A:$Z,22,FALSE)+VLOOKUP($A249,A:AL,31,FALSE)-50)),"-",(VLOOKUP($A249,'SegEnds_NonXtal_BW#'!$A:$Z,22,FALSE)+VLOOKUP($A249,A:AL,31,FALSE)-50))</f>
        <v>292</v>
      </c>
      <c r="AG249" s="3">
        <f>IF(ISERROR(VLOOKUP($A249,'SegEnds_NonXtal_BW#'!$A:$Z,23,FALSE)+VLOOKUP($A249,A:AL,34,FALSE)-50),"-",(VLOOKUP($A249,'SegEnds_NonXtal_BW#'!$A:$Z,23,FALSE)+VLOOKUP($A249,A:AL,34,FALSE)-50))</f>
        <v>298</v>
      </c>
      <c r="AH249" s="3">
        <v>317</v>
      </c>
      <c r="AI249" s="3">
        <f>IF(ISERROR((VLOOKUP($A249,'SegEnds_NonXtal_BW#'!$A:$Z,24,FALSE)+VLOOKUP($A249,A:AL,34,FALSE)-50)),"-",(VLOOKUP($A249,'SegEnds_NonXtal_BW#'!$A:$Z,24,FALSE)+VLOOKUP($A249,A:AL,34,FALSE)-50))</f>
        <v>323</v>
      </c>
      <c r="AJ249" s="3">
        <f>IF(ISERROR(VLOOKUP($A249,'SegEnds_NonXtal_BW#'!$A:$Z,25,FALSE)+VLOOKUP($A249,A:AL,37,FALSE)-50),"-",(VLOOKUP($A249,'SegEnds_NonXtal_BW#'!$A:$Z,25,FALSE)+VLOOKUP($A249,A:AL,37,FALSE)-50))</f>
        <v>324</v>
      </c>
      <c r="AK249" s="3">
        <v>327</v>
      </c>
      <c r="AL249" s="3">
        <f>IF(ISERROR((VLOOKUP($A249,'SegEnds_NonXtal_BW#'!$A:$Z,26,FALSE)+VLOOKUP($A249,A:AL,37,FALSE)-50)),"-",(VLOOKUP($A249,'SegEnds_NonXtal_BW#'!$A:$Z,26,FALSE)+VLOOKUP($A249,A:AL,37,FALSE)-50))</f>
        <v>336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1</v>
      </c>
      <c r="AQ249" s="3">
        <f t="shared" si="119"/>
        <v>1</v>
      </c>
      <c r="AR249" s="3">
        <f t="shared" si="120"/>
        <v>3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15</v>
      </c>
      <c r="AW249" s="3">
        <f t="shared" si="125"/>
        <v>3</v>
      </c>
      <c r="AX249" s="3">
        <f t="shared" si="126"/>
        <v>26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62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78</v>
      </c>
    </row>
    <row r="250" spans="1:58" s="3" customFormat="1" x14ac:dyDescent="0.2">
      <c r="A250" s="3" t="s">
        <v>395</v>
      </c>
      <c r="B250" s="3" t="str">
        <f>LOWER(VLOOKUP(A250,Xtal_Templ!A:B,2,FALSE))</f>
        <v>aa2ar_human</v>
      </c>
      <c r="C250" s="3">
        <f>VLOOKUP($A250,'SegEnds_NonXtal_BW#'!$A:$Z,3,FALSE)+D250-50</f>
        <v>409</v>
      </c>
      <c r="D250" s="3">
        <v>432</v>
      </c>
      <c r="E250" s="3">
        <f>IF(ISERROR(VLOOKUP($A250,'SegEnds_NonXtal_BW#'!$A:$Z,4,FALSE)+VLOOKUP($A250,A:AL,4,FALSE)-50),"-",(VLOOKUP($A250,'SegEnds_NonXtal_BW#'!$A:$Z,4,FALSE)+VLOOKUP($A250,A:AL,4,FALSE)-50))</f>
        <v>442</v>
      </c>
      <c r="F250" s="3">
        <f t="shared" si="167"/>
        <v>444</v>
      </c>
      <c r="G250" s="3">
        <v>446</v>
      </c>
      <c r="H250" s="3">
        <f t="shared" si="168"/>
        <v>447</v>
      </c>
      <c r="I250" s="3">
        <f t="shared" si="168"/>
        <v>448</v>
      </c>
      <c r="J250" s="3">
        <v>460</v>
      </c>
      <c r="K250" s="3">
        <f>VLOOKUP($A250,'SegEnds_NonXtal_BW#'!$A:$Z,8,FALSE)+VLOOKUP($A250,A:AL,10,FALSE)-50</f>
        <v>477</v>
      </c>
      <c r="L250" s="3">
        <f t="shared" si="142"/>
        <v>487</v>
      </c>
      <c r="M250" s="3">
        <v>488</v>
      </c>
      <c r="N250" s="3">
        <f t="shared" si="143"/>
        <v>490</v>
      </c>
      <c r="O250" s="3">
        <f t="shared" si="139"/>
        <v>491</v>
      </c>
      <c r="P250" s="3">
        <v>519</v>
      </c>
      <c r="Q250" s="3">
        <f>VLOOKUP($A250,'SegEnds_NonXtal_BW#'!$A:$Z,12,FALSE)+VLOOKUP($A250,A:AL,16,FALSE)-50</f>
        <v>525</v>
      </c>
      <c r="R250" s="3">
        <f>IF(ISERROR(VLOOKUP($A250,'SegEnds_NonXtal_BW#'!$A:$Z,13,FALSE)+VLOOKUP($A250,A:AL,19,FALSE)-50),"-",VLOOKUP($A250,'SegEnds_NonXtal_BW#'!$A:$Z,13,FALSE)+VLOOKUP($A250,A:AL,19,FALSE)-50)</f>
        <v>526</v>
      </c>
      <c r="S250" s="3">
        <v>526</v>
      </c>
      <c r="T250" s="100">
        <f>IF(ISERROR(VLOOKUP($A250,'SegEnds_NonXtal_BW#'!$A:$Z,14,FALSE)+VLOOKUP($A250,A:AL,19,FALSE)-50),"-",(VLOOKUP($A250,'SegEnds_NonXtal_BW#'!$A:$Z,14,FALSE)+VLOOKUP($A250,A:AL,19,FALSE)-50))</f>
        <v>533</v>
      </c>
      <c r="U250" s="9">
        <f>IF(ISERROR(VLOOKUP($A250,'SegEnds_NonXtal_BW#'!$A:$Z,15,FALSE)+VLOOKUP($A250,A:AL,22,FALSE)-50),"-",VLOOKUP($A250,'SegEnds_NonXtal_BW#'!$A:$Z,15,FALSE)+VLOOKUP($A250,A:AL,22,FALSE)-50)</f>
        <v>534</v>
      </c>
      <c r="V250" s="3">
        <v>546</v>
      </c>
      <c r="W250" s="3">
        <f>IF(ISERROR(VLOOKUP($A250,'SegEnds_NonXtal_BW#'!$A:$Z,16,FALSE)+VLOOKUP($A250,A:AL,22,FALSE)-50),"-",(VLOOKUP($A250,'SegEnds_NonXtal_BW#'!$A:$Z,16,FALSE)+VLOOKUP($A250,A:AL,22,FALSE)-50))</f>
        <v>559</v>
      </c>
      <c r="X250" s="3">
        <f>IF(ISERROR(VLOOKUP($A250,'SegEnds_NonXtal_BW#'!$A:$Z,17,FALSE)+VLOOKUP($A250,A:AL,25,FALSE)-50),"-",(VLOOKUP($A250,'SegEnds_NonXtal_BW#'!$A:$Z,17,FALSE)+VLOOKUP($A250,A:AL,25,FALSE)-50))</f>
        <v>569</v>
      </c>
      <c r="Y250" s="3">
        <v>569</v>
      </c>
      <c r="Z250" s="3">
        <f t="shared" si="144"/>
        <v>571</v>
      </c>
      <c r="AA250" s="3">
        <f>IF(ISERROR(VLOOKUP($A250,'SegEnds_NonXtal_BW#'!$A:$Z,19,FALSE)+VLOOKUP($A250,A:AL,28,FALSE)-50),"-",(VLOOKUP($A250,'SegEnds_NonXtal_BW#'!$A:$Z,19,FALSE)+VLOOKUP($A250,A:AL,28,FALSE)-50))</f>
        <v>577</v>
      </c>
      <c r="AB250" s="3">
        <v>593</v>
      </c>
      <c r="AC250" s="3">
        <f>IF(ISERROR((VLOOKUP($A250,'SegEnds_NonXtal_BW#'!$A:$Z,20,FALSE)+VLOOKUP($A250,A:AL,28,FALSE)-50)),"-",(VLOOKUP($A250,'SegEnds_NonXtal_BW#'!$A:$Z,20,FALSE)+VLOOKUP($A250,A:AL,28,FALSE)-50))</f>
        <v>610</v>
      </c>
      <c r="AD250" s="3">
        <f>IF(ISERROR(VLOOKUP($A250,'SegEnds_NonXtal_BW#'!$A:$Z,21,FALSE)+VLOOKUP($A250,A:AL,31,FALSE)-50),"-",(VLOOKUP($A250,'SegEnds_NonXtal_BW#'!$A:$Z,21,FALSE)+VLOOKUP($A250,A:AL,31,FALSE)-50))</f>
        <v>615</v>
      </c>
      <c r="AE250" s="3">
        <v>639</v>
      </c>
      <c r="AF250" s="3">
        <f>IF(ISERROR((VLOOKUP($A250,'SegEnds_NonXtal_BW#'!$A:$Z,22,FALSE)+VLOOKUP($A250,A:AL,31,FALSE)-50)),"-",(VLOOKUP($A250,'SegEnds_NonXtal_BW#'!$A:$Z,22,FALSE)+VLOOKUP($A250,A:AL,31,FALSE)-50))</f>
        <v>650</v>
      </c>
      <c r="AG250" s="3">
        <f>IF(ISERROR(VLOOKUP($A250,'SegEnds_NonXtal_BW#'!$A:$Z,23,FALSE)+VLOOKUP($A250,A:AL,34,FALSE)-50),"-",(VLOOKUP($A250,'SegEnds_NonXtal_BW#'!$A:$Z,23,FALSE)+VLOOKUP($A250,A:AL,34,FALSE)-50))</f>
        <v>656</v>
      </c>
      <c r="AH250" s="3">
        <v>675</v>
      </c>
      <c r="AI250" s="3">
        <f>IF(ISERROR((VLOOKUP($A250,'SegEnds_NonXtal_BW#'!$A:$Z,24,FALSE)+VLOOKUP($A250,A:AL,34,FALSE)-50)),"-",(VLOOKUP($A250,'SegEnds_NonXtal_BW#'!$A:$Z,24,FALSE)+VLOOKUP($A250,A:AL,34,FALSE)-50))</f>
        <v>681</v>
      </c>
      <c r="AJ250" s="3">
        <f>IF(ISERROR(VLOOKUP($A250,'SegEnds_NonXtal_BW#'!$A:$Z,25,FALSE)+VLOOKUP($A250,A:AL,37,FALSE)-50),"-",(VLOOKUP($A250,'SegEnds_NonXtal_BW#'!$A:$Z,25,FALSE)+VLOOKUP($A250,A:AL,37,FALSE)-50))</f>
        <v>682</v>
      </c>
      <c r="AK250" s="3">
        <v>685</v>
      </c>
      <c r="AL250" s="3">
        <f>IF(ISERROR((VLOOKUP($A250,'SegEnds_NonXtal_BW#'!$A:$Z,26,FALSE)+VLOOKUP($A250,A:AL,37,FALSE)-50)),"-",(VLOOKUP($A250,'SegEnds_NonXtal_BW#'!$A:$Z,26,FALSE)+VLOOKUP($A250,A:AL,37,FALSE)-50))</f>
        <v>704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10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10</v>
      </c>
      <c r="AW250" s="3">
        <f t="shared" si="125"/>
        <v>6</v>
      </c>
      <c r="AX250" s="3">
        <f t="shared" si="126"/>
        <v>5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60</v>
      </c>
      <c r="BB250" s="16">
        <f t="shared" si="129"/>
        <v>28</v>
      </c>
      <c r="BC250" s="9">
        <f t="shared" si="130"/>
        <v>20</v>
      </c>
      <c r="BD250" s="3">
        <f t="shared" si="131"/>
        <v>28</v>
      </c>
      <c r="BE250" s="3">
        <f t="shared" si="132"/>
        <v>46</v>
      </c>
    </row>
    <row r="251" spans="1:58" s="3" customFormat="1" x14ac:dyDescent="0.2">
      <c r="A251" s="3" t="s">
        <v>399</v>
      </c>
      <c r="B251" s="3" t="str">
        <f>LOWER(VLOOKUP(A251,Xtal_Templ!A:B,2,FALSE))</f>
        <v>mtr1b_human</v>
      </c>
      <c r="C251" s="3">
        <f>VLOOKUP($A251,'SegEnds_NonXtal_BW#'!$A:$Z,3,FALSE)+D251-50</f>
        <v>35</v>
      </c>
      <c r="D251" s="3">
        <v>55</v>
      </c>
      <c r="E251" s="3">
        <f>IF(ISERROR(VLOOKUP($A251,'SegEnds_NonXtal_BW#'!$A:$Z,4,FALSE)+VLOOKUP($A251,A:AL,4,FALSE)-50),"-",(VLOOKUP($A251,'SegEnds_NonXtal_BW#'!$A:$Z,4,FALSE)+VLOOKUP($A251,A:AL,4,FALSE)-50))</f>
        <v>65</v>
      </c>
      <c r="F251" s="3">
        <f t="shared" si="167"/>
        <v>67</v>
      </c>
      <c r="G251" s="3">
        <v>69</v>
      </c>
      <c r="H251" s="3">
        <f t="shared" si="168"/>
        <v>70</v>
      </c>
      <c r="I251" s="3">
        <f t="shared" si="168"/>
        <v>71</v>
      </c>
      <c r="J251" s="3">
        <v>85</v>
      </c>
      <c r="K251" s="3">
        <f>VLOOKUP($A251,'SegEnds_NonXtal_BW#'!$A:$Z,8,FALSE)+VLOOKUP($A251,A:AL,10,FALSE)-50</f>
        <v>101</v>
      </c>
      <c r="L251" s="3">
        <f t="shared" si="142"/>
        <v>102</v>
      </c>
      <c r="M251" s="3">
        <v>103</v>
      </c>
      <c r="N251" s="3">
        <f t="shared" si="143"/>
        <v>105</v>
      </c>
      <c r="O251" s="3">
        <f t="shared" si="139"/>
        <v>106</v>
      </c>
      <c r="P251" s="3">
        <v>137</v>
      </c>
      <c r="Q251" s="3">
        <f>VLOOKUP($A251,'SegEnds_NonXtal_BW#'!$A:$Z,12,FALSE)+VLOOKUP($A251,A:AL,16,FALSE)-50</f>
        <v>143</v>
      </c>
      <c r="R251" s="3">
        <f>IF(ISERROR(VLOOKUP($A251,'SegEnds_NonXtal_BW#'!$A:$Z,13,FALSE)+VLOOKUP($A251,A:AL,19,FALSE)-50),"-",VLOOKUP($A251,'SegEnds_NonXtal_BW#'!$A:$Z,13,FALSE)+VLOOKUP($A251,A:AL,19,FALSE)-50)</f>
        <v>144</v>
      </c>
      <c r="S251" s="3">
        <v>144</v>
      </c>
      <c r="T251" s="100">
        <f>IF(ISERROR(VLOOKUP($A251,'SegEnds_NonXtal_BW#'!$A:$Z,14,FALSE)+VLOOKUP($A251,A:AL,19,FALSE)-50),"-",(VLOOKUP($A251,'SegEnds_NonXtal_BW#'!$A:$Z,14,FALSE)+VLOOKUP($A251,A:AL,19,FALSE)-50))</f>
        <v>151</v>
      </c>
      <c r="U251" s="9">
        <f>IF(ISERROR(VLOOKUP($A251,'SegEnds_NonXtal_BW#'!$A:$Z,15,FALSE)+VLOOKUP($A251,A:AL,22,FALSE)-50),"-",VLOOKUP($A251,'SegEnds_NonXtal_BW#'!$A:$Z,15,FALSE)+VLOOKUP($A251,A:AL,22,FALSE)-50)</f>
        <v>152</v>
      </c>
      <c r="V251" s="3">
        <v>164</v>
      </c>
      <c r="W251" s="3">
        <f>IF(ISERROR(VLOOKUP($A251,'SegEnds_NonXtal_BW#'!$A:$Z,16,FALSE)+VLOOKUP($A251,A:AL,22,FALSE)-50),"-",(VLOOKUP($A251,'SegEnds_NonXtal_BW#'!$A:$Z,16,FALSE)+VLOOKUP($A251,A:AL,22,FALSE)-50))</f>
        <v>178</v>
      </c>
      <c r="X251" s="3">
        <f>IF(ISERROR(VLOOKUP($A251,'SegEnds_NonXtal_BW#'!$A:$Z,17,FALSE)+VLOOKUP($A251,A:AL,25,FALSE)-50),"-",(VLOOKUP($A251,'SegEnds_NonXtal_BW#'!$A:$Z,17,FALSE)+VLOOKUP($A251,A:AL,25,FALSE)-50))</f>
        <v>192</v>
      </c>
      <c r="Y251" s="3">
        <v>192</v>
      </c>
      <c r="Z251" s="3">
        <f t="shared" si="144"/>
        <v>194</v>
      </c>
      <c r="AA251" s="3">
        <f>IF(ISERROR(VLOOKUP($A251,'SegEnds_NonXtal_BW#'!$A:$Z,19,FALSE)+VLOOKUP($A251,A:AL,28,FALSE)-50),"-",(VLOOKUP($A251,'SegEnds_NonXtal_BW#'!$A:$Z,19,FALSE)+VLOOKUP($A251,A:AL,28,FALSE)-50))</f>
        <v>202</v>
      </c>
      <c r="AB251" s="3">
        <v>217</v>
      </c>
      <c r="AC251" s="3">
        <f>IF(ISERROR((VLOOKUP($A251,'SegEnds_NonXtal_BW#'!$A:$Z,20,FALSE)+VLOOKUP($A251,A:AL,28,FALSE)-50)),"-",(VLOOKUP($A251,'SegEnds_NonXtal_BW#'!$A:$Z,20,FALSE)+VLOOKUP($A251,A:AL,28,FALSE)-50))</f>
        <v>243</v>
      </c>
      <c r="AD251" s="3">
        <f>IF(ISERROR(VLOOKUP($A251,'SegEnds_NonXtal_BW#'!$A:$Z,21,FALSE)+VLOOKUP($A251,A:AL,31,FALSE)-50),"-",(VLOOKUP($A251,'SegEnds_NonXtal_BW#'!$A:$Z,21,FALSE)+VLOOKUP($A251,A:AL,31,FALSE)-50))</f>
        <v>260</v>
      </c>
      <c r="AE251" s="3">
        <v>286</v>
      </c>
      <c r="AF251" s="3">
        <f>IF(ISERROR((VLOOKUP($A251,'SegEnds_NonXtal_BW#'!$A:$Z,22,FALSE)+VLOOKUP($A251,A:AL,31,FALSE)-50)),"-",(VLOOKUP($A251,'SegEnds_NonXtal_BW#'!$A:$Z,22,FALSE)+VLOOKUP($A251,A:AL,31,FALSE)-50))</f>
        <v>297</v>
      </c>
      <c r="AG251" s="3">
        <f>IF(ISERROR(VLOOKUP($A251,'SegEnds_NonXtal_BW#'!$A:$Z,23,FALSE)+VLOOKUP($A251,A:AL,34,FALSE)-50),"-",(VLOOKUP($A251,'SegEnds_NonXtal_BW#'!$A:$Z,23,FALSE)+VLOOKUP($A251,A:AL,34,FALSE)-50))</f>
        <v>303</v>
      </c>
      <c r="AH251" s="3">
        <v>322</v>
      </c>
      <c r="AI251" s="3">
        <f>IF(ISERROR((VLOOKUP($A251,'SegEnds_NonXtal_BW#'!$A:$Z,24,FALSE)+VLOOKUP($A251,A:AL,34,FALSE)-50)),"-",(VLOOKUP($A251,'SegEnds_NonXtal_BW#'!$A:$Z,24,FALSE)+VLOOKUP($A251,A:AL,34,FALSE)-50))</f>
        <v>328</v>
      </c>
      <c r="AJ251" s="3">
        <f>IF(ISERROR(VLOOKUP($A251,'SegEnds_NonXtal_BW#'!$A:$Z,25,FALSE)+VLOOKUP($A251,A:AL,37,FALSE)-50),"-",(VLOOKUP($A251,'SegEnds_NonXtal_BW#'!$A:$Z,25,FALSE)+VLOOKUP($A251,A:AL,37,FALSE)-50))</f>
        <v>329</v>
      </c>
      <c r="AK251" s="3">
        <v>332</v>
      </c>
      <c r="AL251" s="3">
        <f>IF(ISERROR((VLOOKUP($A251,'SegEnds_NonXtal_BW#'!$A:$Z,26,FALSE)+VLOOKUP($A251,A:AL,37,FALSE)-50)),"-",(VLOOKUP($A251,'SegEnds_NonXtal_BW#'!$A:$Z,26,FALSE)+VLOOKUP($A251,A:AL,37,FALSE)-50))</f>
        <v>345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2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14</v>
      </c>
      <c r="AW251" s="3">
        <f t="shared" si="125"/>
        <v>8</v>
      </c>
      <c r="AX251" s="3">
        <f t="shared" si="126"/>
        <v>17</v>
      </c>
      <c r="AY251" s="3">
        <f t="shared" si="127"/>
        <v>6</v>
      </c>
      <c r="AZ251" s="3">
        <f t="shared" si="128"/>
        <v>1</v>
      </c>
      <c r="BA251" s="3">
        <f>IF(ISERROR(LEN(VLOOKUP(A251,Seqs!A:E,2,FALSE))-AL251),"-",LEN(VLOOKUP(A251,Seqs!A:E,2,FALSE))-AL251)</f>
        <v>26</v>
      </c>
      <c r="BB251" s="16">
        <f t="shared" si="129"/>
        <v>30</v>
      </c>
      <c r="BC251" s="9">
        <f t="shared" si="130"/>
        <v>20</v>
      </c>
      <c r="BD251" s="3">
        <f t="shared" si="131"/>
        <v>30</v>
      </c>
      <c r="BE251" s="3">
        <f t="shared" si="132"/>
        <v>69</v>
      </c>
    </row>
    <row r="252" spans="1:58" s="3" customFormat="1" x14ac:dyDescent="0.2">
      <c r="A252" s="3" t="s">
        <v>400</v>
      </c>
      <c r="B252" s="3" t="str">
        <f>LOWER(VLOOKUP(A252,Xtal_Templ!A:B,2,FALSE))</f>
        <v>ccr5_human</v>
      </c>
      <c r="C252" s="3">
        <f>VLOOKUP($A252,'SegEnds_NonXtal_BW#'!$A:$Z,3,FALSE)+D252-50</f>
        <v>23</v>
      </c>
      <c r="D252" s="3">
        <v>49</v>
      </c>
      <c r="E252" s="3">
        <f>IF(ISERROR(VLOOKUP($A252,'SegEnds_NonXtal_BW#'!$A:$Z,4,FALSE)+VLOOKUP($A252,A:AL,4,FALSE)-50),"-",(VLOOKUP($A252,'SegEnds_NonXtal_BW#'!$A:$Z,4,FALSE)+VLOOKUP($A252,A:AL,4,FALSE)-50))</f>
        <v>59</v>
      </c>
      <c r="F252" s="3">
        <f t="shared" si="167"/>
        <v>60</v>
      </c>
      <c r="G252" s="3">
        <v>62</v>
      </c>
      <c r="H252" s="3">
        <f t="shared" si="168"/>
        <v>63</v>
      </c>
      <c r="I252" s="3">
        <f t="shared" si="168"/>
        <v>64</v>
      </c>
      <c r="J252" s="3">
        <v>77</v>
      </c>
      <c r="K252" s="3">
        <f>VLOOKUP($A252,'SegEnds_NonXtal_BW#'!$A:$Z,8,FALSE)+VLOOKUP($A252,A:AL,10,FALSE)-50</f>
        <v>93</v>
      </c>
      <c r="L252" s="3">
        <f t="shared" si="142"/>
        <v>94</v>
      </c>
      <c r="M252" s="3">
        <v>95</v>
      </c>
      <c r="N252" s="3">
        <f t="shared" si="143"/>
        <v>97</v>
      </c>
      <c r="O252" s="3">
        <f t="shared" si="139"/>
        <v>98</v>
      </c>
      <c r="P252" s="3">
        <v>127</v>
      </c>
      <c r="Q252" s="3">
        <f>VLOOKUP($A252,'SegEnds_NonXtal_BW#'!$A:$Z,12,FALSE)+VLOOKUP($A252,A:AL,16,FALSE)-50</f>
        <v>133</v>
      </c>
      <c r="R252" s="3">
        <f>IF(ISERROR(VLOOKUP($A252,'SegEnds_NonXtal_BW#'!$A:$Z,13,FALSE)+VLOOKUP($A252,A:AL,19,FALSE)-50),"-",VLOOKUP($A252,'SegEnds_NonXtal_BW#'!$A:$Z,13,FALSE)+VLOOKUP($A252,A:AL,19,FALSE)-50)</f>
        <v>134</v>
      </c>
      <c r="S252" s="3">
        <v>134</v>
      </c>
      <c r="T252" s="100">
        <f>IF(ISERROR(VLOOKUP($A252,'SegEnds_NonXtal_BW#'!$A:$Z,14,FALSE)+VLOOKUP($A252,A:AL,19,FALSE)-50),"-",(VLOOKUP($A252,'SegEnds_NonXtal_BW#'!$A:$Z,14,FALSE)+VLOOKUP($A252,A:AL,19,FALSE)-50))</f>
        <v>141</v>
      </c>
      <c r="U252" s="9">
        <f>IF(ISERROR(VLOOKUP($A252,'SegEnds_NonXtal_BW#'!$A:$Z,15,FALSE)+VLOOKUP($A252,A:AL,22,FALSE)-50),"-",VLOOKUP($A252,'SegEnds_NonXtal_BW#'!$A:$Z,15,FALSE)+VLOOKUP($A252,A:AL,22,FALSE)-50)</f>
        <v>142</v>
      </c>
      <c r="V252" s="3">
        <v>154</v>
      </c>
      <c r="W252" s="3">
        <f>IF(ISERROR(VLOOKUP($A252,'SegEnds_NonXtal_BW#'!$A:$Z,16,FALSE)+VLOOKUP($A252,A:AL,22,FALSE)-50),"-",(VLOOKUP($A252,'SegEnds_NonXtal_BW#'!$A:$Z,16,FALSE)+VLOOKUP($A252,A:AL,22,FALSE)-50))</f>
        <v>168</v>
      </c>
      <c r="X252" s="3">
        <f>IF(ISERROR(VLOOKUP($A252,'SegEnds_NonXtal_BW#'!$A:$Z,17,FALSE)+VLOOKUP($A252,A:AL,25,FALSE)-50),"-",(VLOOKUP($A252,'SegEnds_NonXtal_BW#'!$A:$Z,17,FALSE)+VLOOKUP($A252,A:AL,25,FALSE)-50))</f>
        <v>175</v>
      </c>
      <c r="Y252" s="3">
        <v>175</v>
      </c>
      <c r="Z252" s="3">
        <f t="shared" si="144"/>
        <v>177</v>
      </c>
      <c r="AA252" s="3">
        <f>IF(ISERROR(VLOOKUP($A252,'SegEnds_NonXtal_BW#'!$A:$Z,19,FALSE)+VLOOKUP($A252,A:AL,28,FALSE)-50),"-",(VLOOKUP($A252,'SegEnds_NonXtal_BW#'!$A:$Z,19,FALSE)+VLOOKUP($A252,A:AL,28,FALSE)-50))</f>
        <v>182</v>
      </c>
      <c r="AB252" s="3">
        <v>197</v>
      </c>
      <c r="AC252" s="3">
        <f>IF(ISERROR((VLOOKUP($A252,'SegEnds_NonXtal_BW#'!$A:$Z,20,FALSE)+VLOOKUP($A252,A:AL,28,FALSE)-50)),"-",(VLOOKUP($A252,'SegEnds_NonXtal_BW#'!$A:$Z,20,FALSE)+VLOOKUP($A252,A:AL,28,FALSE)-50))</f>
        <v>215</v>
      </c>
      <c r="AD252" s="3">
        <f>IF(ISERROR(VLOOKUP($A252,'SegEnds_NonXtal_BW#'!$A:$Z,21,FALSE)+VLOOKUP($A252,A:AL,31,FALSE)-50),"-",(VLOOKUP($A252,'SegEnds_NonXtal_BW#'!$A:$Z,21,FALSE)+VLOOKUP($A252,A:AL,31,FALSE)-50))</f>
        <v>220</v>
      </c>
      <c r="AE252" s="3">
        <v>240</v>
      </c>
      <c r="AF252" s="3">
        <f>IF(ISERROR((VLOOKUP($A252,'SegEnds_NonXtal_BW#'!$A:$Z,22,FALSE)+VLOOKUP($A252,A:AL,31,FALSE)-50)),"-",(VLOOKUP($A252,'SegEnds_NonXtal_BW#'!$A:$Z,22,FALSE)+VLOOKUP($A252,A:AL,31,FALSE)-50))</f>
        <v>254</v>
      </c>
      <c r="AG252" s="3">
        <f>IF(ISERROR(VLOOKUP($A252,'SegEnds_NonXtal_BW#'!$A:$Z,23,FALSE)+VLOOKUP($A252,A:AL,34,FALSE)-50),"-",(VLOOKUP($A252,'SegEnds_NonXtal_BW#'!$A:$Z,23,FALSE)+VLOOKUP($A252,A:AL,34,FALSE)-50))</f>
        <v>258</v>
      </c>
      <c r="AH252" s="3">
        <v>284</v>
      </c>
      <c r="AI252" s="3">
        <f>IF(ISERROR((VLOOKUP($A252,'SegEnds_NonXtal_BW#'!$A:$Z,24,FALSE)+VLOOKUP($A252,A:AL,34,FALSE)-50)),"-",(VLOOKUP($A252,'SegEnds_NonXtal_BW#'!$A:$Z,24,FALSE)+VLOOKUP($A252,A:AL,34,FALSE)-50))</f>
        <v>290</v>
      </c>
      <c r="AJ252" s="3">
        <f>IF(ISERROR(VLOOKUP($A252,'SegEnds_NonXtal_BW#'!$A:$Z,25,FALSE)+VLOOKUP($A252,A:AL,37,FALSE)-50),"-",(VLOOKUP($A252,'SegEnds_NonXtal_BW#'!$A:$Z,25,FALSE)+VLOOKUP($A252,A:AL,37,FALSE)-50))</f>
        <v>291</v>
      </c>
      <c r="AK252" s="3">
        <v>294</v>
      </c>
      <c r="AL252" s="3">
        <f>IF(ISERROR((VLOOKUP($A252,'SegEnds_NonXtal_BW#'!$A:$Z,26,FALSE)+VLOOKUP($A252,A:AL,37,FALSE)-50)),"-",(VLOOKUP($A252,'SegEnds_NonXtal_BW#'!$A:$Z,26,FALSE)+VLOOKUP($A252,A:AL,37,FALSE)-50))</f>
        <v>303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>
        <f t="shared" si="120"/>
        <v>1</v>
      </c>
      <c r="AS252" s="3">
        <f t="shared" si="121"/>
        <v>1</v>
      </c>
      <c r="AT252" s="3">
        <f t="shared" si="122"/>
        <v>1</v>
      </c>
      <c r="AU252" s="3">
        <f t="shared" si="123"/>
        <v>1</v>
      </c>
      <c r="AV252" s="3">
        <f t="shared" si="124"/>
        <v>7</v>
      </c>
      <c r="AW252" s="3">
        <f t="shared" si="125"/>
        <v>5</v>
      </c>
      <c r="AX252" s="3">
        <f t="shared" si="126"/>
        <v>5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30</v>
      </c>
      <c r="BB252" s="16">
        <f t="shared" si="129"/>
        <v>28</v>
      </c>
      <c r="BC252" s="9">
        <f t="shared" si="130"/>
        <v>20</v>
      </c>
      <c r="BD252" s="3">
        <f t="shared" si="131"/>
        <v>28</v>
      </c>
      <c r="BE252" s="3">
        <f t="shared" si="132"/>
        <v>43</v>
      </c>
    </row>
    <row r="253" spans="1:58" s="3" customFormat="1" x14ac:dyDescent="0.2">
      <c r="A253" s="3" t="s">
        <v>178</v>
      </c>
      <c r="B253" s="3" t="str">
        <f>LOWER(VLOOKUP(A253,Xtal_Templ!A:B,2,FALSE))</f>
        <v>ccr5_human</v>
      </c>
      <c r="C253" s="3">
        <f>VLOOKUP($A253,'SegEnds_NonXtal_BW#'!$A:$Z,3,FALSE)+D253-50</f>
        <v>30</v>
      </c>
      <c r="D253" s="3">
        <v>56</v>
      </c>
      <c r="E253" s="3">
        <f>IF(ISERROR(VLOOKUP($A253,'SegEnds_NonXtal_BW#'!$A:$Z,4,FALSE)+VLOOKUP($A253,A:AL,4,FALSE)-50),"-",(VLOOKUP($A253,'SegEnds_NonXtal_BW#'!$A:$Z,4,FALSE)+VLOOKUP($A253,A:AL,4,FALSE)-50))</f>
        <v>66</v>
      </c>
      <c r="F253" s="3">
        <f t="shared" si="167"/>
        <v>67</v>
      </c>
      <c r="G253" s="3">
        <v>69</v>
      </c>
      <c r="H253" s="3">
        <f t="shared" si="168"/>
        <v>70</v>
      </c>
      <c r="I253" s="3">
        <f t="shared" si="168"/>
        <v>71</v>
      </c>
      <c r="J253" s="3">
        <v>84</v>
      </c>
      <c r="K253" s="3">
        <f>VLOOKUP($A253,'SegEnds_NonXtal_BW#'!$A:$Z,8,FALSE)+VLOOKUP($A253,A:AL,10,FALSE)-50</f>
        <v>97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102</v>
      </c>
      <c r="P253" s="3">
        <v>128</v>
      </c>
      <c r="Q253" s="3">
        <f>VLOOKUP($A253,'SegEnds_NonXtal_BW#'!$A:$Z,12,FALSE)+VLOOKUP($A253,A:AL,16,FALSE)-50</f>
        <v>134</v>
      </c>
      <c r="R253" s="3">
        <f>IF(ISERROR(VLOOKUP($A253,'SegEnds_NonXtal_BW#'!$A:$Z,13,FALSE)+VLOOKUP($A253,A:AL,19,FALSE)-50),"-",VLOOKUP($A253,'SegEnds_NonXtal_BW#'!$A:$Z,13,FALSE)+VLOOKUP($A253,A:AL,19,FALSE)-50)</f>
        <v>135</v>
      </c>
      <c r="S253" s="3">
        <v>135</v>
      </c>
      <c r="T253" s="100">
        <f>IF(ISERROR(VLOOKUP($A253,'SegEnds_NonXtal_BW#'!$A:$Z,14,FALSE)+VLOOKUP($A253,A:AL,19,FALSE)-50),"-",(VLOOKUP($A253,'SegEnds_NonXtal_BW#'!$A:$Z,14,FALSE)+VLOOKUP($A253,A:AL,19,FALSE)-50))</f>
        <v>143</v>
      </c>
      <c r="U253" s="9">
        <f>IF(ISERROR(VLOOKUP($A253,'SegEnds_NonXtal_BW#'!$A:$Z,15,FALSE)+VLOOKUP($A253,A:AL,22,FALSE)-50),"-",VLOOKUP($A253,'SegEnds_NonXtal_BW#'!$A:$Z,15,FALSE)+VLOOKUP($A253,A:AL,22,FALSE)-50)</f>
        <v>144</v>
      </c>
      <c r="V253" s="3">
        <v>156</v>
      </c>
      <c r="W253" s="3">
        <f>IF(ISERROR(VLOOKUP($A253,'SegEnds_NonXtal_BW#'!$A:$Z,16,FALSE)+VLOOKUP($A253,A:AL,22,FALSE)-50),"-",(VLOOKUP($A253,'SegEnds_NonXtal_BW#'!$A:$Z,16,FALSE)+VLOOKUP($A253,A:AL,22,FALSE)-50))</f>
        <v>170</v>
      </c>
      <c r="X253" s="3">
        <f>IF(ISERROR(VLOOKUP($A253,'SegEnds_NonXtal_BW#'!$A:$Z,17,FALSE)+VLOOKUP($A253,A:AL,25,FALSE)-50),"-",(VLOOKUP($A253,'SegEnds_NonXtal_BW#'!$A:$Z,17,FALSE)+VLOOKUP($A253,A:AL,25,FALSE)-50))</f>
        <v>181</v>
      </c>
      <c r="Y253" s="3">
        <v>181</v>
      </c>
      <c r="Z253" s="3">
        <f t="shared" si="144"/>
        <v>183</v>
      </c>
      <c r="AA253" s="3">
        <f>IF(ISERROR(VLOOKUP($A253,'SegEnds_NonXtal_BW#'!$A:$Z,19,FALSE)+VLOOKUP($A253,A:AL,28,FALSE)-50),"-",(VLOOKUP($A253,'SegEnds_NonXtal_BW#'!$A:$Z,19,FALSE)+VLOOKUP($A253,A:AL,28,FALSE)-50))</f>
        <v>192</v>
      </c>
      <c r="AB253" s="3">
        <v>212</v>
      </c>
      <c r="AC253" s="3">
        <f>IF(ISERROR((VLOOKUP($A253,'SegEnds_NonXtal_BW#'!$A:$Z,20,FALSE)+VLOOKUP($A253,A:AL,28,FALSE)-50)),"-",(VLOOKUP($A253,'SegEnds_NonXtal_BW#'!$A:$Z,20,FALSE)+VLOOKUP($A253,A:AL,28,FALSE)-50))</f>
        <v>229</v>
      </c>
      <c r="AD253" s="3">
        <f>IF(ISERROR(VLOOKUP($A253,'SegEnds_NonXtal_BW#'!$A:$Z,21,FALSE)+VLOOKUP($A253,A:AL,31,FALSE)-50),"-",(VLOOKUP($A253,'SegEnds_NonXtal_BW#'!$A:$Z,21,FALSE)+VLOOKUP($A253,A:AL,31,FALSE)-50))</f>
        <v>233</v>
      </c>
      <c r="AE253" s="3">
        <v>253</v>
      </c>
      <c r="AF253" s="3">
        <f>IF(ISERROR((VLOOKUP($A253,'SegEnds_NonXtal_BW#'!$A:$Z,22,FALSE)+VLOOKUP($A253,A:AL,31,FALSE)-50)),"-",(VLOOKUP($A253,'SegEnds_NonXtal_BW#'!$A:$Z,22,FALSE)+VLOOKUP($A253,A:AL,31,FALSE)-50))</f>
        <v>267</v>
      </c>
      <c r="AG253" s="3">
        <f>IF(ISERROR(VLOOKUP($A253,'SegEnds_NonXtal_BW#'!$A:$Z,23,FALSE)+VLOOKUP($A253,A:AL,34,FALSE)-50),"-",(VLOOKUP($A253,'SegEnds_NonXtal_BW#'!$A:$Z,23,FALSE)+VLOOKUP($A253,A:AL,34,FALSE)-50))</f>
        <v>271</v>
      </c>
      <c r="AH253" s="3">
        <v>297</v>
      </c>
      <c r="AI253" s="3">
        <f>IF(ISERROR((VLOOKUP($A253,'SegEnds_NonXtal_BW#'!$A:$Z,24,FALSE)+VLOOKUP($A253,A:AL,34,FALSE)-50)),"-",(VLOOKUP($A253,'SegEnds_NonXtal_BW#'!$A:$Z,24,FALSE)+VLOOKUP($A253,A:AL,34,FALSE)-50))</f>
        <v>303</v>
      </c>
      <c r="AJ253" s="3">
        <f>IF(ISERROR(VLOOKUP($A253,'SegEnds_NonXtal_BW#'!$A:$Z,25,FALSE)+VLOOKUP($A253,A:AL,37,FALSE)-50),"-",(VLOOKUP($A253,'SegEnds_NonXtal_BW#'!$A:$Z,25,FALSE)+VLOOKUP($A253,A:AL,37,FALSE)-50))</f>
        <v>304</v>
      </c>
      <c r="AK253" s="3">
        <v>307</v>
      </c>
      <c r="AL253" s="3">
        <f>IF(ISERROR((VLOOKUP($A253,'SegEnds_NonXtal_BW#'!$A:$Z,26,FALSE)+VLOOKUP($A253,A:AL,37,FALSE)-50)),"-",(VLOOKUP($A253,'SegEnds_NonXtal_BW#'!$A:$Z,26,FALSE)+VLOOKUP($A253,A:AL,37,FALSE)-50))</f>
        <v>316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NoXtal</v>
      </c>
      <c r="AP253" s="3">
        <f t="shared" si="118"/>
        <v>1</v>
      </c>
      <c r="AQ253" s="3">
        <f t="shared" si="119"/>
        <v>1</v>
      </c>
      <c r="AR253" s="3" t="str">
        <f t="shared" si="120"/>
        <v>-</v>
      </c>
      <c r="AS253" s="3" t="str">
        <f t="shared" si="121"/>
        <v>-</v>
      </c>
      <c r="AT253" s="3">
        <f t="shared" si="122"/>
        <v>1</v>
      </c>
      <c r="AU253" s="3">
        <f t="shared" si="123"/>
        <v>1</v>
      </c>
      <c r="AV253" s="3">
        <f t="shared" si="124"/>
        <v>11</v>
      </c>
      <c r="AW253" s="3">
        <f t="shared" si="125"/>
        <v>9</v>
      </c>
      <c r="AX253" s="3">
        <f t="shared" si="126"/>
        <v>4</v>
      </c>
      <c r="AY253" s="3">
        <f t="shared" si="127"/>
        <v>4</v>
      </c>
      <c r="AZ253" s="3">
        <f t="shared" si="128"/>
        <v>1</v>
      </c>
      <c r="BA253" s="3">
        <f>IF(ISERROR(LEN(VLOOKUP(A253,Seqs!A:E,2,FALSE))-AL253),"-",LEN(VLOOKUP(A253,Seqs!A:E,2,FALSE))-AL253)</f>
        <v>28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41</v>
      </c>
      <c r="BF253" s="3">
        <f t="shared" ref="BF253:BF258" si="169">AH253-AE253</f>
        <v>44</v>
      </c>
    </row>
    <row r="254" spans="1:58" s="3" customFormat="1" x14ac:dyDescent="0.2">
      <c r="A254" s="3" t="s">
        <v>191</v>
      </c>
      <c r="B254" s="3" t="str">
        <f>LOWER(VLOOKUP(A254,Xtal_Templ!A:B,2,FALSE))</f>
        <v>drd2_human</v>
      </c>
      <c r="C254" s="3">
        <f>VLOOKUP($A254,'SegEnds_NonXtal_BW#'!$A:$Z,3,FALSE)+D254-50</f>
        <v>31</v>
      </c>
      <c r="D254" s="3">
        <v>52</v>
      </c>
      <c r="E254" s="3">
        <f>IF(ISERROR(VLOOKUP($A254,'SegEnds_NonXtal_BW#'!$A:$Z,4,FALSE)+VLOOKUP($A254,A:AL,4,FALSE)-50),"-",(VLOOKUP($A254,'SegEnds_NonXtal_BW#'!$A:$Z,4,FALSE)+VLOOKUP($A254,A:AL,4,FALSE)-50))</f>
        <v>62</v>
      </c>
      <c r="F254" s="3">
        <f t="shared" si="167"/>
        <v>63</v>
      </c>
      <c r="G254" s="3">
        <v>65</v>
      </c>
      <c r="H254" s="3">
        <f t="shared" si="168"/>
        <v>66</v>
      </c>
      <c r="I254" s="3">
        <f t="shared" si="168"/>
        <v>67</v>
      </c>
      <c r="J254" s="3">
        <v>80</v>
      </c>
      <c r="K254" s="3">
        <f>VLOOKUP($A254,'SegEnds_NonXtal_BW#'!$A:$Z,8,FALSE)+VLOOKUP($A254,A:AL,10,FALSE)-50</f>
        <v>98</v>
      </c>
      <c r="L254" s="3">
        <f>M254-1</f>
        <v>99</v>
      </c>
      <c r="M254" s="3">
        <v>100</v>
      </c>
      <c r="N254" s="3">
        <f>M254+2</f>
        <v>102</v>
      </c>
      <c r="O254" s="3">
        <f>N254+1</f>
        <v>103</v>
      </c>
      <c r="P254" s="3">
        <v>132</v>
      </c>
      <c r="Q254" s="3">
        <f>VLOOKUP($A254,'SegEnds_NonXtal_BW#'!$A:$Z,12,FALSE)+VLOOKUP($A254,A:AL,16,FALSE)-50</f>
        <v>138</v>
      </c>
      <c r="R254" s="3">
        <f>IF(ISERROR(VLOOKUP($A254,'SegEnds_NonXtal_BW#'!$A:$Z,13,FALSE)+VLOOKUP($A254,A:AL,19,FALSE)-50),"-",VLOOKUP($A254,'SegEnds_NonXtal_BW#'!$A:$Z,13,FALSE)+VLOOKUP($A254,A:AL,19,FALSE)-50)</f>
        <v>139</v>
      </c>
      <c r="S254" s="3">
        <v>139</v>
      </c>
      <c r="T254" s="100">
        <f>IF(ISERROR(VLOOKUP($A254,'SegEnds_NonXtal_BW#'!$A:$Z,14,FALSE)+VLOOKUP($A254,A:AL,19,FALSE)-50),"-",(VLOOKUP($A254,'SegEnds_NonXtal_BW#'!$A:$Z,14,FALSE)+VLOOKUP($A254,A:AL,19,FALSE)-50))</f>
        <v>147</v>
      </c>
      <c r="U254" s="9">
        <f>IF(ISERROR(VLOOKUP($A254,'SegEnds_NonXtal_BW#'!$A:$Z,15,FALSE)+VLOOKUP($A254,A:AL,22,FALSE)-50),"-",VLOOKUP($A254,'SegEnds_NonXtal_BW#'!$A:$Z,15,FALSE)+VLOOKUP($A254,A:AL,22,FALSE)-50)</f>
        <v>148</v>
      </c>
      <c r="V254" s="3">
        <v>160</v>
      </c>
      <c r="W254" s="3">
        <f>IF(ISERROR(VLOOKUP($A254,'SegEnds_NonXtal_BW#'!$A:$Z,16,FALSE)+VLOOKUP($A254,A:AL,22,FALSE)-50),"-",(VLOOKUP($A254,'SegEnds_NonXtal_BW#'!$A:$Z,16,FALSE)+VLOOKUP($A254,A:AL,22,FALSE)-50))</f>
        <v>172</v>
      </c>
      <c r="X254" s="3">
        <f>IF(ISERROR(VLOOKUP($A254,'SegEnds_NonXtal_BW#'!$A:$Z,17,FALSE)+VLOOKUP($A254,A:AL,25,FALSE)-50),"-",(VLOOKUP($A254,'SegEnds_NonXtal_BW#'!$A:$Z,17,FALSE)+VLOOKUP($A254,A:AL,25,FALSE)-50))</f>
        <v>182</v>
      </c>
      <c r="Y254" s="3">
        <v>182</v>
      </c>
      <c r="Z254" s="3">
        <f t="shared" si="144"/>
        <v>184</v>
      </c>
      <c r="AA254" s="3">
        <f>IF(ISERROR(VLOOKUP($A254,'SegEnds_NonXtal_BW#'!$A:$Z,19,FALSE)+VLOOKUP($A254,A:AL,28,FALSE)-50),"-",(VLOOKUP($A254,'SegEnds_NonXtal_BW#'!$A:$Z,19,FALSE)+VLOOKUP($A254,A:AL,28,FALSE)-50))</f>
        <v>186</v>
      </c>
      <c r="AB254" s="3">
        <v>201</v>
      </c>
      <c r="AC254" s="3">
        <f>IF(ISERROR((VLOOKUP($A254,'SegEnds_NonXtal_BW#'!$A:$Z,20,FALSE)+VLOOKUP($A254,A:AL,28,FALSE)-50)),"-",(VLOOKUP($A254,'SegEnds_NonXtal_BW#'!$A:$Z,20,FALSE)+VLOOKUP($A254,A:AL,28,FALSE)-50))</f>
        <v>226</v>
      </c>
      <c r="AD254" s="3">
        <f>IF(ISERROR(VLOOKUP($A254,'SegEnds_NonXtal_BW#'!$A:$Z,21,FALSE)+VLOOKUP($A254,A:AL,31,FALSE)-50),"-",(VLOOKUP($A254,'SegEnds_NonXtal_BW#'!$A:$Z,21,FALSE)+VLOOKUP($A254,A:AL,31,FALSE)-50))</f>
        <v>362</v>
      </c>
      <c r="AE254" s="3">
        <v>388</v>
      </c>
      <c r="AF254" s="3">
        <f>IF(ISERROR((VLOOKUP($A254,'SegEnds_NonXtal_BW#'!$A:$Z,22,FALSE)+VLOOKUP($A254,A:AL,31,FALSE)-50)),"-",(VLOOKUP($A254,'SegEnds_NonXtal_BW#'!$A:$Z,22,FALSE)+VLOOKUP($A254,A:AL,31,FALSE)-50))</f>
        <v>399</v>
      </c>
      <c r="AG254" s="3">
        <f>IF(ISERROR(VLOOKUP($A254,'SegEnds_NonXtal_BW#'!$A:$Z,23,FALSE)+VLOOKUP($A254,A:AL,34,FALSE)-50),"-",(VLOOKUP($A254,'SegEnds_NonXtal_BW#'!$A:$Z,23,FALSE)+VLOOKUP($A254,A:AL,34,FALSE)-50))</f>
        <v>404</v>
      </c>
      <c r="AH254" s="3">
        <v>423</v>
      </c>
      <c r="AI254" s="3">
        <f>IF(ISERROR((VLOOKUP($A254,'SegEnds_NonXtal_BW#'!$A:$Z,24,FALSE)+VLOOKUP($A254,A:AL,34,FALSE)-50)),"-",(VLOOKUP($A254,'SegEnds_NonXtal_BW#'!$A:$Z,24,FALSE)+VLOOKUP($A254,A:AL,34,FALSE)-50))</f>
        <v>429</v>
      </c>
      <c r="AJ254" s="3">
        <f>IF(ISERROR(VLOOKUP($A254,'SegEnds_NonXtal_BW#'!$A:$Z,25,FALSE)+VLOOKUP($A254,A:AL,37,FALSE)-50),"-",(VLOOKUP($A254,'SegEnds_NonXtal_BW#'!$A:$Z,25,FALSE)+VLOOKUP($A254,A:AL,37,FALSE)-50))</f>
        <v>430</v>
      </c>
      <c r="AK254" s="3">
        <v>433</v>
      </c>
      <c r="AL254" s="3">
        <f>IF(ISERROR((VLOOKUP($A254,'SegEnds_NonXtal_BW#'!$A:$Z,26,FALSE)+VLOOKUP($A254,A:AL,37,FALSE)-50)),"-",(VLOOKUP($A254,'SegEnds_NonXtal_BW#'!$A:$Z,26,FALSE)+VLOOKUP($A254,A:AL,37,FALSE)-50))</f>
        <v>442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Xtal</v>
      </c>
      <c r="AP254" s="3">
        <f t="shared" si="118"/>
        <v>1</v>
      </c>
      <c r="AQ254" s="3">
        <f t="shared" si="119"/>
        <v>1</v>
      </c>
      <c r="AR254" s="3">
        <f t="shared" si="120"/>
        <v>1</v>
      </c>
      <c r="AS254" s="3">
        <f t="shared" si="121"/>
        <v>1</v>
      </c>
      <c r="AT254" s="3">
        <f t="shared" si="122"/>
        <v>1</v>
      </c>
      <c r="AU254" s="3">
        <f t="shared" si="123"/>
        <v>1</v>
      </c>
      <c r="AV254" s="3">
        <f t="shared" si="124"/>
        <v>10</v>
      </c>
      <c r="AW254" s="3">
        <f t="shared" si="125"/>
        <v>2</v>
      </c>
      <c r="AX254" s="3">
        <f t="shared" si="126"/>
        <v>136</v>
      </c>
      <c r="AY254" s="3">
        <f t="shared" si="127"/>
        <v>5</v>
      </c>
      <c r="AZ254" s="3">
        <f t="shared" si="128"/>
        <v>1</v>
      </c>
      <c r="BA254" s="3">
        <f>IF(ISERROR(LEN(VLOOKUP(A254,Seqs!A:E,2,FALSE))-AL254),"-",LEN(VLOOKUP(A254,Seqs!A:E,2,FALSE))-AL254)</f>
        <v>1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187</v>
      </c>
      <c r="BF254" s="3">
        <f t="shared" si="169"/>
        <v>35</v>
      </c>
    </row>
    <row r="255" spans="1:58" s="3" customFormat="1" x14ac:dyDescent="0.2">
      <c r="A255" s="3" t="s">
        <v>248</v>
      </c>
      <c r="B255" s="3" t="str">
        <f>LOWER(VLOOKUP(A255,Xtal_Templ!A:B,2,FALSE))</f>
        <v>ox1r_human</v>
      </c>
      <c r="C255" s="3">
        <f>VLOOKUP($A255,'SegEnds_NonXtal_BW#'!$A:$Z,3,FALSE)+D255-50</f>
        <v>18</v>
      </c>
      <c r="D255" s="3">
        <v>36</v>
      </c>
      <c r="E255" s="3">
        <f>IF(ISERROR(VLOOKUP($A255,'SegEnds_NonXtal_BW#'!$A:$Z,4,FALSE)+VLOOKUP($A255,A:AL,4,FALSE)-50),"-",(VLOOKUP($A255,'SegEnds_NonXtal_BW#'!$A:$Z,4,FALSE)+VLOOKUP($A255,A:AL,4,FALSE)-50))</f>
        <v>46</v>
      </c>
      <c r="F255" s="3">
        <f t="shared" si="167"/>
        <v>47</v>
      </c>
      <c r="G255" s="3">
        <v>49</v>
      </c>
      <c r="H255" s="3">
        <f t="shared" si="168"/>
        <v>50</v>
      </c>
      <c r="I255" s="3">
        <f t="shared" si="168"/>
        <v>51</v>
      </c>
      <c r="J255" s="3">
        <v>64</v>
      </c>
      <c r="K255" s="3">
        <f>VLOOKUP($A255,'SegEnds_NonXtal_BW#'!$A:$Z,8,FALSE)+VLOOKUP($A255,A:AL,10,FALSE)-50</f>
        <v>82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88</v>
      </c>
      <c r="P255" s="3">
        <v>120</v>
      </c>
      <c r="Q255" s="3">
        <f>VLOOKUP($A255,'SegEnds_NonXtal_BW#'!$A:$Z,12,FALSE)+VLOOKUP($A255,A:AL,16,FALSE)-50</f>
        <v>126</v>
      </c>
      <c r="R255" s="3">
        <f>IF(ISERROR(VLOOKUP($A255,'SegEnds_NonXtal_BW#'!$A:$Z,13,FALSE)+VLOOKUP($A255,A:AL,19,FALSE)-50),"-",VLOOKUP($A255,'SegEnds_NonXtal_BW#'!$A:$Z,13,FALSE)+VLOOKUP($A255,A:AL,19,FALSE)-50)</f>
        <v>127</v>
      </c>
      <c r="S255" s="3">
        <v>127</v>
      </c>
      <c r="T255" s="100">
        <f>IF(ISERROR(VLOOKUP($A255,'SegEnds_NonXtal_BW#'!$A:$Z,14,FALSE)+VLOOKUP($A255,A:AL,19,FALSE)-50),"-",(VLOOKUP($A255,'SegEnds_NonXtal_BW#'!$A:$Z,14,FALSE)+VLOOKUP($A255,A:AL,19,FALSE)-50))</f>
        <v>135</v>
      </c>
      <c r="U255" s="9">
        <f>IF(ISERROR(VLOOKUP($A255,'SegEnds_NonXtal_BW#'!$A:$Z,15,FALSE)+VLOOKUP($A255,A:AL,22,FALSE)-50),"-",VLOOKUP($A255,'SegEnds_NonXtal_BW#'!$A:$Z,15,FALSE)+VLOOKUP($A255,A:AL,22,FALSE)-50)</f>
        <v>136</v>
      </c>
      <c r="V255" s="3">
        <v>148</v>
      </c>
      <c r="W255" s="3">
        <f>IF(ISERROR(VLOOKUP($A255,'SegEnds_NonXtal_BW#'!$A:$Z,16,FALSE)+VLOOKUP($A255,A:AL,22,FALSE)-50),"-",(VLOOKUP($A255,'SegEnds_NonXtal_BW#'!$A:$Z,16,FALSE)+VLOOKUP($A255,A:AL,22,FALSE)-50))</f>
        <v>162</v>
      </c>
      <c r="X255" s="3">
        <f>IF(ISERROR(VLOOKUP($A255,'SegEnds_NonXtal_BW#'!$A:$Z,17,FALSE)+VLOOKUP($A255,A:AL,25,FALSE)-50),"-",(VLOOKUP($A255,'SegEnds_NonXtal_BW#'!$A:$Z,17,FALSE)+VLOOKUP($A255,A:AL,25,FALSE)-50))</f>
        <v>171</v>
      </c>
      <c r="Y255" s="3">
        <v>171</v>
      </c>
      <c r="Z255" s="3">
        <f t="shared" si="144"/>
        <v>173</v>
      </c>
      <c r="AA255" s="3">
        <f>IF(ISERROR(VLOOKUP($A255,'SegEnds_NonXtal_BW#'!$A:$Z,19,FALSE)+VLOOKUP($A255,A:AL,28,FALSE)-50),"-",(VLOOKUP($A255,'SegEnds_NonXtal_BW#'!$A:$Z,19,FALSE)+VLOOKUP($A255,A:AL,28,FALSE)-50))</f>
        <v>174</v>
      </c>
      <c r="AB255" s="3">
        <v>189</v>
      </c>
      <c r="AC255" s="3">
        <f>IF(ISERROR((VLOOKUP($A255,'SegEnds_NonXtal_BW#'!$A:$Z,20,FALSE)+VLOOKUP($A255,A:AL,28,FALSE)-50)),"-",(VLOOKUP($A255,'SegEnds_NonXtal_BW#'!$A:$Z,20,FALSE)+VLOOKUP($A255,A:AL,28,FALSE)-50))</f>
        <v>215</v>
      </c>
      <c r="AD255" s="3">
        <f>IF(ISERROR(VLOOKUP($A255,'SegEnds_NonXtal_BW#'!$A:$Z,21,FALSE)+VLOOKUP($A255,A:AL,31,FALSE)-50),"-",(VLOOKUP($A255,'SegEnds_NonXtal_BW#'!$A:$Z,21,FALSE)+VLOOKUP($A255,A:AL,31,FALSE)-50))</f>
        <v>273</v>
      </c>
      <c r="AE255" s="3">
        <v>299</v>
      </c>
      <c r="AF255" s="3">
        <f>IF(ISERROR((VLOOKUP($A255,'SegEnds_NonXtal_BW#'!$A:$Z,22,FALSE)+VLOOKUP($A255,A:AL,31,FALSE)-50)),"-",(VLOOKUP($A255,'SegEnds_NonXtal_BW#'!$A:$Z,22,FALSE)+VLOOKUP($A255,A:AL,31,FALSE)-50))</f>
        <v>310</v>
      </c>
      <c r="AG255" s="3">
        <f>IF(ISERROR(VLOOKUP($A255,'SegEnds_NonXtal_BW#'!$A:$Z,23,FALSE)+VLOOKUP($A255,A:AL,34,FALSE)-50),"-",(VLOOKUP($A255,'SegEnds_NonXtal_BW#'!$A:$Z,23,FALSE)+VLOOKUP($A255,A:AL,34,FALSE)-50))</f>
        <v>316</v>
      </c>
      <c r="AH255" s="3">
        <v>335</v>
      </c>
      <c r="AI255" s="3">
        <f>IF(ISERROR((VLOOKUP($A255,'SegEnds_NonXtal_BW#'!$A:$Z,24,FALSE)+VLOOKUP($A255,A:AL,34,FALSE)-50)),"-",(VLOOKUP($A255,'SegEnds_NonXtal_BW#'!$A:$Z,24,FALSE)+VLOOKUP($A255,A:AL,34,FALSE)-50))</f>
        <v>341</v>
      </c>
      <c r="AJ255" s="3">
        <f>IF(ISERROR(VLOOKUP($A255,'SegEnds_NonXtal_BW#'!$A:$Z,25,FALSE)+VLOOKUP($A255,A:AL,37,FALSE)-50),"-",(VLOOKUP($A255,'SegEnds_NonXtal_BW#'!$A:$Z,25,FALSE)+VLOOKUP($A255,A:AL,37,FALSE)-50))</f>
        <v>342</v>
      </c>
      <c r="AK255" s="3">
        <v>345</v>
      </c>
      <c r="AL255" s="3">
        <f>IF(ISERROR((VLOOKUP($A255,'SegEnds_NonXtal_BW#'!$A:$Z,26,FALSE)+VLOOKUP($A255,A:AL,37,FALSE)-50)),"-",(VLOOKUP($A255,'SegEnds_NonXtal_BW#'!$A:$Z,26,FALSE)+VLOOKUP($A255,A:AL,37,FALSE)-50))</f>
        <v>358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 t="str">
        <f t="shared" si="120"/>
        <v>-</v>
      </c>
      <c r="AS255" s="3" t="str">
        <f t="shared" si="121"/>
        <v>-</v>
      </c>
      <c r="AT255" s="3">
        <f t="shared" si="122"/>
        <v>1</v>
      </c>
      <c r="AU255" s="3">
        <f t="shared" si="123"/>
        <v>1</v>
      </c>
      <c r="AV255" s="3">
        <f t="shared" si="124"/>
        <v>9</v>
      </c>
      <c r="AW255" s="3">
        <f t="shared" si="125"/>
        <v>1</v>
      </c>
      <c r="AX255" s="3">
        <f t="shared" si="126"/>
        <v>58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110</v>
      </c>
      <c r="BF255" s="3">
        <f t="shared" si="169"/>
        <v>36</v>
      </c>
    </row>
    <row r="256" spans="1:58" s="3" customFormat="1" x14ac:dyDescent="0.2">
      <c r="A256" s="3" t="s">
        <v>280</v>
      </c>
      <c r="B256" s="3" t="str">
        <f>LOWER(VLOOKUP(A256,Xtal_Templ!A:B,2,FALSE))</f>
        <v>hrh1_human</v>
      </c>
      <c r="C256" s="3">
        <f>VLOOKUP($A256,'SegEnds_NonXtal_BW#'!$A:$Z,3,FALSE)+D256-50</f>
        <v>36</v>
      </c>
      <c r="D256" s="3">
        <v>52</v>
      </c>
      <c r="E256" s="3">
        <f>IF(ISERROR(VLOOKUP($A256,'SegEnds_NonXtal_BW#'!$A:$Z,4,FALSE)+VLOOKUP($A256,A:AL,4,FALSE)-50),"-",(VLOOKUP($A256,'SegEnds_NonXtal_BW#'!$A:$Z,4,FALSE)+VLOOKUP($A256,A:AL,4,FALSE)-50))</f>
        <v>62</v>
      </c>
      <c r="F256" s="3">
        <f t="shared" si="167"/>
        <v>63</v>
      </c>
      <c r="G256" s="3">
        <v>65</v>
      </c>
      <c r="H256" s="3">
        <f t="shared" si="168"/>
        <v>66</v>
      </c>
      <c r="I256" s="3">
        <f t="shared" si="168"/>
        <v>67</v>
      </c>
      <c r="J256" s="3">
        <v>80</v>
      </c>
      <c r="K256" s="3">
        <f>VLOOKUP($A256,'SegEnds_NonXtal_BW#'!$A:$Z,8,FALSE)+VLOOKUP($A256,A:AL,10,FALSE)-50</f>
        <v>97</v>
      </c>
      <c r="L256" s="3">
        <f t="shared" ref="L256:L263" si="170">M256-1</f>
        <v>99</v>
      </c>
      <c r="M256" s="3">
        <v>100</v>
      </c>
      <c r="N256" s="3">
        <f t="shared" ref="N256:N263" si="171">M256+2</f>
        <v>102</v>
      </c>
      <c r="O256" s="3">
        <f t="shared" ref="O256:O263" si="172">N256+1</f>
        <v>103</v>
      </c>
      <c r="P256" s="3">
        <v>132</v>
      </c>
      <c r="Q256" s="3">
        <f>VLOOKUP($A256,'SegEnds_NonXtal_BW#'!$A:$Z,12,FALSE)+VLOOKUP($A256,A:AL,16,FALSE)-50</f>
        <v>138</v>
      </c>
      <c r="R256" s="3">
        <f>IF(ISERROR(VLOOKUP($A256,'SegEnds_NonXtal_BW#'!$A:$Z,13,FALSE)+VLOOKUP($A256,A:AL,19,FALSE)-50),"-",VLOOKUP($A256,'SegEnds_NonXtal_BW#'!$A:$Z,13,FALSE)+VLOOKUP($A256,A:AL,19,FALSE)-50)</f>
        <v>139</v>
      </c>
      <c r="S256" s="3">
        <v>139</v>
      </c>
      <c r="T256" s="100">
        <f>IF(ISERROR(VLOOKUP($A256,'SegEnds_NonXtal_BW#'!$A:$Z,14,FALSE)+VLOOKUP($A256,A:AL,19,FALSE)-50),"-",(VLOOKUP($A256,'SegEnds_NonXtal_BW#'!$A:$Z,14,FALSE)+VLOOKUP($A256,A:AL,19,FALSE)-50))</f>
        <v>147</v>
      </c>
      <c r="U256" s="9">
        <f>IF(ISERROR(VLOOKUP($A256,'SegEnds_NonXtal_BW#'!$A:$Z,15,FALSE)+VLOOKUP($A256,A:AL,22,FALSE)-50),"-",VLOOKUP($A256,'SegEnds_NonXtal_BW#'!$A:$Z,15,FALSE)+VLOOKUP($A256,A:AL,22,FALSE)-50)</f>
        <v>148</v>
      </c>
      <c r="V256" s="3">
        <v>160</v>
      </c>
      <c r="W256" s="3">
        <f>IF(ISERROR(VLOOKUP($A256,'SegEnds_NonXtal_BW#'!$A:$Z,16,FALSE)+VLOOKUP($A256,A:AL,22,FALSE)-50),"-",(VLOOKUP($A256,'SegEnds_NonXtal_BW#'!$A:$Z,16,FALSE)+VLOOKUP($A256,A:AL,22,FALSE)-50))</f>
        <v>173</v>
      </c>
      <c r="X256" s="3">
        <f>IF(ISERROR(VLOOKUP($A256,'SegEnds_NonXtal_BW#'!$A:$Z,17,FALSE)+VLOOKUP($A256,A:AL,25,FALSE)-50),"-",(VLOOKUP($A256,'SegEnds_NonXtal_BW#'!$A:$Z,17,FALSE)+VLOOKUP($A256,A:AL,25,FALSE)-50))</f>
        <v>188</v>
      </c>
      <c r="Y256" s="3">
        <v>188</v>
      </c>
      <c r="Z256" s="3">
        <f t="shared" si="144"/>
        <v>190</v>
      </c>
      <c r="AA256" s="3">
        <f>IF(ISERROR(VLOOKUP($A256,'SegEnds_NonXtal_BW#'!$A:$Z,19,FALSE)+VLOOKUP($A256,A:AL,28,FALSE)-50),"-",(VLOOKUP($A256,'SegEnds_NonXtal_BW#'!$A:$Z,19,FALSE)+VLOOKUP($A256,A:AL,28,FALSE)-50))</f>
        <v>195</v>
      </c>
      <c r="AB256" s="3">
        <v>210</v>
      </c>
      <c r="AC256" s="3">
        <f>IF(ISERROR((VLOOKUP($A256,'SegEnds_NonXtal_BW#'!$A:$Z,20,FALSE)+VLOOKUP($A256,A:AL,28,FALSE)-50)),"-",(VLOOKUP($A256,'SegEnds_NonXtal_BW#'!$A:$Z,20,FALSE)+VLOOKUP($A256,A:AL,28,FALSE)-50))</f>
        <v>235</v>
      </c>
      <c r="AD256" s="3">
        <f>IF(ISERROR(VLOOKUP($A256,'SegEnds_NonXtal_BW#'!$A:$Z,21,FALSE)+VLOOKUP($A256,A:AL,31,FALSE)-50),"-",(VLOOKUP($A256,'SegEnds_NonXtal_BW#'!$A:$Z,21,FALSE)+VLOOKUP($A256,A:AL,31,FALSE)-50))</f>
        <v>347</v>
      </c>
      <c r="AE256" s="3">
        <v>373</v>
      </c>
      <c r="AF256" s="3">
        <f>IF(ISERROR((VLOOKUP($A256,'SegEnds_NonXtal_BW#'!$A:$Z,22,FALSE)+VLOOKUP($A256,A:AL,31,FALSE)-50)),"-",(VLOOKUP($A256,'SegEnds_NonXtal_BW#'!$A:$Z,22,FALSE)+VLOOKUP($A256,A:AL,31,FALSE)-50))</f>
        <v>384</v>
      </c>
      <c r="AG256" s="3">
        <f>IF(ISERROR(VLOOKUP($A256,'SegEnds_NonXtal_BW#'!$A:$Z,23,FALSE)+VLOOKUP($A256,A:AL,34,FALSE)-50),"-",(VLOOKUP($A256,'SegEnds_NonXtal_BW#'!$A:$Z,23,FALSE)+VLOOKUP($A256,A:AL,34,FALSE)-50))</f>
        <v>390</v>
      </c>
      <c r="AH256" s="3">
        <v>409</v>
      </c>
      <c r="AI256" s="3">
        <f>IF(ISERROR((VLOOKUP($A256,'SegEnds_NonXtal_BW#'!$A:$Z,24,FALSE)+VLOOKUP($A256,A:AL,34,FALSE)-50)),"-",(VLOOKUP($A256,'SegEnds_NonXtal_BW#'!$A:$Z,24,FALSE)+VLOOKUP($A256,A:AL,34,FALSE)-50))</f>
        <v>415</v>
      </c>
      <c r="AJ256" s="3">
        <f>IF(ISERROR(VLOOKUP($A256,'SegEnds_NonXtal_BW#'!$A:$Z,25,FALSE)+VLOOKUP($A256,A:AL,37,FALSE)-50),"-",(VLOOKUP($A256,'SegEnds_NonXtal_BW#'!$A:$Z,25,FALSE)+VLOOKUP($A256,A:AL,37,FALSE)-50))</f>
        <v>416</v>
      </c>
      <c r="AK256" s="3">
        <v>419</v>
      </c>
      <c r="AL256" s="3">
        <f>IF(ISERROR((VLOOKUP($A256,'SegEnds_NonXtal_BW#'!$A:$Z,26,FALSE)+VLOOKUP($A256,A:AL,37,FALSE)-50)),"-",(VLOOKUP($A256,'SegEnds_NonXtal_BW#'!$A:$Z,26,FALSE)+VLOOKUP($A256,A:AL,37,FALSE)-50))</f>
        <v>428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15</v>
      </c>
      <c r="AW256" s="3">
        <f t="shared" si="125"/>
        <v>5</v>
      </c>
      <c r="AX256" s="3">
        <f t="shared" si="126"/>
        <v>112</v>
      </c>
      <c r="AY256" s="3">
        <f t="shared" si="127"/>
        <v>6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163</v>
      </c>
      <c r="BF256" s="3">
        <f t="shared" si="169"/>
        <v>36</v>
      </c>
    </row>
    <row r="257" spans="1:58" s="3" customFormat="1" x14ac:dyDescent="0.2">
      <c r="A257" s="3" t="s">
        <v>281</v>
      </c>
      <c r="B257" s="3" t="str">
        <f>LOWER(VLOOKUP(A257,Xtal_Templ!A:B,2,FALSE))</f>
        <v>acm3_rat</v>
      </c>
      <c r="C257" s="3">
        <f>VLOOKUP($A257,'SegEnds_NonXtal_BW#'!$A:$Z,3,FALSE)+D257-50</f>
        <v>11</v>
      </c>
      <c r="D257" s="3">
        <v>33</v>
      </c>
      <c r="E257" s="3">
        <f>IF(ISERROR(VLOOKUP($A257,'SegEnds_NonXtal_BW#'!$A:$Z,4,FALSE)+VLOOKUP($A257,A:AL,4,FALSE)-50),"-",(VLOOKUP($A257,'SegEnds_NonXtal_BW#'!$A:$Z,4,FALSE)+VLOOKUP($A257,A:AL,4,FALSE)-50))</f>
        <v>43</v>
      </c>
      <c r="F257" s="3">
        <f t="shared" si="167"/>
        <v>44</v>
      </c>
      <c r="G257" s="3">
        <v>46</v>
      </c>
      <c r="H257" s="3">
        <f t="shared" si="168"/>
        <v>47</v>
      </c>
      <c r="I257" s="3">
        <f t="shared" si="168"/>
        <v>48</v>
      </c>
      <c r="J257" s="3">
        <v>61</v>
      </c>
      <c r="K257" s="3">
        <f>VLOOKUP($A257,'SegEnds_NonXtal_BW#'!$A:$Z,8,FALSE)+VLOOKUP($A257,A:AL,10,FALSE)-50</f>
        <v>77</v>
      </c>
      <c r="L257" s="3">
        <f t="shared" si="170"/>
        <v>79</v>
      </c>
      <c r="M257" s="3">
        <v>80</v>
      </c>
      <c r="N257" s="3">
        <f t="shared" si="171"/>
        <v>82</v>
      </c>
      <c r="O257" s="3">
        <f t="shared" si="172"/>
        <v>83</v>
      </c>
      <c r="P257" s="3">
        <v>112</v>
      </c>
      <c r="Q257" s="3">
        <f>VLOOKUP($A257,'SegEnds_NonXtal_BW#'!$A:$Z,12,FALSE)+VLOOKUP($A257,A:AL,16,FALSE)-50</f>
        <v>118</v>
      </c>
      <c r="R257" s="3">
        <f>IF(ISERROR(VLOOKUP($A257,'SegEnds_NonXtal_BW#'!$A:$Z,13,FALSE)+VLOOKUP($A257,A:AL,19,FALSE)-50),"-",VLOOKUP($A257,'SegEnds_NonXtal_BW#'!$A:$Z,13,FALSE)+VLOOKUP($A257,A:AL,19,FALSE)-50)</f>
        <v>119</v>
      </c>
      <c r="S257" s="3">
        <v>119</v>
      </c>
      <c r="T257" s="100">
        <f>IF(ISERROR(VLOOKUP($A257,'SegEnds_NonXtal_BW#'!$A:$Z,14,FALSE)+VLOOKUP($A257,A:AL,19,FALSE)-50),"-",(VLOOKUP($A257,'SegEnds_NonXtal_BW#'!$A:$Z,14,FALSE)+VLOOKUP($A257,A:AL,19,FALSE)-50))</f>
        <v>127</v>
      </c>
      <c r="U257" s="9">
        <f>IF(ISERROR(VLOOKUP($A257,'SegEnds_NonXtal_BW#'!$A:$Z,15,FALSE)+VLOOKUP($A257,A:AL,22,FALSE)-50),"-",VLOOKUP($A257,'SegEnds_NonXtal_BW#'!$A:$Z,15,FALSE)+VLOOKUP($A257,A:AL,22,FALSE)-50)</f>
        <v>128</v>
      </c>
      <c r="V257" s="3">
        <v>140</v>
      </c>
      <c r="W257" s="3">
        <f>IF(ISERROR(VLOOKUP($A257,'SegEnds_NonXtal_BW#'!$A:$Z,16,FALSE)+VLOOKUP($A257,A:AL,22,FALSE)-50),"-",(VLOOKUP($A257,'SegEnds_NonXtal_BW#'!$A:$Z,16,FALSE)+VLOOKUP($A257,A:AL,22,FALSE)-50))</f>
        <v>153</v>
      </c>
      <c r="X257" s="3">
        <f>IF(ISERROR(VLOOKUP($A257,'SegEnds_NonXtal_BW#'!$A:$Z,17,FALSE)+VLOOKUP($A257,A:AL,25,FALSE)-50),"-",(VLOOKUP($A257,'SegEnds_NonXtal_BW#'!$A:$Z,17,FALSE)+VLOOKUP($A257,A:AL,25,FALSE)-50))</f>
        <v>164</v>
      </c>
      <c r="Y257" s="3">
        <v>164</v>
      </c>
      <c r="Z257" s="3">
        <f t="shared" si="144"/>
        <v>166</v>
      </c>
      <c r="AA257" s="3">
        <f>IF(ISERROR(VLOOKUP($A257,'SegEnds_NonXtal_BW#'!$A:$Z,19,FALSE)+VLOOKUP($A257,A:AL,28,FALSE)-50),"-",(VLOOKUP($A257,'SegEnds_NonXtal_BW#'!$A:$Z,19,FALSE)+VLOOKUP($A257,A:AL,28,FALSE)-50))</f>
        <v>171</v>
      </c>
      <c r="AB257" s="3">
        <v>186</v>
      </c>
      <c r="AC257" s="3">
        <f>IF(ISERROR((VLOOKUP($A257,'SegEnds_NonXtal_BW#'!$A:$Z,20,FALSE)+VLOOKUP($A257,A:AL,28,FALSE)-50)),"-",(VLOOKUP($A257,'SegEnds_NonXtal_BW#'!$A:$Z,20,FALSE)+VLOOKUP($A257,A:AL,28,FALSE)-50))</f>
        <v>212</v>
      </c>
      <c r="AD257" s="3">
        <f>IF(ISERROR(VLOOKUP($A257,'SegEnds_NonXtal_BW#'!$A:$Z,21,FALSE)+VLOOKUP($A257,A:AL,31,FALSE)-50),"-",(VLOOKUP($A257,'SegEnds_NonXtal_BW#'!$A:$Z,21,FALSE)+VLOOKUP($A257,A:AL,31,FALSE)-50))</f>
        <v>292</v>
      </c>
      <c r="AE257" s="3">
        <v>318</v>
      </c>
      <c r="AF257" s="3">
        <f>IF(ISERROR((VLOOKUP($A257,'SegEnds_NonXtal_BW#'!$A:$Z,22,FALSE)+VLOOKUP($A257,A:AL,31,FALSE)-50)),"-",(VLOOKUP($A257,'SegEnds_NonXtal_BW#'!$A:$Z,22,FALSE)+VLOOKUP($A257,A:AL,31,FALSE)-50))</f>
        <v>329</v>
      </c>
      <c r="AG257" s="3">
        <f>IF(ISERROR(VLOOKUP($A257,'SegEnds_NonXtal_BW#'!$A:$Z,23,FALSE)+VLOOKUP($A257,A:AL,34,FALSE)-50),"-",(VLOOKUP($A257,'SegEnds_NonXtal_BW#'!$A:$Z,23,FALSE)+VLOOKUP($A257,A:AL,34,FALSE)-50))</f>
        <v>336</v>
      </c>
      <c r="AH257" s="3">
        <v>355</v>
      </c>
      <c r="AI257" s="3">
        <f>IF(ISERROR((VLOOKUP($A257,'SegEnds_NonXtal_BW#'!$A:$Z,24,FALSE)+VLOOKUP($A257,A:AL,34,FALSE)-50)),"-",(VLOOKUP($A257,'SegEnds_NonXtal_BW#'!$A:$Z,24,FALSE)+VLOOKUP($A257,A:AL,34,FALSE)-50))</f>
        <v>361</v>
      </c>
      <c r="AJ257" s="3">
        <f>IF(ISERROR(VLOOKUP($A257,'SegEnds_NonXtal_BW#'!$A:$Z,25,FALSE)+VLOOKUP($A257,A:AL,37,FALSE)-50),"-",(VLOOKUP($A257,'SegEnds_NonXtal_BW#'!$A:$Z,25,FALSE)+VLOOKUP($A257,A:AL,37,FALSE)-50))</f>
        <v>362</v>
      </c>
      <c r="AK257" s="3">
        <v>365</v>
      </c>
      <c r="AL257" s="3">
        <f>IF(ISERROR((VLOOKUP($A257,'SegEnds_NonXtal_BW#'!$A:$Z,26,FALSE)+VLOOKUP($A257,A:AL,37,FALSE)-50)),"-",(VLOOKUP($A257,'SegEnds_NonXtal_BW#'!$A:$Z,26,FALSE)+VLOOKUP($A257,A:AL,37,FALSE)-50))</f>
        <v>375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2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5</v>
      </c>
      <c r="AX257" s="3">
        <f t="shared" si="126"/>
        <v>80</v>
      </c>
      <c r="AY257" s="3">
        <f t="shared" si="127"/>
        <v>7</v>
      </c>
      <c r="AZ257" s="3">
        <f t="shared" si="128"/>
        <v>1</v>
      </c>
      <c r="BA257" s="3">
        <f>IF(ISERROR(LEN(VLOOKUP(A257,Seqs!A:E,2,FALSE))-AL257),"-",LEN(VLOOKUP(A257,Seqs!A:E,2,FALSE))-AL257)</f>
        <v>15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132</v>
      </c>
      <c r="BF257" s="3">
        <f t="shared" si="169"/>
        <v>37</v>
      </c>
    </row>
    <row r="258" spans="1:58" s="3" customFormat="1" x14ac:dyDescent="0.2">
      <c r="A258" s="3" t="s">
        <v>348</v>
      </c>
      <c r="B258" s="3" t="str">
        <f>LOWER(VLOOKUP(A258,Xtal_Templ!A:B,2,FALSE))</f>
        <v>p2ry1_human</v>
      </c>
      <c r="C258" s="3">
        <f>VLOOKUP($A258,'SegEnds_NonXtal_BW#'!$A:$Z,3,FALSE)+D258-50</f>
        <v>24</v>
      </c>
      <c r="D258" s="3">
        <v>44</v>
      </c>
      <c r="E258" s="3">
        <f>IF(ISERROR(VLOOKUP($A258,'SegEnds_NonXtal_BW#'!$A:$Z,4,FALSE)+VLOOKUP($A258,A:AL,4,FALSE)-50),"-",(VLOOKUP($A258,'SegEnds_NonXtal_BW#'!$A:$Z,4,FALSE)+VLOOKUP($A258,A:AL,4,FALSE)-50))</f>
        <v>54</v>
      </c>
      <c r="F258" s="3">
        <f t="shared" si="167"/>
        <v>55</v>
      </c>
      <c r="G258" s="3">
        <v>57</v>
      </c>
      <c r="H258" s="3">
        <f t="shared" si="168"/>
        <v>58</v>
      </c>
      <c r="I258" s="3">
        <f t="shared" si="168"/>
        <v>59</v>
      </c>
      <c r="J258" s="3">
        <v>72</v>
      </c>
      <c r="K258" s="3">
        <f>VLOOKUP($A258,'SegEnds_NonXtal_BW#'!$A:$Z,8,FALSE)+VLOOKUP($A258,A:AL,10,FALSE)-50</f>
        <v>88</v>
      </c>
      <c r="L258" s="3">
        <f t="shared" si="170"/>
        <v>91</v>
      </c>
      <c r="M258" s="3">
        <v>92</v>
      </c>
      <c r="N258" s="3">
        <f t="shared" si="171"/>
        <v>94</v>
      </c>
      <c r="O258" s="3">
        <f t="shared" si="172"/>
        <v>95</v>
      </c>
      <c r="P258" s="3">
        <v>124</v>
      </c>
      <c r="Q258" s="3">
        <f>VLOOKUP($A258,'SegEnds_NonXtal_BW#'!$A:$Z,12,FALSE)+VLOOKUP($A258,A:AL,16,FALSE)-50</f>
        <v>130</v>
      </c>
      <c r="R258" s="3">
        <f>IF(ISERROR(VLOOKUP($A258,'SegEnds_NonXtal_BW#'!$A:$Z,13,FALSE)+VLOOKUP($A258,A:AL,19,FALSE)-50),"-",VLOOKUP($A258,'SegEnds_NonXtal_BW#'!$A:$Z,13,FALSE)+VLOOKUP($A258,A:AL,19,FALSE)-50)</f>
        <v>131</v>
      </c>
      <c r="S258" s="3">
        <v>131</v>
      </c>
      <c r="T258" s="100">
        <f>IF(ISERROR(VLOOKUP($A258,'SegEnds_NonXtal_BW#'!$A:$Z,14,FALSE)+VLOOKUP($A258,A:AL,19,FALSE)-50),"-",(VLOOKUP($A258,'SegEnds_NonXtal_BW#'!$A:$Z,14,FALSE)+VLOOKUP($A258,A:AL,19,FALSE)-50))</f>
        <v>139</v>
      </c>
      <c r="U258" s="9">
        <f>IF(ISERROR(VLOOKUP($A258,'SegEnds_NonXtal_BW#'!$A:$Z,15,FALSE)+VLOOKUP($A258,A:AL,22,FALSE)-50),"-",VLOOKUP($A258,'SegEnds_NonXtal_BW#'!$A:$Z,15,FALSE)+VLOOKUP($A258,A:AL,22,FALSE)-50)</f>
        <v>140</v>
      </c>
      <c r="V258" s="3">
        <v>152</v>
      </c>
      <c r="W258" s="3">
        <f>IF(ISERROR(VLOOKUP($A258,'SegEnds_NonXtal_BW#'!$A:$Z,16,FALSE)+VLOOKUP($A258,A:AL,22,FALSE)-50),"-",(VLOOKUP($A258,'SegEnds_NonXtal_BW#'!$A:$Z,16,FALSE)+VLOOKUP($A258,A:AL,22,FALSE)-50))</f>
        <v>166</v>
      </c>
      <c r="X258" s="3">
        <f>IF(ISERROR(VLOOKUP($A258,'SegEnds_NonXtal_BW#'!$A:$Z,17,FALSE)+VLOOKUP($A258,A:AL,25,FALSE)-50),"-",(VLOOKUP($A258,'SegEnds_NonXtal_BW#'!$A:$Z,17,FALSE)+VLOOKUP($A258,A:AL,25,FALSE)-50))</f>
        <v>177</v>
      </c>
      <c r="Y258" s="3">
        <v>177</v>
      </c>
      <c r="Z258" s="3">
        <f t="shared" si="144"/>
        <v>179</v>
      </c>
      <c r="AA258" s="3">
        <f>IF(ISERROR(VLOOKUP($A258,'SegEnds_NonXtal_BW#'!$A:$Z,19,FALSE)+VLOOKUP($A258,A:AL,28,FALSE)-50),"-",(VLOOKUP($A258,'SegEnds_NonXtal_BW#'!$A:$Z,19,FALSE)+VLOOKUP($A258,A:AL,28,FALSE)-50))</f>
        <v>186</v>
      </c>
      <c r="AB258" s="3">
        <v>204</v>
      </c>
      <c r="AC258" s="3">
        <f>IF(ISERROR((VLOOKUP($A258,'SegEnds_NonXtal_BW#'!$A:$Z,20,FALSE)+VLOOKUP($A258,A:AL,28,FALSE)-50)),"-",(VLOOKUP($A258,'SegEnds_NonXtal_BW#'!$A:$Z,20,FALSE)+VLOOKUP($A258,A:AL,28,FALSE)-50))</f>
        <v>226</v>
      </c>
      <c r="AD258" s="3">
        <f>IF(ISERROR(VLOOKUP($A258,'SegEnds_NonXtal_BW#'!$A:$Z,21,FALSE)+VLOOKUP($A258,A:AL,31,FALSE)-50),"-",(VLOOKUP($A258,'SegEnds_NonXtal_BW#'!$A:$Z,21,FALSE)+VLOOKUP($A258,A:AL,31,FALSE)-50))</f>
        <v>233</v>
      </c>
      <c r="AE258" s="3">
        <v>254</v>
      </c>
      <c r="AF258" s="3">
        <f>IF(ISERROR((VLOOKUP($A258,'SegEnds_NonXtal_BW#'!$A:$Z,22,FALSE)+VLOOKUP($A258,A:AL,31,FALSE)-50)),"-",(VLOOKUP($A258,'SegEnds_NonXtal_BW#'!$A:$Z,22,FALSE)+VLOOKUP($A258,A:AL,31,FALSE)-50))</f>
        <v>268</v>
      </c>
      <c r="AG258" s="3">
        <f>IF(ISERROR(VLOOKUP($A258,'SegEnds_NonXtal_BW#'!$A:$Z,23,FALSE)+VLOOKUP($A258,A:AL,34,FALSE)-50),"-",(VLOOKUP($A258,'SegEnds_NonXtal_BW#'!$A:$Z,23,FALSE)+VLOOKUP($A258,A:AL,34,FALSE)-50))</f>
        <v>272</v>
      </c>
      <c r="AH258" s="3">
        <v>298</v>
      </c>
      <c r="AI258" s="3">
        <f>IF(ISERROR((VLOOKUP($A258,'SegEnds_NonXtal_BW#'!$A:$Z,24,FALSE)+VLOOKUP($A258,A:AL,34,FALSE)-50)),"-",(VLOOKUP($A258,'SegEnds_NonXtal_BW#'!$A:$Z,24,FALSE)+VLOOKUP($A258,A:AL,34,FALSE)-50))</f>
        <v>304</v>
      </c>
      <c r="AJ258" s="3">
        <f>IF(ISERROR(VLOOKUP($A258,'SegEnds_NonXtal_BW#'!$A:$Z,25,FALSE)+VLOOKUP($A258,A:AL,37,FALSE)-50),"-",(VLOOKUP($A258,'SegEnds_NonXtal_BW#'!$A:$Z,25,FALSE)+VLOOKUP($A258,A:AL,37,FALSE)-50))</f>
        <v>305</v>
      </c>
      <c r="AK258" s="3">
        <v>308</v>
      </c>
      <c r="AL258" s="3">
        <f>IF(ISERROR((VLOOKUP($A258,'SegEnds_NonXtal_BW#'!$A:$Z,26,FALSE)+VLOOKUP($A258,A:AL,37,FALSE)-50)),"-",(VLOOKUP($A258,'SegEnds_NonXtal_BW#'!$A:$Z,26,FALSE)+VLOOKUP($A258,A:AL,37,FALSE)-50))</f>
        <v>317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3</v>
      </c>
      <c r="AS258" s="3">
        <f t="shared" si="121"/>
        <v>1</v>
      </c>
      <c r="AT258" s="3">
        <f t="shared" si="122"/>
        <v>1</v>
      </c>
      <c r="AU258" s="3">
        <f t="shared" si="123"/>
        <v>1</v>
      </c>
      <c r="AV258" s="3">
        <f t="shared" si="124"/>
        <v>11</v>
      </c>
      <c r="AW258" s="3">
        <f t="shared" si="125"/>
        <v>7</v>
      </c>
      <c r="AX258" s="3">
        <f t="shared" si="126"/>
        <v>7</v>
      </c>
      <c r="AY258" s="3">
        <f t="shared" si="127"/>
        <v>4</v>
      </c>
      <c r="AZ258" s="3">
        <f t="shared" si="128"/>
        <v>1</v>
      </c>
      <c r="BA258" s="3">
        <f>IF(ISERROR(LEN(VLOOKUP(A258,Seqs!A:E,2,FALSE))-AL258),"-",LEN(VLOOKUP(A258,Seqs!A:E,2,FALSE))-AL258)</f>
        <v>11</v>
      </c>
      <c r="BB258" s="16">
        <f t="shared" si="129"/>
        <v>28</v>
      </c>
      <c r="BC258" s="9">
        <f t="shared" si="130"/>
        <v>21</v>
      </c>
      <c r="BD258" s="3">
        <f t="shared" si="131"/>
        <v>28</v>
      </c>
      <c r="BE258" s="3">
        <f t="shared" si="132"/>
        <v>50</v>
      </c>
      <c r="BF258" s="3">
        <f t="shared" si="169"/>
        <v>44</v>
      </c>
    </row>
    <row r="259" spans="1:58" s="3" customFormat="1" x14ac:dyDescent="0.2">
      <c r="A259" s="3" t="s">
        <v>174</v>
      </c>
      <c r="B259" s="3" t="str">
        <f>LOWER(VLOOKUP(A259,Xtal_Templ!A:B,2,FALSE))</f>
        <v>ccr7_human</v>
      </c>
      <c r="C259" s="3">
        <f>VLOOKUP($A259,'SegEnds_NonXtal_BW#'!$A:$Z,3,FALSE)+D259-50</f>
        <v>43</v>
      </c>
      <c r="D259" s="3">
        <v>64</v>
      </c>
      <c r="E259" s="3">
        <f>IF(ISERROR(VLOOKUP($A259,'SegEnds_NonXtal_BW#'!$A:$Z,4,FALSE)+VLOOKUP($A259,A:AL,4,FALSE)-50),"-",(VLOOKUP($A259,'SegEnds_NonXtal_BW#'!$A:$Z,4,FALSE)+VLOOKUP($A259,A:AL,4,FALSE)-50))</f>
        <v>74</v>
      </c>
      <c r="F259" s="3">
        <f t="shared" si="167"/>
        <v>75</v>
      </c>
      <c r="G259" s="3">
        <v>77</v>
      </c>
      <c r="H259" s="3">
        <f t="shared" si="168"/>
        <v>78</v>
      </c>
      <c r="I259" s="3">
        <f t="shared" si="168"/>
        <v>79</v>
      </c>
      <c r="J259" s="3">
        <v>92</v>
      </c>
      <c r="K259" s="3">
        <f>VLOOKUP($A259,'SegEnds_NonXtal_BW#'!$A:$Z,8,FALSE)+VLOOKUP($A259,A:AL,10,FALSE)-50</f>
        <v>108</v>
      </c>
      <c r="L259" s="3">
        <f t="shared" si="170"/>
        <v>110</v>
      </c>
      <c r="M259" s="3">
        <v>111</v>
      </c>
      <c r="N259" s="3">
        <f t="shared" si="171"/>
        <v>113</v>
      </c>
      <c r="O259" s="3">
        <f t="shared" si="172"/>
        <v>114</v>
      </c>
      <c r="P259" s="3">
        <v>143</v>
      </c>
      <c r="Q259" s="3">
        <f>VLOOKUP($A259,'SegEnds_NonXtal_BW#'!$A:$Z,12,FALSE)+VLOOKUP($A259,A:AL,16,FALSE)-50</f>
        <v>149</v>
      </c>
      <c r="R259" s="3">
        <f>IF(ISERROR(VLOOKUP($A259,'SegEnds_NonXtal_BW#'!$A:$Z,13,FALSE)+VLOOKUP($A259,A:AL,19,FALSE)-50),"-",VLOOKUP($A259,'SegEnds_NonXtal_BW#'!$A:$Z,13,FALSE)+VLOOKUP($A259,A:AL,19,FALSE)-50)</f>
        <v>150</v>
      </c>
      <c r="S259" s="3">
        <v>150</v>
      </c>
      <c r="T259" s="100">
        <f>IF(ISERROR(VLOOKUP($A259,'SegEnds_NonXtal_BW#'!$A:$Z,14,FALSE)+VLOOKUP($A259,A:AL,19,FALSE)-50),"-",(VLOOKUP($A259,'SegEnds_NonXtal_BW#'!$A:$Z,14,FALSE)+VLOOKUP($A259,A:AL,19,FALSE)-50))</f>
        <v>158</v>
      </c>
      <c r="U259" s="9">
        <f>IF(ISERROR(VLOOKUP($A259,'SegEnds_NonXtal_BW#'!$A:$Z,15,FALSE)+VLOOKUP($A259,A:AL,22,FALSE)-50),"-",VLOOKUP($A259,'SegEnds_NonXtal_BW#'!$A:$Z,15,FALSE)+VLOOKUP($A259,A:AL,22,FALSE)-50)</f>
        <v>160</v>
      </c>
      <c r="V259" s="3">
        <v>172</v>
      </c>
      <c r="W259" s="3">
        <f>IF(ISERROR(VLOOKUP($A259,'SegEnds_NonXtal_BW#'!$A:$Z,16,FALSE)+VLOOKUP($A259,A:AL,22,FALSE)-50),"-",(VLOOKUP($A259,'SegEnds_NonXtal_BW#'!$A:$Z,16,FALSE)+VLOOKUP($A259,A:AL,22,FALSE)-50))</f>
        <v>186</v>
      </c>
      <c r="X259" s="3">
        <f>IF(ISERROR(VLOOKUP($A259,'SegEnds_NonXtal_BW#'!$A:$Z,17,FALSE)+VLOOKUP($A259,A:AL,25,FALSE)-50),"-",(VLOOKUP($A259,'SegEnds_NonXtal_BW#'!$A:$Z,17,FALSE)+VLOOKUP($A259,A:AL,25,FALSE)-50))</f>
        <v>197</v>
      </c>
      <c r="Y259" s="3">
        <v>197</v>
      </c>
      <c r="Z259" s="3">
        <f t="shared" si="144"/>
        <v>199</v>
      </c>
      <c r="AA259" s="3">
        <f>IF(ISERROR(VLOOKUP($A259,'SegEnds_NonXtal_BW#'!$A:$Z,19,FALSE)+VLOOKUP($A259,A:AL,28,FALSE)-50),"-",(VLOOKUP($A259,'SegEnds_NonXtal_BW#'!$A:$Z,19,FALSE)+VLOOKUP($A259,A:AL,28,FALSE)-50))</f>
        <v>209</v>
      </c>
      <c r="AB259" s="3">
        <v>226</v>
      </c>
      <c r="AC259" s="3">
        <f>IF(ISERROR((VLOOKUP($A259,'SegEnds_NonXtal_BW#'!$A:$Z,20,FALSE)+VLOOKUP($A259,A:AL,28,FALSE)-50)),"-",(VLOOKUP($A259,'SegEnds_NonXtal_BW#'!$A:$Z,20,FALSE)+VLOOKUP($A259,A:AL,28,FALSE)-50))</f>
        <v>244</v>
      </c>
      <c r="AD259" s="3">
        <f>IF(ISERROR(VLOOKUP($A259,'SegEnds_NonXtal_BW#'!$A:$Z,21,FALSE)+VLOOKUP($A259,A:AL,31,FALSE)-50),"-",(VLOOKUP($A259,'SegEnds_NonXtal_BW#'!$A:$Z,21,FALSE)+VLOOKUP($A259,A:AL,31,FALSE)-50))</f>
        <v>249</v>
      </c>
      <c r="AE259" s="3">
        <v>269</v>
      </c>
      <c r="AF259" s="3">
        <f>IF(ISERROR((VLOOKUP($A259,'SegEnds_NonXtal_BW#'!$A:$Z,22,FALSE)+VLOOKUP($A259,A:AL,31,FALSE)-50)),"-",(VLOOKUP($A259,'SegEnds_NonXtal_BW#'!$A:$Z,22,FALSE)+VLOOKUP($A259,A:AL,31,FALSE)-50))</f>
        <v>284</v>
      </c>
      <c r="AG259" s="3">
        <f>IF(ISERROR(VLOOKUP($A259,'SegEnds_NonXtal_BW#'!$A:$Z,23,FALSE)+VLOOKUP($A259,A:AL,34,FALSE)-50),"-",(VLOOKUP($A259,'SegEnds_NonXtal_BW#'!$A:$Z,23,FALSE)+VLOOKUP($A259,A:AL,34,FALSE)-50))</f>
        <v>287</v>
      </c>
      <c r="AH259" s="3">
        <v>313</v>
      </c>
      <c r="AI259" s="3">
        <f>IF(ISERROR((VLOOKUP($A259,'SegEnds_NonXtal_BW#'!$A:$Z,24,FALSE)+VLOOKUP($A259,A:AL,34,FALSE)-50)),"-",(VLOOKUP($A259,'SegEnds_NonXtal_BW#'!$A:$Z,24,FALSE)+VLOOKUP($A259,A:AL,34,FALSE)-50))</f>
        <v>319</v>
      </c>
      <c r="AJ259" s="3">
        <f>IF(ISERROR(VLOOKUP($A259,'SegEnds_NonXtal_BW#'!$A:$Z,25,FALSE)+VLOOKUP($A259,A:AL,37,FALSE)-50),"-",(VLOOKUP($A259,'SegEnds_NonXtal_BW#'!$A:$Z,25,FALSE)+VLOOKUP($A259,A:AL,37,FALSE)-50))</f>
        <v>320</v>
      </c>
      <c r="AK259" s="3">
        <v>323</v>
      </c>
      <c r="AL259" s="3">
        <f>IF(ISERROR((VLOOKUP($A259,'SegEnds_NonXtal_BW#'!$A:$Z,26,FALSE)+VLOOKUP($A259,A:AL,37,FALSE)-50)),"-",(VLOOKUP($A259,'SegEnds_NonXtal_BW#'!$A:$Z,26,FALSE)+VLOOKUP($A259,A:AL,37,FALSE)-50))</f>
        <v>332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2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11</v>
      </c>
      <c r="AW259" s="3">
        <f t="shared" si="125"/>
        <v>10</v>
      </c>
      <c r="AX259" s="3">
        <f t="shared" si="126"/>
        <v>5</v>
      </c>
      <c r="AY259" s="3">
        <f t="shared" si="127"/>
        <v>3</v>
      </c>
      <c r="AZ259" s="3">
        <f t="shared" si="128"/>
        <v>1</v>
      </c>
      <c r="BA259" s="3">
        <f>IF(ISERROR(LEN(VLOOKUP(A259,Seqs!A:E,2,FALSE))-AL259),"-",LEN(VLOOKUP(A259,Seqs!A:E,2,FALSE))-AL259)</f>
        <v>42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175</v>
      </c>
      <c r="B260" s="3" t="str">
        <f>LOWER(VLOOKUP(A260,Xtal_Templ!A:B,2,FALSE))</f>
        <v>ccr7_human</v>
      </c>
      <c r="C260" s="3">
        <f>VLOOKUP($A260,'SegEnds_NonXtal_BW#'!$A:$Z,3,FALSE)+D260-50</f>
        <v>55</v>
      </c>
      <c r="D260" s="3">
        <v>76</v>
      </c>
      <c r="E260" s="3">
        <f>IF(ISERROR(VLOOKUP($A260,'SegEnds_NonXtal_BW#'!$A:$Z,4,FALSE)+VLOOKUP($A260,A:AL,4,FALSE)-50),"-",(VLOOKUP($A260,'SegEnds_NonXtal_BW#'!$A:$Z,4,FALSE)+VLOOKUP($A260,A:AL,4,FALSE)-50))</f>
        <v>86</v>
      </c>
      <c r="F260" s="3">
        <f t="shared" si="167"/>
        <v>87</v>
      </c>
      <c r="G260" s="3">
        <v>89</v>
      </c>
      <c r="H260" s="3">
        <f t="shared" si="168"/>
        <v>90</v>
      </c>
      <c r="I260" s="3">
        <f t="shared" si="168"/>
        <v>91</v>
      </c>
      <c r="J260" s="3">
        <v>104</v>
      </c>
      <c r="K260" s="3">
        <f>VLOOKUP($A260,'SegEnds_NonXtal_BW#'!$A:$Z,8,FALSE)+VLOOKUP($A260,A:AL,10,FALSE)-50</f>
        <v>120</v>
      </c>
      <c r="L260" s="3">
        <f t="shared" si="170"/>
        <v>121</v>
      </c>
      <c r="M260" s="3">
        <v>122</v>
      </c>
      <c r="N260" s="3">
        <f t="shared" si="171"/>
        <v>124</v>
      </c>
      <c r="O260" s="3">
        <f t="shared" si="172"/>
        <v>125</v>
      </c>
      <c r="P260" s="3">
        <v>154</v>
      </c>
      <c r="Q260" s="3">
        <f>VLOOKUP($A260,'SegEnds_NonXtal_BW#'!$A:$Z,12,FALSE)+VLOOKUP($A260,A:AL,16,FALSE)-50</f>
        <v>160</v>
      </c>
      <c r="R260" s="3">
        <f>IF(ISERROR(VLOOKUP($A260,'SegEnds_NonXtal_BW#'!$A:$Z,13,FALSE)+VLOOKUP($A260,A:AL,19,FALSE)-50),"-",VLOOKUP($A260,'SegEnds_NonXtal_BW#'!$A:$Z,13,FALSE)+VLOOKUP($A260,A:AL,19,FALSE)-50)</f>
        <v>161</v>
      </c>
      <c r="S260" s="3">
        <v>161</v>
      </c>
      <c r="T260" s="100">
        <f>IF(ISERROR(VLOOKUP($A260,'SegEnds_NonXtal_BW#'!$A:$Z,14,FALSE)+VLOOKUP($A260,A:AL,19,FALSE)-50),"-",(VLOOKUP($A260,'SegEnds_NonXtal_BW#'!$A:$Z,14,FALSE)+VLOOKUP($A260,A:AL,19,FALSE)-50))</f>
        <v>169</v>
      </c>
      <c r="U260" s="9">
        <f>IF(ISERROR(VLOOKUP($A260,'SegEnds_NonXtal_BW#'!$A:$Z,15,FALSE)+VLOOKUP($A260,A:AL,22,FALSE)-50),"-",VLOOKUP($A260,'SegEnds_NonXtal_BW#'!$A:$Z,15,FALSE)+VLOOKUP($A260,A:AL,22,FALSE)-50)</f>
        <v>171</v>
      </c>
      <c r="V260" s="3">
        <v>183</v>
      </c>
      <c r="W260" s="3">
        <f>IF(ISERROR(VLOOKUP($A260,'SegEnds_NonXtal_BW#'!$A:$Z,16,FALSE)+VLOOKUP($A260,A:AL,22,FALSE)-50),"-",(VLOOKUP($A260,'SegEnds_NonXtal_BW#'!$A:$Z,16,FALSE)+VLOOKUP($A260,A:AL,22,FALSE)-50))</f>
        <v>197</v>
      </c>
      <c r="X260" s="3">
        <f>IF(ISERROR(VLOOKUP($A260,'SegEnds_NonXtal_BW#'!$A:$Z,17,FALSE)+VLOOKUP($A260,A:AL,25,FALSE)-50),"-",(VLOOKUP($A260,'SegEnds_NonXtal_BW#'!$A:$Z,17,FALSE)+VLOOKUP($A260,A:AL,25,FALSE)-50))</f>
        <v>210</v>
      </c>
      <c r="Y260" s="3">
        <v>210</v>
      </c>
      <c r="Z260" s="3">
        <f t="shared" si="144"/>
        <v>212</v>
      </c>
      <c r="AA260" s="3">
        <f>IF(ISERROR(VLOOKUP($A260,'SegEnds_NonXtal_BW#'!$A:$Z,19,FALSE)+VLOOKUP($A260,A:AL,28,FALSE)-50),"-",(VLOOKUP($A260,'SegEnds_NonXtal_BW#'!$A:$Z,19,FALSE)+VLOOKUP($A260,A:AL,28,FALSE)-50))</f>
        <v>218</v>
      </c>
      <c r="AB260" s="3">
        <v>235</v>
      </c>
      <c r="AC260" s="3">
        <f>IF(ISERROR((VLOOKUP($A260,'SegEnds_NonXtal_BW#'!$A:$Z,20,FALSE)+VLOOKUP($A260,A:AL,28,FALSE)-50)),"-",(VLOOKUP($A260,'SegEnds_NonXtal_BW#'!$A:$Z,20,FALSE)+VLOOKUP($A260,A:AL,28,FALSE)-50))</f>
        <v>253</v>
      </c>
      <c r="AD260" s="3">
        <f>IF(ISERROR(VLOOKUP($A260,'SegEnds_NonXtal_BW#'!$A:$Z,21,FALSE)+VLOOKUP($A260,A:AL,31,FALSE)-50),"-",(VLOOKUP($A260,'SegEnds_NonXtal_BW#'!$A:$Z,21,FALSE)+VLOOKUP($A260,A:AL,31,FALSE)-50))</f>
        <v>258</v>
      </c>
      <c r="AE260" s="3">
        <v>278</v>
      </c>
      <c r="AF260" s="3">
        <f>IF(ISERROR((VLOOKUP($A260,'SegEnds_NonXtal_BW#'!$A:$Z,22,FALSE)+VLOOKUP($A260,A:AL,31,FALSE)-50)),"-",(VLOOKUP($A260,'SegEnds_NonXtal_BW#'!$A:$Z,22,FALSE)+VLOOKUP($A260,A:AL,31,FALSE)-50))</f>
        <v>293</v>
      </c>
      <c r="AG260" s="3">
        <f>IF(ISERROR(VLOOKUP($A260,'SegEnds_NonXtal_BW#'!$A:$Z,23,FALSE)+VLOOKUP($A260,A:AL,34,FALSE)-50),"-",(VLOOKUP($A260,'SegEnds_NonXtal_BW#'!$A:$Z,23,FALSE)+VLOOKUP($A260,A:AL,34,FALSE)-50))</f>
        <v>297</v>
      </c>
      <c r="AH260" s="3">
        <v>323</v>
      </c>
      <c r="AI260" s="3">
        <f>IF(ISERROR((VLOOKUP($A260,'SegEnds_NonXtal_BW#'!$A:$Z,24,FALSE)+VLOOKUP($A260,A:AL,34,FALSE)-50)),"-",(VLOOKUP($A260,'SegEnds_NonXtal_BW#'!$A:$Z,24,FALSE)+VLOOKUP($A260,A:AL,34,FALSE)-50))</f>
        <v>329</v>
      </c>
      <c r="AJ260" s="3">
        <f>IF(ISERROR(VLOOKUP($A260,'SegEnds_NonXtal_BW#'!$A:$Z,25,FALSE)+VLOOKUP($A260,A:AL,37,FALSE)-50),"-",(VLOOKUP($A260,'SegEnds_NonXtal_BW#'!$A:$Z,25,FALSE)+VLOOKUP($A260,A:AL,37,FALSE)-50))</f>
        <v>330</v>
      </c>
      <c r="AK260" s="3">
        <v>333</v>
      </c>
      <c r="AL260" s="3">
        <f>IF(ISERROR((VLOOKUP($A260,'SegEnds_NonXtal_BW#'!$A:$Z,26,FALSE)+VLOOKUP($A260,A:AL,37,FALSE)-50)),"-",(VLOOKUP($A260,'SegEnds_NonXtal_BW#'!$A:$Z,26,FALSE)+VLOOKUP($A260,A:AL,37,FALSE)-50))</f>
        <v>342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si="118"/>
        <v>1</v>
      </c>
      <c r="AQ260" s="3">
        <f t="shared" si="119"/>
        <v>1</v>
      </c>
      <c r="AR260" s="3">
        <f t="shared" si="120"/>
        <v>1</v>
      </c>
      <c r="AS260" s="3">
        <f t="shared" si="121"/>
        <v>1</v>
      </c>
      <c r="AT260" s="3">
        <f t="shared" si="122"/>
        <v>1</v>
      </c>
      <c r="AU260" s="3">
        <f t="shared" si="123"/>
        <v>2</v>
      </c>
      <c r="AV260" s="3">
        <f t="shared" si="124"/>
        <v>13</v>
      </c>
      <c r="AW260" s="3">
        <f t="shared" si="125"/>
        <v>6</v>
      </c>
      <c r="AX260" s="3">
        <f t="shared" si="126"/>
        <v>5</v>
      </c>
      <c r="AY260" s="3">
        <f t="shared" si="127"/>
        <v>4</v>
      </c>
      <c r="AZ260" s="3">
        <f t="shared" si="128"/>
        <v>1</v>
      </c>
      <c r="BA260" s="3">
        <f>IF(ISERROR(LEN(VLOOKUP(A260,Seqs!A:E,2,FALSE))-AL260),"-",LEN(VLOOKUP(A260,Seqs!A:E,2,FALSE))-AL260)</f>
        <v>36</v>
      </c>
      <c r="BB260" s="16">
        <f t="shared" si="129"/>
        <v>28</v>
      </c>
      <c r="BC260" s="9">
        <f t="shared" si="130"/>
        <v>22</v>
      </c>
      <c r="BD260" s="3">
        <f t="shared" si="131"/>
        <v>28</v>
      </c>
      <c r="BE260" s="3">
        <f t="shared" si="132"/>
        <v>43</v>
      </c>
    </row>
    <row r="261" spans="1:58" s="3" customFormat="1" x14ac:dyDescent="0.2">
      <c r="A261" s="3" t="s">
        <v>177</v>
      </c>
      <c r="B261" s="3" t="str">
        <f>LOWER(VLOOKUP(A261,Xtal_Templ!A:B,2,FALSE))</f>
        <v>ccr9_human</v>
      </c>
      <c r="C261" s="3">
        <f>VLOOKUP($A261,'SegEnds_NonXtal_BW#'!$A:$Z,3,FALSE)+D261-50</f>
        <v>43</v>
      </c>
      <c r="D261" s="3">
        <v>66</v>
      </c>
      <c r="E261" s="3">
        <f>IF(ISERROR(VLOOKUP($A261,'SegEnds_NonXtal_BW#'!$A:$Z,4,FALSE)+VLOOKUP($A261,A:AL,4,FALSE)-50),"-",(VLOOKUP($A261,'SegEnds_NonXtal_BW#'!$A:$Z,4,FALSE)+VLOOKUP($A261,A:AL,4,FALSE)-50))</f>
        <v>76</v>
      </c>
      <c r="F261" s="3">
        <f t="shared" si="167"/>
        <v>77</v>
      </c>
      <c r="G261" s="3">
        <v>79</v>
      </c>
      <c r="H261" s="3">
        <f t="shared" si="168"/>
        <v>80</v>
      </c>
      <c r="I261" s="3">
        <f t="shared" si="168"/>
        <v>81</v>
      </c>
      <c r="J261" s="3">
        <v>94</v>
      </c>
      <c r="K261" s="3">
        <f>VLOOKUP($A261,'SegEnds_NonXtal_BW#'!$A:$Z,8,FALSE)+VLOOKUP($A261,A:AL,10,FALSE)-50</f>
        <v>110</v>
      </c>
      <c r="L261" s="3">
        <f t="shared" si="170"/>
        <v>111</v>
      </c>
      <c r="M261" s="3">
        <v>112</v>
      </c>
      <c r="N261" s="3">
        <f t="shared" si="171"/>
        <v>114</v>
      </c>
      <c r="O261" s="3">
        <f t="shared" si="172"/>
        <v>115</v>
      </c>
      <c r="P261" s="3">
        <v>144</v>
      </c>
      <c r="Q261" s="3">
        <f>VLOOKUP($A261,'SegEnds_NonXtal_BW#'!$A:$Z,12,FALSE)+VLOOKUP($A261,A:AL,16,FALSE)-50</f>
        <v>150</v>
      </c>
      <c r="R261" s="3">
        <f>IF(ISERROR(VLOOKUP($A261,'SegEnds_NonXtal_BW#'!$A:$Z,13,FALSE)+VLOOKUP($A261,A:AL,19,FALSE)-50),"-",VLOOKUP($A261,'SegEnds_NonXtal_BW#'!$A:$Z,13,FALSE)+VLOOKUP($A261,A:AL,19,FALSE)-50)</f>
        <v>151</v>
      </c>
      <c r="S261" s="3">
        <v>151</v>
      </c>
      <c r="T261" s="100">
        <f>IF(ISERROR(VLOOKUP($A261,'SegEnds_NonXtal_BW#'!$A:$Z,14,FALSE)+VLOOKUP($A261,A:AL,19,FALSE)-50),"-",(VLOOKUP($A261,'SegEnds_NonXtal_BW#'!$A:$Z,14,FALSE)+VLOOKUP($A261,A:AL,19,FALSE)-50))</f>
        <v>157</v>
      </c>
      <c r="U261" s="9">
        <f>IF(ISERROR(VLOOKUP($A261,'SegEnds_NonXtal_BW#'!$A:$Z,15,FALSE)+VLOOKUP($A261,A:AL,22,FALSE)-50),"-",VLOOKUP($A261,'SegEnds_NonXtal_BW#'!$A:$Z,15,FALSE)+VLOOKUP($A261,A:AL,22,FALSE)-50)</f>
        <v>158</v>
      </c>
      <c r="V261" s="3">
        <v>173</v>
      </c>
      <c r="W261" s="3">
        <f>IF(ISERROR(VLOOKUP($A261,'SegEnds_NonXtal_BW#'!$A:$Z,16,FALSE)+VLOOKUP($A261,A:AL,22,FALSE)-50),"-",(VLOOKUP($A261,'SegEnds_NonXtal_BW#'!$A:$Z,16,FALSE)+VLOOKUP($A261,A:AL,22,FALSE)-50))</f>
        <v>187</v>
      </c>
      <c r="X261" s="3">
        <f>IF(ISERROR(VLOOKUP($A261,'SegEnds_NonXtal_BW#'!$A:$Z,17,FALSE)+VLOOKUP($A261,A:AL,25,FALSE)-50),"-",(VLOOKUP($A261,'SegEnds_NonXtal_BW#'!$A:$Z,17,FALSE)+VLOOKUP($A261,A:AL,25,FALSE)-50))</f>
        <v>198</v>
      </c>
      <c r="Y261" s="3">
        <v>198</v>
      </c>
      <c r="Z261" s="3">
        <f t="shared" si="144"/>
        <v>200</v>
      </c>
      <c r="AA261" s="3">
        <f>IF(ISERROR(VLOOKUP($A261,'SegEnds_NonXtal_BW#'!$A:$Z,19,FALSE)+VLOOKUP($A261,A:AL,28,FALSE)-50),"-",(VLOOKUP($A261,'SegEnds_NonXtal_BW#'!$A:$Z,19,FALSE)+VLOOKUP($A261,A:AL,28,FALSE)-50))</f>
        <v>209</v>
      </c>
      <c r="AB261" s="3">
        <v>226</v>
      </c>
      <c r="AC261" s="3">
        <f>IF(ISERROR((VLOOKUP($A261,'SegEnds_NonXtal_BW#'!$A:$Z,20,FALSE)+VLOOKUP($A261,A:AL,28,FALSE)-50)),"-",(VLOOKUP($A261,'SegEnds_NonXtal_BW#'!$A:$Z,20,FALSE)+VLOOKUP($A261,A:AL,28,FALSE)-50))</f>
        <v>244</v>
      </c>
      <c r="AD261" s="3">
        <f>IF(ISERROR(VLOOKUP($A261,'SegEnds_NonXtal_BW#'!$A:$Z,21,FALSE)+VLOOKUP($A261,A:AL,31,FALSE)-50),"-",(VLOOKUP($A261,'SegEnds_NonXtal_BW#'!$A:$Z,21,FALSE)+VLOOKUP($A261,A:AL,31,FALSE)-50))</f>
        <v>249</v>
      </c>
      <c r="AE261" s="3">
        <v>269</v>
      </c>
      <c r="AF261" s="3">
        <f>IF(ISERROR((VLOOKUP($A261,'SegEnds_NonXtal_BW#'!$A:$Z,22,FALSE)+VLOOKUP($A261,A:AL,31,FALSE)-50)),"-",(VLOOKUP($A261,'SegEnds_NonXtal_BW#'!$A:$Z,22,FALSE)+VLOOKUP($A261,A:AL,31,FALSE)-50))</f>
        <v>284</v>
      </c>
      <c r="AG261" s="3">
        <f>IF(ISERROR(VLOOKUP($A261,'SegEnds_NonXtal_BW#'!$A:$Z,23,FALSE)+VLOOKUP($A261,A:AL,34,FALSE)-50),"-",(VLOOKUP($A261,'SegEnds_NonXtal_BW#'!$A:$Z,23,FALSE)+VLOOKUP($A261,A:AL,34,FALSE)-50))</f>
        <v>288</v>
      </c>
      <c r="AH261" s="3">
        <v>314</v>
      </c>
      <c r="AI261" s="3">
        <f>IF(ISERROR((VLOOKUP($A261,'SegEnds_NonXtal_BW#'!$A:$Z,24,FALSE)+VLOOKUP($A261,A:AL,34,FALSE)-50)),"-",(VLOOKUP($A261,'SegEnds_NonXtal_BW#'!$A:$Z,24,FALSE)+VLOOKUP($A261,A:AL,34,FALSE)-50))</f>
        <v>320</v>
      </c>
      <c r="AJ261" s="3">
        <f>IF(ISERROR(VLOOKUP($A261,'SegEnds_NonXtal_BW#'!$A:$Z,25,FALSE)+VLOOKUP($A261,A:AL,37,FALSE)-50),"-",(VLOOKUP($A261,'SegEnds_NonXtal_BW#'!$A:$Z,25,FALSE)+VLOOKUP($A261,A:AL,37,FALSE)-50))</f>
        <v>321</v>
      </c>
      <c r="AK261" s="3">
        <v>324</v>
      </c>
      <c r="AL261" s="3">
        <f>IF(ISERROR((VLOOKUP($A261,'SegEnds_NonXtal_BW#'!$A:$Z,26,FALSE)+VLOOKUP($A261,A:AL,37,FALSE)-50)),"-",(VLOOKUP($A261,'SegEnds_NonXtal_BW#'!$A:$Z,26,FALSE)+VLOOKUP($A261,A:AL,37,FALSE)-50))</f>
        <v>341</v>
      </c>
      <c r="AM261" s="28" t="str">
        <f>VLOOKUP(A261,Classification!A:B,2,FALSE)</f>
        <v>A</v>
      </c>
      <c r="AN261" s="28" t="b">
        <f t="shared" si="133"/>
        <v>1</v>
      </c>
      <c r="AO261" s="3" t="str">
        <f>IF(ISERROR(MATCH(A261,'SegEnds_Xtal_Prot#'!B:B, 0)), "NoXtal", "Xtal")</f>
        <v>Xtal</v>
      </c>
      <c r="AP261" s="3">
        <f t="shared" ref="AP261:AP328" si="173">IF(ISERROR(F261-E261),"-",F261-E261)</f>
        <v>1</v>
      </c>
      <c r="AQ261" s="3">
        <f t="shared" ref="AQ261:AQ328" si="174">IF(ISERROR(I261-H261),"-",I261-H261)</f>
        <v>1</v>
      </c>
      <c r="AR261" s="3">
        <f t="shared" ref="AR261:AR328" si="175">IF(ISERROR(L261-K261),"-",L261-K261)</f>
        <v>1</v>
      </c>
      <c r="AS261" s="3">
        <f t="shared" ref="AS261:AS328" si="176">IF(ISERROR(O261-N261),"-",O261-N261)</f>
        <v>1</v>
      </c>
      <c r="AT261" s="3">
        <f t="shared" ref="AT261:AT328" si="177">IF(ISERROR(R261-Q261),"-",R261-Q261)</f>
        <v>1</v>
      </c>
      <c r="AU261" s="3">
        <f t="shared" ref="AU261:AU328" si="178">IF(ISERROR(U261-T261),"-",U261-T261)</f>
        <v>1</v>
      </c>
      <c r="AV261" s="3">
        <f t="shared" ref="AV261:AV328" si="179">IF(ISERROR(X261-W261),"-",X261-W261)</f>
        <v>11</v>
      </c>
      <c r="AW261" s="3">
        <f t="shared" ref="AW261:AW328" si="180">IF(ISERROR(AA261-Z261),"-",AA261-Z261)</f>
        <v>9</v>
      </c>
      <c r="AX261" s="3">
        <f t="shared" ref="AX261:AX328" si="181">IF(ISERROR(AD261-AC261),"-",AD261-AC261)</f>
        <v>5</v>
      </c>
      <c r="AY261" s="3">
        <f t="shared" ref="AY261:AY328" si="182">IF(ISERROR(AG261-AF261),"-",AG261-AF261)</f>
        <v>4</v>
      </c>
      <c r="AZ261" s="3">
        <f t="shared" ref="AZ261:AZ328" si="183">IF(ISERROR(AJ261-AI261),"-",AJ261-AI261)</f>
        <v>1</v>
      </c>
      <c r="BA261" s="3">
        <f>IF(ISERROR(LEN(VLOOKUP(A261,Seqs!A:E,2,FALSE))-AL261),"-",LEN(VLOOKUP(A261,Seqs!A:E,2,FALSE))-AL261)</f>
        <v>28</v>
      </c>
      <c r="BB261" s="16">
        <f t="shared" ref="BB261:BB328" si="184">J261-D261</f>
        <v>28</v>
      </c>
      <c r="BC261" s="9">
        <f t="shared" ref="BC261:BC328" si="185">IF(ISERROR(V261-S261),"-",V261-S261)</f>
        <v>22</v>
      </c>
      <c r="BD261" s="3">
        <f t="shared" ref="BD261:BD328" si="186">J261-D261</f>
        <v>28</v>
      </c>
      <c r="BE261" s="3">
        <f t="shared" ref="BE261:BE328" si="187">AE261-AB261</f>
        <v>43</v>
      </c>
    </row>
    <row r="262" spans="1:58" s="3" customFormat="1" x14ac:dyDescent="0.2">
      <c r="A262" s="3" t="s">
        <v>189</v>
      </c>
      <c r="B262" s="3" t="str">
        <f>LOWER(VLOOKUP(A262,Xtal_Templ!A:B,2,FALSE))</f>
        <v>ccr9_human</v>
      </c>
      <c r="C262" s="3">
        <f>VLOOKUP($A262,'SegEnds_NonXtal_BW#'!$A:$Z,3,FALSE)+D262-50</f>
        <v>26</v>
      </c>
      <c r="D262" s="3">
        <v>49</v>
      </c>
      <c r="E262" s="3">
        <f>IF(ISERROR(VLOOKUP($A262,'SegEnds_NonXtal_BW#'!$A:$Z,4,FALSE)+VLOOKUP($A262,A:AL,4,FALSE)-50),"-",(VLOOKUP($A262,'SegEnds_NonXtal_BW#'!$A:$Z,4,FALSE)+VLOOKUP($A262,A:AL,4,FALSE)-50))</f>
        <v>59</v>
      </c>
      <c r="F262" s="3">
        <f t="shared" si="167"/>
        <v>60</v>
      </c>
      <c r="G262" s="3">
        <v>62</v>
      </c>
      <c r="H262" s="3">
        <f t="shared" si="168"/>
        <v>63</v>
      </c>
      <c r="I262" s="3">
        <f t="shared" si="168"/>
        <v>64</v>
      </c>
      <c r="J262" s="3">
        <v>77</v>
      </c>
      <c r="K262" s="3">
        <f>VLOOKUP($A262,'SegEnds_NonXtal_BW#'!$A:$Z,8,FALSE)+VLOOKUP($A262,A:AL,10,FALSE)-50</f>
        <v>93</v>
      </c>
      <c r="L262" s="3">
        <f t="shared" si="170"/>
        <v>94</v>
      </c>
      <c r="M262" s="3">
        <v>95</v>
      </c>
      <c r="N262" s="3">
        <f t="shared" si="171"/>
        <v>97</v>
      </c>
      <c r="O262" s="3">
        <f t="shared" si="172"/>
        <v>98</v>
      </c>
      <c r="P262" s="3">
        <v>127</v>
      </c>
      <c r="Q262" s="3">
        <f>VLOOKUP($A262,'SegEnds_NonXtal_BW#'!$A:$Z,12,FALSE)+VLOOKUP($A262,A:AL,16,FALSE)-50</f>
        <v>133</v>
      </c>
      <c r="R262" s="3">
        <f>IF(ISERROR(VLOOKUP($A262,'SegEnds_NonXtal_BW#'!$A:$Z,13,FALSE)+VLOOKUP($A262,A:AL,19,FALSE)-50),"-",VLOOKUP($A262,'SegEnds_NonXtal_BW#'!$A:$Z,13,FALSE)+VLOOKUP($A262,A:AL,19,FALSE)-50)</f>
        <v>134</v>
      </c>
      <c r="S262" s="3">
        <v>134</v>
      </c>
      <c r="T262" s="100">
        <f>IF(ISERROR(VLOOKUP($A262,'SegEnds_NonXtal_BW#'!$A:$Z,14,FALSE)+VLOOKUP($A262,A:AL,19,FALSE)-50),"-",(VLOOKUP($A262,'SegEnds_NonXtal_BW#'!$A:$Z,14,FALSE)+VLOOKUP($A262,A:AL,19,FALSE)-50))</f>
        <v>142</v>
      </c>
      <c r="U262" s="9">
        <f>IF(ISERROR(VLOOKUP($A262,'SegEnds_NonXtal_BW#'!$A:$Z,15,FALSE)+VLOOKUP($A262,A:AL,22,FALSE)-50),"-",VLOOKUP($A262,'SegEnds_NonXtal_BW#'!$A:$Z,15,FALSE)+VLOOKUP($A262,A:AL,22,FALSE)-50)</f>
        <v>144</v>
      </c>
      <c r="V262" s="3">
        <v>156</v>
      </c>
      <c r="W262" s="3">
        <f>IF(ISERROR(VLOOKUP($A262,'SegEnds_NonXtal_BW#'!$A:$Z,16,FALSE)+VLOOKUP($A262,A:AL,22,FALSE)-50),"-",(VLOOKUP($A262,'SegEnds_NonXtal_BW#'!$A:$Z,16,FALSE)+VLOOKUP($A262,A:AL,22,FALSE)-50))</f>
        <v>170</v>
      </c>
      <c r="X262" s="3">
        <f>IF(ISERROR(VLOOKUP($A262,'SegEnds_NonXtal_BW#'!$A:$Z,17,FALSE)+VLOOKUP($A262,A:AL,25,FALSE)-50),"-",(VLOOKUP($A262,'SegEnds_NonXtal_BW#'!$A:$Z,17,FALSE)+VLOOKUP($A262,A:AL,25,FALSE)-50))</f>
        <v>180</v>
      </c>
      <c r="Y262" s="3">
        <v>180</v>
      </c>
      <c r="Z262" s="3">
        <f t="shared" si="144"/>
        <v>182</v>
      </c>
      <c r="AA262" s="3">
        <f>IF(ISERROR(VLOOKUP($A262,'SegEnds_NonXtal_BW#'!$A:$Z,19,FALSE)+VLOOKUP($A262,A:AL,28,FALSE)-50),"-",(VLOOKUP($A262,'SegEnds_NonXtal_BW#'!$A:$Z,19,FALSE)+VLOOKUP($A262,A:AL,28,FALSE)-50))</f>
        <v>186</v>
      </c>
      <c r="AB262" s="3">
        <v>203</v>
      </c>
      <c r="AC262" s="3">
        <f>IF(ISERROR((VLOOKUP($A262,'SegEnds_NonXtal_BW#'!$A:$Z,20,FALSE)+VLOOKUP($A262,A:AL,28,FALSE)-50)),"-",(VLOOKUP($A262,'SegEnds_NonXtal_BW#'!$A:$Z,20,FALSE)+VLOOKUP($A262,A:AL,28,FALSE)-50))</f>
        <v>221</v>
      </c>
      <c r="AD262" s="3">
        <f>IF(ISERROR(VLOOKUP($A262,'SegEnds_NonXtal_BW#'!$A:$Z,21,FALSE)+VLOOKUP($A262,A:AL,31,FALSE)-50),"-",(VLOOKUP($A262,'SegEnds_NonXtal_BW#'!$A:$Z,21,FALSE)+VLOOKUP($A262,A:AL,31,FALSE)-50))</f>
        <v>226</v>
      </c>
      <c r="AE262" s="3">
        <v>246</v>
      </c>
      <c r="AF262" s="3">
        <f>IF(ISERROR((VLOOKUP($A262,'SegEnds_NonXtal_BW#'!$A:$Z,22,FALSE)+VLOOKUP($A262,A:AL,31,FALSE)-50)),"-",(VLOOKUP($A262,'SegEnds_NonXtal_BW#'!$A:$Z,22,FALSE)+VLOOKUP($A262,A:AL,31,FALSE)-50))</f>
        <v>257</v>
      </c>
      <c r="AG262" s="3">
        <f>IF(ISERROR(VLOOKUP($A262,'SegEnds_NonXtal_BW#'!$A:$Z,23,FALSE)+VLOOKUP($A262,A:AL,34,FALSE)-50),"-",(VLOOKUP($A262,'SegEnds_NonXtal_BW#'!$A:$Z,23,FALSE)+VLOOKUP($A262,A:AL,34,FALSE)-50))</f>
        <v>259</v>
      </c>
      <c r="AH262" s="3">
        <v>285</v>
      </c>
      <c r="AI262" s="3">
        <f>IF(ISERROR((VLOOKUP($A262,'SegEnds_NonXtal_BW#'!$A:$Z,24,FALSE)+VLOOKUP($A262,A:AL,34,FALSE)-50)),"-",(VLOOKUP($A262,'SegEnds_NonXtal_BW#'!$A:$Z,24,FALSE)+VLOOKUP($A262,A:AL,34,FALSE)-50))</f>
        <v>291</v>
      </c>
      <c r="AJ262" s="3">
        <f>IF(ISERROR(VLOOKUP($A262,'SegEnds_NonXtal_BW#'!$A:$Z,25,FALSE)+VLOOKUP($A262,A:AL,37,FALSE)-50),"-",(VLOOKUP($A262,'SegEnds_NonXtal_BW#'!$A:$Z,25,FALSE)+VLOOKUP($A262,A:AL,37,FALSE)-50))</f>
        <v>292</v>
      </c>
      <c r="AK262" s="3">
        <v>295</v>
      </c>
      <c r="AL262" s="3">
        <f>IF(ISERROR((VLOOKUP($A262,'SegEnds_NonXtal_BW#'!$A:$Z,26,FALSE)+VLOOKUP($A262,A:AL,37,FALSE)-50)),"-",(VLOOKUP($A262,'SegEnds_NonXtal_BW#'!$A:$Z,26,FALSE)+VLOOKUP($A262,A:AL,37,FALSE)-50))</f>
        <v>312</v>
      </c>
      <c r="AM262" s="28" t="str">
        <f>VLOOKUP(A262,Classification!A:B,2,FALSE)</f>
        <v>A</v>
      </c>
      <c r="AN262" s="28" t="b">
        <f t="shared" ref="AN262:AN329" si="188">AND(IF(Y262="-",IF(AA262-W262&gt;3,TRUE,FALSE),TRUE),IF(M262="-",IF(O262-K262&gt;3,TRUE,FALSE),TRUE),IF(AG262-AF262&gt;1,TRUE,FALS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73"/>
        <v>1</v>
      </c>
      <c r="AQ262" s="3">
        <f t="shared" si="174"/>
        <v>1</v>
      </c>
      <c r="AR262" s="3">
        <f t="shared" si="175"/>
        <v>1</v>
      </c>
      <c r="AS262" s="3">
        <f t="shared" si="176"/>
        <v>1</v>
      </c>
      <c r="AT262" s="3">
        <f t="shared" si="177"/>
        <v>1</v>
      </c>
      <c r="AU262" s="3">
        <f t="shared" si="178"/>
        <v>2</v>
      </c>
      <c r="AV262" s="3">
        <f t="shared" si="179"/>
        <v>10</v>
      </c>
      <c r="AW262" s="3">
        <f t="shared" si="180"/>
        <v>4</v>
      </c>
      <c r="AX262" s="3">
        <f t="shared" si="181"/>
        <v>5</v>
      </c>
      <c r="AY262" s="3">
        <f t="shared" si="182"/>
        <v>2</v>
      </c>
      <c r="AZ262" s="3">
        <f t="shared" si="183"/>
        <v>1</v>
      </c>
      <c r="BA262" s="3">
        <f>IF(ISERROR(LEN(VLOOKUP(A262,Seqs!A:E,2,FALSE))-AL262),"-",LEN(VLOOKUP(A262,Seqs!A:E,2,FALSE))-AL262)</f>
        <v>30</v>
      </c>
      <c r="BB262" s="16">
        <f t="shared" si="184"/>
        <v>28</v>
      </c>
      <c r="BC262" s="9">
        <f t="shared" si="185"/>
        <v>22</v>
      </c>
      <c r="BD262" s="3">
        <f t="shared" si="186"/>
        <v>28</v>
      </c>
      <c r="BE262" s="3">
        <f t="shared" si="187"/>
        <v>43</v>
      </c>
    </row>
    <row r="263" spans="1:58" s="3" customFormat="1" x14ac:dyDescent="0.2">
      <c r="A263" s="3" t="s">
        <v>192</v>
      </c>
      <c r="B263" s="3" t="str">
        <f>LOWER(VLOOKUP(A263,Xtal_Templ!A:B,2,FALSE))</f>
        <v>drd3_human</v>
      </c>
      <c r="C263" s="3">
        <f>VLOOKUP($A263,'SegEnds_NonXtal_BW#'!$A:$Z,3,FALSE)+D263-50</f>
        <v>26</v>
      </c>
      <c r="D263" s="3">
        <v>47</v>
      </c>
      <c r="E263" s="3">
        <f>IF(ISERROR(VLOOKUP($A263,'SegEnds_NonXtal_BW#'!$A:$Z,4,FALSE)+VLOOKUP($A263,A:AL,4,FALSE)-50),"-",(VLOOKUP($A263,'SegEnds_NonXtal_BW#'!$A:$Z,4,FALSE)+VLOOKUP($A263,A:AL,4,FALSE)-50))</f>
        <v>57</v>
      </c>
      <c r="F263" s="3">
        <f t="shared" si="167"/>
        <v>58</v>
      </c>
      <c r="G263" s="3">
        <v>60</v>
      </c>
      <c r="H263" s="3">
        <f t="shared" si="168"/>
        <v>61</v>
      </c>
      <c r="I263" s="3">
        <f t="shared" si="168"/>
        <v>62</v>
      </c>
      <c r="J263" s="3">
        <v>75</v>
      </c>
      <c r="K263" s="3">
        <f>VLOOKUP($A263,'SegEnds_NonXtal_BW#'!$A:$Z,8,FALSE)+VLOOKUP($A263,A:AL,10,FALSE)-50</f>
        <v>92</v>
      </c>
      <c r="L263" s="3">
        <f t="shared" si="170"/>
        <v>95</v>
      </c>
      <c r="M263" s="3">
        <v>96</v>
      </c>
      <c r="N263" s="3">
        <f t="shared" si="171"/>
        <v>98</v>
      </c>
      <c r="O263" s="3">
        <f t="shared" si="172"/>
        <v>99</v>
      </c>
      <c r="P263" s="3">
        <v>128</v>
      </c>
      <c r="Q263" s="3">
        <f>VLOOKUP($A263,'SegEnds_NonXtal_BW#'!$A:$Z,12,FALSE)+VLOOKUP($A263,A:AL,16,FALSE)-50</f>
        <v>134</v>
      </c>
      <c r="R263" s="3">
        <f>IF(ISERROR(VLOOKUP($A263,'SegEnds_NonXtal_BW#'!$A:$Z,13,FALSE)+VLOOKUP($A263,A:AL,19,FALSE)-50),"-",VLOOKUP($A263,'SegEnds_NonXtal_BW#'!$A:$Z,13,FALSE)+VLOOKUP($A263,A:AL,19,FALSE)-50)</f>
        <v>135</v>
      </c>
      <c r="S263" s="3">
        <v>135</v>
      </c>
      <c r="T263" s="100">
        <f>IF(ISERROR(VLOOKUP($A263,'SegEnds_NonXtal_BW#'!$A:$Z,14,FALSE)+VLOOKUP($A263,A:AL,19,FALSE)-50),"-",(VLOOKUP($A263,'SegEnds_NonXtal_BW#'!$A:$Z,14,FALSE)+VLOOKUP($A263,A:AL,19,FALSE)-50))</f>
        <v>143</v>
      </c>
      <c r="U263" s="9">
        <f>IF(ISERROR(VLOOKUP($A263,'SegEnds_NonXtal_BW#'!$A:$Z,15,FALSE)+VLOOKUP($A263,A:AL,22,FALSE)-50),"-",VLOOKUP($A263,'SegEnds_NonXtal_BW#'!$A:$Z,15,FALSE)+VLOOKUP($A263,A:AL,22,FALSE)-50)</f>
        <v>146</v>
      </c>
      <c r="V263" s="3">
        <v>158</v>
      </c>
      <c r="W263" s="3">
        <f>IF(ISERROR(VLOOKUP($A263,'SegEnds_NonXtal_BW#'!$A:$Z,16,FALSE)+VLOOKUP($A263,A:AL,22,FALSE)-50),"-",(VLOOKUP($A263,'SegEnds_NonXtal_BW#'!$A:$Z,16,FALSE)+VLOOKUP($A263,A:AL,22,FALSE)-50))</f>
        <v>171</v>
      </c>
      <c r="X263" s="3">
        <f>IF(ISERROR(VLOOKUP($A263,'SegEnds_NonXtal_BW#'!$A:$Z,17,FALSE)+VLOOKUP($A263,A:AL,25,FALSE)-50),"-",(VLOOKUP($A263,'SegEnds_NonXtal_BW#'!$A:$Z,17,FALSE)+VLOOKUP($A263,A:AL,25,FALSE)-50))</f>
        <v>181</v>
      </c>
      <c r="Y263" s="3">
        <v>181</v>
      </c>
      <c r="Z263" s="3">
        <f t="shared" si="144"/>
        <v>183</v>
      </c>
      <c r="AA263" s="3">
        <f>IF(ISERROR(VLOOKUP($A263,'SegEnds_NonXtal_BW#'!$A:$Z,19,FALSE)+VLOOKUP($A263,A:AL,28,FALSE)-50),"-",(VLOOKUP($A263,'SegEnds_NonXtal_BW#'!$A:$Z,19,FALSE)+VLOOKUP($A263,A:AL,28,FALSE)-50))</f>
        <v>185</v>
      </c>
      <c r="AB263" s="3">
        <v>200</v>
      </c>
      <c r="AC263" s="3">
        <f>IF(ISERROR((VLOOKUP($A263,'SegEnds_NonXtal_BW#'!$A:$Z,20,FALSE)+VLOOKUP($A263,A:AL,28,FALSE)-50)),"-",(VLOOKUP($A263,'SegEnds_NonXtal_BW#'!$A:$Z,20,FALSE)+VLOOKUP($A263,A:AL,28,FALSE)-50))</f>
        <v>226</v>
      </c>
      <c r="AD263" s="3">
        <f>IF(ISERROR(VLOOKUP($A263,'SegEnds_NonXtal_BW#'!$A:$Z,21,FALSE)+VLOOKUP($A263,A:AL,31,FALSE)-50),"-",(VLOOKUP($A263,'SegEnds_NonXtal_BW#'!$A:$Z,21,FALSE)+VLOOKUP($A263,A:AL,31,FALSE)-50))</f>
        <v>318</v>
      </c>
      <c r="AE263" s="3">
        <v>344</v>
      </c>
      <c r="AF263" s="3">
        <f>IF(ISERROR((VLOOKUP($A263,'SegEnds_NonXtal_BW#'!$A:$Z,22,FALSE)+VLOOKUP($A263,A:AL,31,FALSE)-50)),"-",(VLOOKUP($A263,'SegEnds_NonXtal_BW#'!$A:$Z,22,FALSE)+VLOOKUP($A263,A:AL,31,FALSE)-50))</f>
        <v>354</v>
      </c>
      <c r="AG263" s="3">
        <f>IF(ISERROR(VLOOKUP($A263,'SegEnds_NonXtal_BW#'!$A:$Z,23,FALSE)+VLOOKUP($A263,A:AL,34,FALSE)-50),"-",(VLOOKUP($A263,'SegEnds_NonXtal_BW#'!$A:$Z,23,FALSE)+VLOOKUP($A263,A:AL,34,FALSE)-50))</f>
        <v>361</v>
      </c>
      <c r="AH263" s="3">
        <v>380</v>
      </c>
      <c r="AI263" s="3">
        <f>IF(ISERROR((VLOOKUP($A263,'SegEnds_NonXtal_BW#'!$A:$Z,24,FALSE)+VLOOKUP($A263,A:AL,34,FALSE)-50)),"-",(VLOOKUP($A263,'SegEnds_NonXtal_BW#'!$A:$Z,24,FALSE)+VLOOKUP($A263,A:AL,34,FALSE)-50))</f>
        <v>386</v>
      </c>
      <c r="AJ263" s="3">
        <f>IF(ISERROR(VLOOKUP($A263,'SegEnds_NonXtal_BW#'!$A:$Z,25,FALSE)+VLOOKUP($A263,A:AL,37,FALSE)-50),"-",(VLOOKUP($A263,'SegEnds_NonXtal_BW#'!$A:$Z,25,FALSE)+VLOOKUP($A263,A:AL,37,FALSE)-50))</f>
        <v>387</v>
      </c>
      <c r="AK263" s="3">
        <v>390</v>
      </c>
      <c r="AL263" s="3">
        <f>IF(ISERROR((VLOOKUP($A263,'SegEnds_NonXtal_BW#'!$A:$Z,26,FALSE)+VLOOKUP($A263,A:AL,37,FALSE)-50)),"-",(VLOOKUP($A263,'SegEnds_NonXtal_BW#'!$A:$Z,26,FALSE)+VLOOKUP($A263,A:AL,37,FALSE)-50))</f>
        <v>399</v>
      </c>
      <c r="AM263" s="28" t="str">
        <f>VLOOKUP(A263,Classification!A:B,2,FALSE)</f>
        <v>A</v>
      </c>
      <c r="AN263" s="28" t="b">
        <f t="shared" si="188"/>
        <v>1</v>
      </c>
      <c r="AO263" s="3" t="str">
        <f>IF(ISERROR(MATCH(A263,'SegEnds_Xtal_Prot#'!B:B, 0)), "NoXtal", "Xtal")</f>
        <v>Xtal</v>
      </c>
      <c r="AP263" s="3">
        <f t="shared" si="173"/>
        <v>1</v>
      </c>
      <c r="AQ263" s="3">
        <f t="shared" si="174"/>
        <v>1</v>
      </c>
      <c r="AR263" s="3">
        <f t="shared" si="175"/>
        <v>3</v>
      </c>
      <c r="AS263" s="3">
        <f t="shared" si="176"/>
        <v>1</v>
      </c>
      <c r="AT263" s="3">
        <f t="shared" si="177"/>
        <v>1</v>
      </c>
      <c r="AU263" s="3">
        <f t="shared" si="178"/>
        <v>3</v>
      </c>
      <c r="AV263" s="3">
        <f t="shared" si="179"/>
        <v>10</v>
      </c>
      <c r="AW263" s="3">
        <f t="shared" si="180"/>
        <v>2</v>
      </c>
      <c r="AX263" s="3">
        <f t="shared" si="181"/>
        <v>92</v>
      </c>
      <c r="AY263" s="3">
        <f t="shared" si="182"/>
        <v>7</v>
      </c>
      <c r="AZ263" s="3">
        <f t="shared" si="183"/>
        <v>1</v>
      </c>
      <c r="BA263" s="3">
        <f>IF(ISERROR(LEN(VLOOKUP(A263,Seqs!A:E,2,FALSE))-AL263),"-",LEN(VLOOKUP(A263,Seqs!A:E,2,FALSE))-AL263)</f>
        <v>1</v>
      </c>
      <c r="BB263" s="16">
        <f t="shared" si="184"/>
        <v>28</v>
      </c>
      <c r="BC263" s="9">
        <f t="shared" si="185"/>
        <v>23</v>
      </c>
      <c r="BD263" s="3">
        <f t="shared" si="186"/>
        <v>28</v>
      </c>
      <c r="BE263" s="3">
        <f t="shared" si="187"/>
        <v>144</v>
      </c>
      <c r="BF263" s="3">
        <f>AH263-AE263</f>
        <v>36</v>
      </c>
    </row>
    <row r="264" spans="1:58" s="3" customFormat="1" x14ac:dyDescent="0.2">
      <c r="A264" s="3" t="s">
        <v>142</v>
      </c>
      <c r="B264" s="3" t="str">
        <f>LOWER(VLOOKUP(A264,Xtal_Templ!A:B,2,FALSE))</f>
        <v>fpr2_human</v>
      </c>
      <c r="C264" s="3">
        <f>VLOOKUP($A264,'SegEnds_NonXtal_BW#'!$A:$Z,3,FALSE)+D264-50</f>
        <v>51</v>
      </c>
      <c r="D264" s="3">
        <v>76</v>
      </c>
      <c r="E264" s="3">
        <f>IF(ISERROR(VLOOKUP($A264,'SegEnds_NonXtal_BW#'!$A:$Z,4,FALSE)+VLOOKUP($A264,A:AL,4,FALSE)-50),"-",(VLOOKUP($A264,'SegEnds_NonXtal_BW#'!$A:$Z,4,FALSE)+VLOOKUP($A264,A:AL,4,FALSE)-50))</f>
        <v>87</v>
      </c>
      <c r="F264" s="3" t="str">
        <f>IF(ISERROR(VLOOKUP($A264,'SegEnds_NonXtal_BW#'!$A:$Z,5,FALSE)+VLOOKUP($A264,A:AL,7,FALSE)-50),"-",(VLOOKUP($A264,'SegEnds_NonXtal_BW#'!$A:$Z,5,FALSE)+VLOOKUP($A264,A:AL,7,FALSE)-50))</f>
        <v>-</v>
      </c>
      <c r="G264" s="3" t="s">
        <v>23</v>
      </c>
      <c r="H264" s="3" t="str">
        <f>IF(ISERROR(VLOOKUP($A264,'SegEnds_NonXtal_BW#'!$A:$Z,6,FALSE)+VLOOKUP($A264,A:AL,7,FALSE)-50),"-",(VLOOKUP($A264,'SegEnds_NonXtal_BW#'!$A:$Z,6,FALSE)+VLOOKUP($A264,A:AL,7,FALSE)-50))</f>
        <v>-</v>
      </c>
      <c r="I264" s="3">
        <f>VLOOKUP($A264,'SegEnds_NonXtal_BW#'!$A:$Z,7,FALSE)+J264-50</f>
        <v>93</v>
      </c>
      <c r="J264" s="3">
        <v>106</v>
      </c>
      <c r="K264" s="3">
        <f>VLOOKUP($A264,'SegEnds_NonXtal_BW#'!$A:$Z,8,FALSE)+VLOOKUP($A264,A:AL,10,FALSE)-50</f>
        <v>122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128</v>
      </c>
      <c r="P264" s="3">
        <v>154</v>
      </c>
      <c r="Q264" s="3">
        <f>VLOOKUP($A264,'SegEnds_NonXtal_BW#'!$A:$Z,12,FALSE)+VLOOKUP($A264,A:AL,16,FALSE)-50</f>
        <v>160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162</v>
      </c>
      <c r="V264" s="3">
        <v>174</v>
      </c>
      <c r="W264" s="3">
        <f>IF(ISERROR(VLOOKUP($A264,'SegEnds_NonXtal_BW#'!$A:$Z,16,FALSE)+VLOOKUP($A264,A:AL,22,FALSE)-50),"-",(VLOOKUP($A264,'SegEnds_NonXtal_BW#'!$A:$Z,16,FALSE)+VLOOKUP($A264,A:AL,22,FALSE)-50))</f>
        <v>188</v>
      </c>
      <c r="X264" s="3">
        <f>IF(ISERROR(VLOOKUP($A264,'SegEnds_NonXtal_BW#'!$A:$Z,17,FALSE)+VLOOKUP($A264,A:AL,25,FALSE)-50),"-",(VLOOKUP($A264,'SegEnds_NonXtal_BW#'!$A:$Z,17,FALSE)+VLOOKUP($A264,A:AL,25,FALSE)-50))</f>
        <v>195</v>
      </c>
      <c r="Y264" s="3">
        <v>195</v>
      </c>
      <c r="Z264" s="3">
        <f t="shared" si="144"/>
        <v>197</v>
      </c>
      <c r="AA264" s="3">
        <f>IF(ISERROR(VLOOKUP($A264,'SegEnds_NonXtal_BW#'!$A:$Z,19,FALSE)+VLOOKUP($A264,A:AL,28,FALSE)-50),"-",(VLOOKUP($A264,'SegEnds_NonXtal_BW#'!$A:$Z,19,FALSE)+VLOOKUP($A264,A:AL,28,FALSE)-50))</f>
        <v>203</v>
      </c>
      <c r="AB264" s="3">
        <v>218</v>
      </c>
      <c r="AC264" s="3">
        <f>IF(ISERROR((VLOOKUP($A264,'SegEnds_NonXtal_BW#'!$A:$Z,20,FALSE)+VLOOKUP($A264,A:AL,28,FALSE)-50)),"-",(VLOOKUP($A264,'SegEnds_NonXtal_BW#'!$A:$Z,20,FALSE)+VLOOKUP($A264,A:AL,28,FALSE)-50))</f>
        <v>232</v>
      </c>
      <c r="AD264" s="3">
        <f>IF(ISERROR(VLOOKUP($A264,'SegEnds_NonXtal_BW#'!$A:$Z,21,FALSE)+VLOOKUP($A264,A:AL,31,FALSE)-50),"-",(VLOOKUP($A264,'SegEnds_NonXtal_BW#'!$A:$Z,21,FALSE)+VLOOKUP($A264,A:AL,31,FALSE)-50))</f>
        <v>239</v>
      </c>
      <c r="AE264" s="3">
        <v>255</v>
      </c>
      <c r="AF264" s="3">
        <f>IF(ISERROR((VLOOKUP($A264,'SegEnds_NonXtal_BW#'!$A:$Z,22,FALSE)+VLOOKUP($A264,A:AL,31,FALSE)-50)),"-",(VLOOKUP($A264,'SegEnds_NonXtal_BW#'!$A:$Z,22,FALSE)+VLOOKUP($A264,A:AL,31,FALSE)-50))</f>
        <v>269</v>
      </c>
      <c r="AG264" s="3">
        <f>IF(ISERROR(VLOOKUP($A264,'SegEnds_NonXtal_BW#'!$A:$Z,23,FALSE)+VLOOKUP($A264,A:AL,34,FALSE)-50),"-",(VLOOKUP($A264,'SegEnds_NonXtal_BW#'!$A:$Z,23,FALSE)+VLOOKUP($A264,A:AL,34,FALSE)-50))</f>
        <v>275</v>
      </c>
      <c r="AH264" s="3">
        <v>301</v>
      </c>
      <c r="AI264" s="3">
        <f>IF(ISERROR((VLOOKUP($A264,'SegEnds_NonXtal_BW#'!$A:$Z,24,FALSE)+VLOOKUP($A264,A:AL,34,FALSE)-50)),"-",(VLOOKUP($A264,'SegEnds_NonXtal_BW#'!$A:$Z,24,FALSE)+VLOOKUP($A264,A:AL,34,FALSE)-50))</f>
        <v>307</v>
      </c>
      <c r="AJ264" s="3">
        <f>IF(ISERROR(VLOOKUP($A264,'SegEnds_NonXtal_BW#'!$A:$Z,25,FALSE)+VLOOKUP($A264,A:AL,37,FALSE)-50),"-",(VLOOKUP($A264,'SegEnds_NonXtal_BW#'!$A:$Z,25,FALSE)+VLOOKUP($A264,A:AL,37,FALSE)-50))</f>
        <v>308</v>
      </c>
      <c r="AK264" s="3">
        <v>311</v>
      </c>
      <c r="AL264" s="3">
        <f>IF(ISERROR((VLOOKUP($A264,'SegEnds_NonXtal_BW#'!$A:$Z,26,FALSE)+VLOOKUP($A264,A:AL,37,FALSE)-50)),"-",(VLOOKUP($A264,'SegEnds_NonXtal_BW#'!$A:$Z,26,FALSE)+VLOOKUP($A264,A:AL,37,FALSE)-50))</f>
        <v>319</v>
      </c>
      <c r="AM264" s="28" t="str">
        <f>VLOOKUP(A264,Classification!A:B,2,FALSE)</f>
        <v>A</v>
      </c>
      <c r="AN264" s="28" t="b">
        <f t="shared" si="188"/>
        <v>1</v>
      </c>
      <c r="AO264" s="3" t="str">
        <f>IF(ISERROR(MATCH(A264,'SegEnds_Xtal_Prot#'!B:B, 0)), "NoXtal", "Xtal")</f>
        <v>NoXtal</v>
      </c>
      <c r="AP264" s="3" t="str">
        <f t="shared" si="173"/>
        <v>-</v>
      </c>
      <c r="AQ264" s="3" t="str">
        <f t="shared" si="174"/>
        <v>-</v>
      </c>
      <c r="AR264" s="3" t="str">
        <f t="shared" si="175"/>
        <v>-</v>
      </c>
      <c r="AS264" s="3" t="str">
        <f t="shared" si="176"/>
        <v>-</v>
      </c>
      <c r="AT264" s="3" t="str">
        <f t="shared" si="177"/>
        <v>-</v>
      </c>
      <c r="AU264" s="3" t="str">
        <f t="shared" si="178"/>
        <v>-</v>
      </c>
      <c r="AV264" s="3">
        <f t="shared" si="179"/>
        <v>7</v>
      </c>
      <c r="AW264" s="3">
        <f t="shared" si="180"/>
        <v>6</v>
      </c>
      <c r="AX264" s="3">
        <f t="shared" si="181"/>
        <v>7</v>
      </c>
      <c r="AY264" s="3">
        <f t="shared" si="182"/>
        <v>6</v>
      </c>
      <c r="AZ264" s="3">
        <f t="shared" si="183"/>
        <v>1</v>
      </c>
      <c r="BA264" s="3">
        <f>IF(ISERROR(LEN(VLOOKUP(A264,Seqs!A:E,2,FALSE))-AL264),"-",LEN(VLOOKUP(A264,Seqs!A:E,2,FALSE))-AL264)</f>
        <v>17</v>
      </c>
      <c r="BB264" s="16">
        <f t="shared" si="184"/>
        <v>30</v>
      </c>
      <c r="BC264" s="9" t="str">
        <f t="shared" si="185"/>
        <v>-</v>
      </c>
      <c r="BD264" s="3">
        <f t="shared" si="186"/>
        <v>30</v>
      </c>
      <c r="BE264" s="3">
        <f t="shared" si="187"/>
        <v>37</v>
      </c>
      <c r="BF264" s="3">
        <f>AH264-AE264</f>
        <v>46</v>
      </c>
    </row>
    <row r="265" spans="1:58" s="3" customFormat="1" x14ac:dyDescent="0.2">
      <c r="A265" s="3" t="s">
        <v>144</v>
      </c>
      <c r="B265" s="3" t="str">
        <f>LOWER(VLOOKUP(A265,Xtal_Templ!A:B,2,FALSE))</f>
        <v>ccr7_human</v>
      </c>
      <c r="C265" s="3">
        <f>VLOOKUP($A265,'SegEnds_NonXtal_BW#'!$A:$Z,3,FALSE)+D265-50</f>
        <v>41</v>
      </c>
      <c r="D265" s="3">
        <v>62</v>
      </c>
      <c r="E265" s="3">
        <f>IF(ISERROR(VLOOKUP($A265,'SegEnds_NonXtal_BW#'!$A:$Z,4,FALSE)+VLOOKUP($A265,A:AL,4,FALSE)-50),"-",(VLOOKUP($A265,'SegEnds_NonXtal_BW#'!$A:$Z,4,FALSE)+VLOOKUP($A265,A:AL,4,FALSE)-50))</f>
        <v>72</v>
      </c>
      <c r="F265" s="3">
        <f>G265-2</f>
        <v>73</v>
      </c>
      <c r="G265" s="3">
        <v>75</v>
      </c>
      <c r="H265" s="3">
        <f t="shared" ref="H265:I267" si="189">G265+1</f>
        <v>76</v>
      </c>
      <c r="I265" s="3">
        <f t="shared" si="189"/>
        <v>77</v>
      </c>
      <c r="J265" s="3">
        <v>90</v>
      </c>
      <c r="K265" s="3">
        <f>VLOOKUP($A265,'SegEnds_NonXtal_BW#'!$A:$Z,8,FALSE)+VLOOKUP($A265,A:AL,10,FALSE)-50</f>
        <v>106</v>
      </c>
      <c r="L265" s="3">
        <f>IF(ISERROR(VLOOKUP($A265,'SegEnds_NonXtal_BW#'!$A:$Z,9,FALSE)+VLOOKUP($A265,A:AL,13,FALSE)-50),"-",(VLOOKUP($A265,'SegEnds_NonXtal_BW#'!$A:$Z,9,FALSE)+VLOOKUP($A265,A:AL,13,FALSE)-50))</f>
        <v>109</v>
      </c>
      <c r="M265" s="3">
        <v>110</v>
      </c>
      <c r="N265" s="3">
        <f>IF(ISERROR(VLOOKUP($A265,'SegEnds_NonXtal_BW#'!$A:$Z,10,FALSE)+VLOOKUP($A265,A:AL,13,FALSE)-50),"-",(VLOOKUP($A265,'SegEnds_NonXtal_BW#'!$A:$Z,10,FALSE)+VLOOKUP($A265,A:AL,13,FALSE)-50))</f>
        <v>112</v>
      </c>
      <c r="O265" s="3">
        <f>VLOOKUP($A265,'SegEnds_NonXtal_BW#'!$A:$Z,11,FALSE)+VLOOKUP($A265,A:AL,16,FALSE)-50</f>
        <v>113</v>
      </c>
      <c r="P265" s="3">
        <v>142</v>
      </c>
      <c r="Q265" s="3">
        <f>VLOOKUP($A265,'SegEnds_NonXtal_BW#'!$A:$Z,12,FALSE)+VLOOKUP($A265,A:AL,16,FALSE)-50</f>
        <v>148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157</v>
      </c>
      <c r="V265" s="3">
        <v>169</v>
      </c>
      <c r="W265" s="3">
        <f>IF(ISERROR(VLOOKUP($A265,'SegEnds_NonXtal_BW#'!$A:$Z,16,FALSE)+VLOOKUP($A265,A:AL,22,FALSE)-50),"-",(VLOOKUP($A265,'SegEnds_NonXtal_BW#'!$A:$Z,16,FALSE)+VLOOKUP($A265,A:AL,22,FALSE)-50))</f>
        <v>183</v>
      </c>
      <c r="X265" s="3">
        <f>IF(ISERROR(VLOOKUP($A265,'SegEnds_NonXtal_BW#'!$A:$Z,17,FALSE)+VLOOKUP($A265,A:AL,25,FALSE)-50),"-",(VLOOKUP($A265,'SegEnds_NonXtal_BW#'!$A:$Z,17,FALSE)+VLOOKUP($A265,A:AL,25,FALSE)-50))</f>
        <v>196</v>
      </c>
      <c r="Y265" s="3">
        <v>196</v>
      </c>
      <c r="Z265" s="3">
        <f t="shared" si="144"/>
        <v>198</v>
      </c>
      <c r="AA265" s="3">
        <f>IF(ISERROR(VLOOKUP($A265,'SegEnds_NonXtal_BW#'!$A:$Z,19,FALSE)+VLOOKUP($A265,A:AL,28,FALSE)-50),"-",(VLOOKUP($A265,'SegEnds_NonXtal_BW#'!$A:$Z,19,FALSE)+VLOOKUP($A265,A:AL,28,FALSE)-50))</f>
        <v>207</v>
      </c>
      <c r="AB265" s="3">
        <v>224</v>
      </c>
      <c r="AC265" s="3">
        <f>IF(ISERROR((VLOOKUP($A265,'SegEnds_NonXtal_BW#'!$A:$Z,20,FALSE)+VLOOKUP($A265,A:AL,28,FALSE)-50)),"-",(VLOOKUP($A265,'SegEnds_NonXtal_BW#'!$A:$Z,20,FALSE)+VLOOKUP($A265,A:AL,28,FALSE)-50))</f>
        <v>242</v>
      </c>
      <c r="AD265" s="3">
        <f>IF(ISERROR(VLOOKUP($A265,'SegEnds_NonXtal_BW#'!$A:$Z,21,FALSE)+VLOOKUP($A265,A:AL,31,FALSE)-50),"-",(VLOOKUP($A265,'SegEnds_NonXtal_BW#'!$A:$Z,21,FALSE)+VLOOKUP($A265,A:AL,31,FALSE)-50))</f>
        <v>247</v>
      </c>
      <c r="AE265" s="3">
        <v>267</v>
      </c>
      <c r="AF265" s="3">
        <f>IF(ISERROR((VLOOKUP($A265,'SegEnds_NonXtal_BW#'!$A:$Z,22,FALSE)+VLOOKUP($A265,A:AL,31,FALSE)-50)),"-",(VLOOKUP($A265,'SegEnds_NonXtal_BW#'!$A:$Z,22,FALSE)+VLOOKUP($A265,A:AL,31,FALSE)-50))</f>
        <v>281</v>
      </c>
      <c r="AG265" s="3">
        <f>IF(ISERROR(VLOOKUP($A265,'SegEnds_NonXtal_BW#'!$A:$Z,23,FALSE)+VLOOKUP($A265,A:AL,34,FALSE)-50),"-",(VLOOKUP($A265,'SegEnds_NonXtal_BW#'!$A:$Z,23,FALSE)+VLOOKUP($A265,A:AL,34,FALSE)-50))</f>
        <v>286</v>
      </c>
      <c r="AH265" s="3">
        <v>312</v>
      </c>
      <c r="AI265" s="3">
        <f>IF(ISERROR((VLOOKUP($A265,'SegEnds_NonXtal_BW#'!$A:$Z,24,FALSE)+VLOOKUP($A265,A:AL,34,FALSE)-50)),"-",(VLOOKUP($A265,'SegEnds_NonXtal_BW#'!$A:$Z,24,FALSE)+VLOOKUP($A265,A:AL,34,FALSE)-50))</f>
        <v>318</v>
      </c>
      <c r="AJ265" s="3">
        <f>IF(ISERROR(VLOOKUP($A265,'SegEnds_NonXtal_BW#'!$A:$Z,25,FALSE)+VLOOKUP($A265,A:AL,37,FALSE)-50),"-",(VLOOKUP($A265,'SegEnds_NonXtal_BW#'!$A:$Z,25,FALSE)+VLOOKUP($A265,A:AL,37,FALSE)-50))</f>
        <v>319</v>
      </c>
      <c r="AK265" s="3">
        <v>322</v>
      </c>
      <c r="AL265" s="3">
        <f>IF(ISERROR((VLOOKUP($A265,'SegEnds_NonXtal_BW#'!$A:$Z,26,FALSE)+VLOOKUP($A265,A:AL,37,FALSE)-50)),"-",(VLOOKUP($A265,'SegEnds_NonXtal_BW#'!$A:$Z,26,FALSE)+VLOOKUP($A265,A:AL,37,FALSE)-50))</f>
        <v>331</v>
      </c>
      <c r="AM265" s="28" t="str">
        <f>VLOOKUP(A265,Classification!A:B,2,FALSE)</f>
        <v>A</v>
      </c>
      <c r="AN265" s="28" t="b">
        <f t="shared" si="188"/>
        <v>1</v>
      </c>
      <c r="AO265" s="3" t="str">
        <f>IF(ISERROR(MATCH(A265,'SegEnds_Xtal_Prot#'!B:B, 0)), "NoXtal", "Xtal")</f>
        <v>NoXtal</v>
      </c>
      <c r="AP265" s="3">
        <f t="shared" si="173"/>
        <v>1</v>
      </c>
      <c r="AQ265" s="3">
        <f t="shared" si="174"/>
        <v>1</v>
      </c>
      <c r="AR265" s="3">
        <f t="shared" si="175"/>
        <v>3</v>
      </c>
      <c r="AS265" s="3">
        <f t="shared" si="176"/>
        <v>1</v>
      </c>
      <c r="AT265" s="3" t="str">
        <f t="shared" si="177"/>
        <v>-</v>
      </c>
      <c r="AU265" s="3" t="str">
        <f t="shared" si="178"/>
        <v>-</v>
      </c>
      <c r="AV265" s="3">
        <f t="shared" si="179"/>
        <v>13</v>
      </c>
      <c r="AW265" s="3">
        <f t="shared" si="180"/>
        <v>9</v>
      </c>
      <c r="AX265" s="3">
        <f t="shared" si="181"/>
        <v>5</v>
      </c>
      <c r="AY265" s="3">
        <f t="shared" si="182"/>
        <v>5</v>
      </c>
      <c r="AZ265" s="3">
        <f t="shared" si="183"/>
        <v>1</v>
      </c>
      <c r="BA265" s="3">
        <f>IF(ISERROR(LEN(VLOOKUP(A265,Seqs!A:E,2,FALSE))-AL265),"-",LEN(VLOOKUP(A265,Seqs!A:E,2,FALSE))-AL265)</f>
        <v>31</v>
      </c>
      <c r="BB265" s="16">
        <f t="shared" si="184"/>
        <v>28</v>
      </c>
      <c r="BC265" s="9" t="str">
        <f t="shared" si="185"/>
        <v>-</v>
      </c>
      <c r="BD265" s="3">
        <f t="shared" si="186"/>
        <v>28</v>
      </c>
      <c r="BE265" s="3">
        <f t="shared" si="187"/>
        <v>43</v>
      </c>
      <c r="BF265" s="3">
        <f>AH265-AE265</f>
        <v>45</v>
      </c>
    </row>
    <row r="266" spans="1:58" s="3" customFormat="1" x14ac:dyDescent="0.2">
      <c r="A266" s="3" t="s">
        <v>145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89"/>
        <v>73</v>
      </c>
      <c r="I266" s="3">
        <f t="shared" si="189"/>
        <v>74</v>
      </c>
      <c r="J266" s="3">
        <v>87</v>
      </c>
      <c r="K266" s="3">
        <f>VLOOKUP($A266,'SegEnds_NonXtal_BW#'!$A:$Z,8,FALSE)+VLOOKUP($A266,A:AL,10,FALSE)-50</f>
        <v>103</v>
      </c>
      <c r="L266" s="3">
        <f>IF(ISERROR(VLOOKUP($A266,'SegEnds_NonXtal_BW#'!$A:$Z,9,FALSE)+VLOOKUP($A266,A:AL,13,FALSE)-50),"-",(VLOOKUP($A266,'SegEnds_NonXtal_BW#'!$A:$Z,9,FALSE)+VLOOKUP($A266,A:AL,13,FALSE)-50))</f>
        <v>104</v>
      </c>
      <c r="M266" s="3">
        <v>105</v>
      </c>
      <c r="N266" s="3">
        <f>IF(ISERROR(VLOOKUP($A266,'SegEnds_NonXtal_BW#'!$A:$Z,10,FALSE)+VLOOKUP($A266,A:AL,13,FALSE)-50),"-",(VLOOKUP($A266,'SegEnds_NonXtal_BW#'!$A:$Z,10,FALSE)+VLOOKUP($A266,A:AL,13,FALSE)-50))</f>
        <v>107</v>
      </c>
      <c r="O266" s="3">
        <f>VLOOKUP($A266,'SegEnds_NonXtal_BW#'!$A:$Z,11,FALSE)+VLOOKUP($A266,A:AL,16,FALSE)-50</f>
        <v>108</v>
      </c>
      <c r="P266" s="3">
        <v>137</v>
      </c>
      <c r="Q266" s="3">
        <f>VLOOKUP($A266,'SegEnds_NonXtal_BW#'!$A:$Z,12,FALSE)+VLOOKUP($A266,A:AL,16,FALSE)-50</f>
        <v>143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150</v>
      </c>
      <c r="V266" s="3">
        <v>162</v>
      </c>
      <c r="W266" s="3">
        <f>IF(ISERROR(VLOOKUP($A266,'SegEnds_NonXtal_BW#'!$A:$Z,16,FALSE)+VLOOKUP($A266,A:AL,22,FALSE)-50),"-",(VLOOKUP($A266,'SegEnds_NonXtal_BW#'!$A:$Z,16,FALSE)+VLOOKUP($A266,A:AL,22,FALSE)-50))</f>
        <v>176</v>
      </c>
      <c r="X266" s="3">
        <f>IF(ISERROR(VLOOKUP($A266,'SegEnds_NonXtal_BW#'!$A:$Z,17,FALSE)+VLOOKUP($A266,A:AL,25,FALSE)-50),"-",(VLOOKUP($A266,'SegEnds_NonXtal_BW#'!$A:$Z,17,FALSE)+VLOOKUP($A266,A:AL,25,FALSE)-50))</f>
        <v>184</v>
      </c>
      <c r="Y266" s="3">
        <v>184</v>
      </c>
      <c r="Z266" s="3">
        <f t="shared" si="144"/>
        <v>186</v>
      </c>
      <c r="AA266" s="3">
        <f>IF(ISERROR(VLOOKUP($A266,'SegEnds_NonXtal_BW#'!$A:$Z,19,FALSE)+VLOOKUP($A266,A:AL,28,FALSE)-50),"-",(VLOOKUP($A266,'SegEnds_NonXtal_BW#'!$A:$Z,19,FALSE)+VLOOKUP($A266,A:AL,28,FALSE)-50))</f>
        <v>195</v>
      </c>
      <c r="AB266" s="3">
        <v>212</v>
      </c>
      <c r="AC266" s="3">
        <f>IF(ISERROR((VLOOKUP($A266,'SegEnds_NonXtal_BW#'!$A:$Z,20,FALSE)+VLOOKUP($A266,A:AL,28,FALSE)-50)),"-",(VLOOKUP($A266,'SegEnds_NonXtal_BW#'!$A:$Z,20,FALSE)+VLOOKUP($A266,A:AL,28,FALSE)-50))</f>
        <v>230</v>
      </c>
      <c r="AD266" s="3">
        <f>IF(ISERROR(VLOOKUP($A266,'SegEnds_NonXtal_BW#'!$A:$Z,21,FALSE)+VLOOKUP($A266,A:AL,31,FALSE)-50),"-",(VLOOKUP($A266,'SegEnds_NonXtal_BW#'!$A:$Z,21,FALSE)+VLOOKUP($A266,A:AL,31,FALSE)-50))</f>
        <v>235</v>
      </c>
      <c r="AE266" s="3">
        <v>255</v>
      </c>
      <c r="AF266" s="3">
        <f>IF(ISERROR((VLOOKUP($A266,'SegEnds_NonXtal_BW#'!$A:$Z,22,FALSE)+VLOOKUP($A266,A:AL,31,FALSE)-50)),"-",(VLOOKUP($A266,'SegEnds_NonXtal_BW#'!$A:$Z,22,FALSE)+VLOOKUP($A266,A:AL,31,FALSE)-50))</f>
        <v>269</v>
      </c>
      <c r="AG266" s="3">
        <f>IF(ISERROR(VLOOKUP($A266,'SegEnds_NonXtal_BW#'!$A:$Z,23,FALSE)+VLOOKUP($A266,A:AL,34,FALSE)-50),"-",(VLOOKUP($A266,'SegEnds_NonXtal_BW#'!$A:$Z,23,FALSE)+VLOOKUP($A266,A:AL,34,FALSE)-50))</f>
        <v>274</v>
      </c>
      <c r="AH266" s="3">
        <v>300</v>
      </c>
      <c r="AI266" s="3">
        <f>IF(ISERROR((VLOOKUP($A266,'SegEnds_NonXtal_BW#'!$A:$Z,24,FALSE)+VLOOKUP($A266,A:AL,34,FALSE)-50)),"-",(VLOOKUP($A266,'SegEnds_NonXtal_BW#'!$A:$Z,24,FALSE)+VLOOKUP($A266,A:AL,34,FALSE)-50))</f>
        <v>306</v>
      </c>
      <c r="AJ266" s="3">
        <f>IF(ISERROR(VLOOKUP($A266,'SegEnds_NonXtal_BW#'!$A:$Z,25,FALSE)+VLOOKUP($A266,A:AL,37,FALSE)-50),"-",(VLOOKUP($A266,'SegEnds_NonXtal_BW#'!$A:$Z,25,FALSE)+VLOOKUP($A266,A:AL,37,FALSE)-50))</f>
        <v>307</v>
      </c>
      <c r="AK266" s="3">
        <v>310</v>
      </c>
      <c r="AL266" s="3">
        <f>IF(ISERROR((VLOOKUP($A266,'SegEnds_NonXtal_BW#'!$A:$Z,26,FALSE)+VLOOKUP($A266,A:AL,37,FALSE)-50)),"-",(VLOOKUP($A266,'SegEnds_NonXtal_BW#'!$A:$Z,26,FALSE)+VLOOKUP($A266,A:AL,37,FALSE)-50))</f>
        <v>327</v>
      </c>
      <c r="AM266" s="28" t="str">
        <f>VLOOKUP(A266,Classification!A:B,2,FALSE)</f>
        <v>A</v>
      </c>
      <c r="AN266" s="28" t="b">
        <f t="shared" si="188"/>
        <v>1</v>
      </c>
      <c r="AO266" s="3" t="str">
        <f>IF(ISERROR(MATCH(A266,'SegEnds_Xtal_Prot#'!B:B, 0)), "NoXtal", "Xtal")</f>
        <v>NoXtal</v>
      </c>
      <c r="AP266" s="3">
        <f t="shared" si="173"/>
        <v>1</v>
      </c>
      <c r="AQ266" s="3">
        <f t="shared" si="174"/>
        <v>1</v>
      </c>
      <c r="AR266" s="3">
        <f t="shared" si="175"/>
        <v>1</v>
      </c>
      <c r="AS266" s="3">
        <f t="shared" si="176"/>
        <v>1</v>
      </c>
      <c r="AT266" s="3" t="str">
        <f t="shared" si="177"/>
        <v>-</v>
      </c>
      <c r="AU266" s="3" t="str">
        <f t="shared" si="178"/>
        <v>-</v>
      </c>
      <c r="AV266" s="3">
        <f t="shared" si="179"/>
        <v>8</v>
      </c>
      <c r="AW266" s="3">
        <f t="shared" si="180"/>
        <v>9</v>
      </c>
      <c r="AX266" s="3">
        <f t="shared" si="181"/>
        <v>5</v>
      </c>
      <c r="AY266" s="3">
        <f t="shared" si="182"/>
        <v>5</v>
      </c>
      <c r="AZ266" s="3">
        <f t="shared" si="183"/>
        <v>1</v>
      </c>
      <c r="BA266" s="3">
        <f>IF(ISERROR(LEN(VLOOKUP(A266,Seqs!A:E,2,FALSE))-AL266),"-",LEN(VLOOKUP(A266,Seqs!A:E,2,FALSE))-AL266)</f>
        <v>23</v>
      </c>
      <c r="BB266" s="16">
        <f t="shared" si="184"/>
        <v>28</v>
      </c>
      <c r="BC266" s="9" t="str">
        <f t="shared" si="185"/>
        <v>-</v>
      </c>
      <c r="BD266" s="3">
        <f t="shared" si="186"/>
        <v>28</v>
      </c>
      <c r="BE266" s="3">
        <f t="shared" si="187"/>
        <v>43</v>
      </c>
    </row>
    <row r="267" spans="1:58" s="3" customFormat="1" x14ac:dyDescent="0.2">
      <c r="A267" s="3" t="s">
        <v>169</v>
      </c>
      <c r="B267" s="3" t="str">
        <f>LOWER(VLOOKUP(A267,Xtal_Templ!A:B,2,FALSE))</f>
        <v>ccr7_human</v>
      </c>
      <c r="C267" s="3">
        <f>VLOOKUP($A267,'SegEnds_NonXtal_BW#'!$A:$Z,3,FALSE)+D267-50</f>
        <v>38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189"/>
        <v>73</v>
      </c>
      <c r="I267" s="3">
        <f t="shared" si="189"/>
        <v>74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105</v>
      </c>
      <c r="M267" s="3">
        <v>106</v>
      </c>
      <c r="N267" s="3">
        <f>M267+2</f>
        <v>108</v>
      </c>
      <c r="O267" s="3">
        <f>N267+1</f>
        <v>109</v>
      </c>
      <c r="P267" s="3">
        <v>138</v>
      </c>
      <c r="Q267" s="3">
        <f>VLOOKUP($A267,'SegEnds_NonXtal_BW#'!$A:$Z,12,FALSE)+VLOOKUP($A267,A:AL,16,FALSE)-50</f>
        <v>144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154</v>
      </c>
      <c r="V267" s="3">
        <v>166</v>
      </c>
      <c r="W267" s="3">
        <f>IF(ISERROR(VLOOKUP($A267,'SegEnds_NonXtal_BW#'!$A:$Z,16,FALSE)+VLOOKUP($A267,A:AL,22,FALSE)-50),"-",(VLOOKUP($A267,'SegEnds_NonXtal_BW#'!$A:$Z,16,FALSE)+VLOOKUP($A267,A:AL,22,FALSE)-50))</f>
        <v>180</v>
      </c>
      <c r="X267" s="3">
        <f>IF(ISERROR(VLOOKUP($A267,'SegEnds_NonXtal_BW#'!$A:$Z,17,FALSE)+VLOOKUP($A267,A:AL,25,FALSE)-50),"-",(VLOOKUP($A267,'SegEnds_NonXtal_BW#'!$A:$Z,17,FALSE)+VLOOKUP($A267,A:AL,25,FALSE)-50))</f>
        <v>191</v>
      </c>
      <c r="Y267" s="3">
        <v>191</v>
      </c>
      <c r="Z267" s="3">
        <f t="shared" si="144"/>
        <v>193</v>
      </c>
      <c r="AA267" s="3">
        <f>IF(ISERROR(VLOOKUP($A267,'SegEnds_NonXtal_BW#'!$A:$Z,19,FALSE)+VLOOKUP($A267,A:AL,28,FALSE)-50),"-",(VLOOKUP($A267,'SegEnds_NonXtal_BW#'!$A:$Z,19,FALSE)+VLOOKUP($A267,A:AL,28,FALSE)-50))</f>
        <v>202</v>
      </c>
      <c r="AB267" s="3">
        <v>219</v>
      </c>
      <c r="AC267" s="3">
        <f>IF(ISERROR((VLOOKUP($A267,'SegEnds_NonXtal_BW#'!$A:$Z,20,FALSE)+VLOOKUP($A267,A:AL,28,FALSE)-50)),"-",(VLOOKUP($A267,'SegEnds_NonXtal_BW#'!$A:$Z,20,FALSE)+VLOOKUP($A267,A:AL,28,FALSE)-50))</f>
        <v>237</v>
      </c>
      <c r="AD267" s="3">
        <f>IF(ISERROR(VLOOKUP($A267,'SegEnds_NonXtal_BW#'!$A:$Z,21,FALSE)+VLOOKUP($A267,A:AL,31,FALSE)-50),"-",(VLOOKUP($A267,'SegEnds_NonXtal_BW#'!$A:$Z,21,FALSE)+VLOOKUP($A267,A:AL,31,FALSE)-50))</f>
        <v>242</v>
      </c>
      <c r="AE267" s="3">
        <v>262</v>
      </c>
      <c r="AF267" s="3">
        <f>IF(ISERROR((VLOOKUP($A267,'SegEnds_NonXtal_BW#'!$A:$Z,22,FALSE)+VLOOKUP($A267,A:AL,31,FALSE)-50)),"-",(VLOOKUP($A267,'SegEnds_NonXtal_BW#'!$A:$Z,22,FALSE)+VLOOKUP($A267,A:AL,31,FALSE)-50))</f>
        <v>277</v>
      </c>
      <c r="AG267" s="3">
        <f>IF(ISERROR(VLOOKUP($A267,'SegEnds_NonXtal_BW#'!$A:$Z,23,FALSE)+VLOOKUP($A267,A:AL,34,FALSE)-50),"-",(VLOOKUP($A267,'SegEnds_NonXtal_BW#'!$A:$Z,23,FALSE)+VLOOKUP($A267,A:AL,34,FALSE)-50))</f>
        <v>281</v>
      </c>
      <c r="AH267" s="3">
        <v>307</v>
      </c>
      <c r="AI267" s="3">
        <f>IF(ISERROR((VLOOKUP($A267,'SegEnds_NonXtal_BW#'!$A:$Z,24,FALSE)+VLOOKUP($A267,A:AL,34,FALSE)-50)),"-",(VLOOKUP($A267,'SegEnds_NonXtal_BW#'!$A:$Z,24,FALSE)+VLOOKUP($A267,A:AL,34,FALSE)-50))</f>
        <v>313</v>
      </c>
      <c r="AJ267" s="3">
        <f>IF(ISERROR(VLOOKUP($A267,'SegEnds_NonXtal_BW#'!$A:$Z,25,FALSE)+VLOOKUP($A267,A:AL,37,FALSE)-50),"-",(VLOOKUP($A267,'SegEnds_NonXtal_BW#'!$A:$Z,25,FALSE)+VLOOKUP($A267,A:AL,37,FALSE)-50))</f>
        <v>314</v>
      </c>
      <c r="AK267" s="3">
        <v>317</v>
      </c>
      <c r="AL267" s="3">
        <f>IF(ISERROR((VLOOKUP($A267,'SegEnds_NonXtal_BW#'!$A:$Z,26,FALSE)+VLOOKUP($A267,A:AL,37,FALSE)-50)),"-",(VLOOKUP($A267,'SegEnds_NonXtal_BW#'!$A:$Z,26,FALSE)+VLOOKUP($A267,A:AL,37,FALSE)-50))</f>
        <v>326</v>
      </c>
      <c r="AM267" s="28" t="str">
        <f>VLOOKUP(A267,Classification!A:B,2,FALSE)</f>
        <v>A</v>
      </c>
      <c r="AN267" s="28" t="b">
        <f t="shared" si="188"/>
        <v>1</v>
      </c>
      <c r="AO267" s="3" t="str">
        <f>IF(ISERROR(MATCH(A267,'SegEnds_Xtal_Prot#'!B:B, 0)), "NoXtal", "Xtal")</f>
        <v>NoXtal</v>
      </c>
      <c r="AP267" s="3">
        <f t="shared" si="173"/>
        <v>1</v>
      </c>
      <c r="AQ267" s="3">
        <f t="shared" si="174"/>
        <v>1</v>
      </c>
      <c r="AR267" s="3">
        <f t="shared" si="175"/>
        <v>1</v>
      </c>
      <c r="AS267" s="3">
        <f t="shared" si="176"/>
        <v>1</v>
      </c>
      <c r="AT267" s="3" t="str">
        <f t="shared" si="177"/>
        <v>-</v>
      </c>
      <c r="AU267" s="3" t="str">
        <f t="shared" si="178"/>
        <v>-</v>
      </c>
      <c r="AV267" s="3">
        <f t="shared" si="179"/>
        <v>11</v>
      </c>
      <c r="AW267" s="3">
        <f t="shared" si="180"/>
        <v>9</v>
      </c>
      <c r="AX267" s="3">
        <f t="shared" si="181"/>
        <v>5</v>
      </c>
      <c r="AY267" s="3">
        <f t="shared" si="182"/>
        <v>4</v>
      </c>
      <c r="AZ267" s="3">
        <f t="shared" si="183"/>
        <v>1</v>
      </c>
      <c r="BA267" s="3">
        <f>IF(ISERROR(LEN(VLOOKUP(A267,Seqs!A:E,2,FALSE))-AL267),"-",LEN(VLOOKUP(A267,Seqs!A:E,2,FALSE))-AL267)</f>
        <v>36</v>
      </c>
      <c r="BB267" s="16">
        <f t="shared" si="184"/>
        <v>29</v>
      </c>
      <c r="BC267" s="9" t="str">
        <f t="shared" si="185"/>
        <v>-</v>
      </c>
      <c r="BD267" s="3">
        <f t="shared" si="186"/>
        <v>29</v>
      </c>
      <c r="BE267" s="3">
        <f t="shared" si="187"/>
        <v>43</v>
      </c>
    </row>
    <row r="268" spans="1:58" s="3" customFormat="1" x14ac:dyDescent="0.2">
      <c r="A268" s="3" t="s">
        <v>214</v>
      </c>
      <c r="B268" s="3" t="str">
        <f>LOWER(VLOOKUP(A268,Xtal_Templ!A:B,2,FALSE))</f>
        <v>par2_human</v>
      </c>
      <c r="C268" s="3">
        <f>VLOOKUP($A268,'SegEnds_NonXtal_BW#'!$A:$Z,3,FALSE)+D268-50</f>
        <v>38</v>
      </c>
      <c r="D268" s="3">
        <v>60</v>
      </c>
      <c r="E268" s="3">
        <f>IF(ISERROR(VLOOKUP($A268,'SegEnds_NonXtal_BW#'!$A:$Z,4,FALSE)+VLOOKUP($A268,A:AL,4,FALSE)-50),"-",(VLOOKUP($A268,'SegEnds_NonXtal_BW#'!$A:$Z,4,FALSE)+VLOOKUP($A268,A:AL,4,FALSE)-50))</f>
        <v>70</v>
      </c>
      <c r="F268" s="3" t="str">
        <f>IF(ISERROR(VLOOKUP($A268,'SegEnds_NonXtal_BW#'!$A:$Z,5,FALSE)+VLOOKUP($A268,A:AL,7,FALSE)-50),"-",(VLOOKUP($A268,'SegEnds_NonXtal_BW#'!$A:$Z,5,FALSE)+VLOOKUP($A268,A:AL,7,FALSE)-50))</f>
        <v>-</v>
      </c>
      <c r="G268" s="3" t="s">
        <v>23</v>
      </c>
      <c r="H268" s="3" t="str">
        <f>IF(ISERROR(VLOOKUP($A268,'SegEnds_NonXtal_BW#'!$A:$Z,6,FALSE)+VLOOKUP($A268,A:AL,7,FALSE)-50),"-",(VLOOKUP($A268,'SegEnds_NonXtal_BW#'!$A:$Z,6,FALSE)+VLOOKUP($A268,A:AL,7,FALSE)-50))</f>
        <v>-</v>
      </c>
      <c r="I268" s="3">
        <f>VLOOKUP($A268,'SegEnds_NonXtal_BW#'!$A:$Z,7,FALSE)+J268-50</f>
        <v>75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107</v>
      </c>
      <c r="M268" s="3">
        <v>108</v>
      </c>
      <c r="N268" s="3">
        <f>M268+2</f>
        <v>110</v>
      </c>
      <c r="O268" s="3">
        <f>N268+1</f>
        <v>111</v>
      </c>
      <c r="P268" s="3">
        <v>140</v>
      </c>
      <c r="Q268" s="3">
        <f>VLOOKUP($A268,'SegEnds_NonXtal_BW#'!$A:$Z,12,FALSE)+VLOOKUP($A268,A:AL,16,FALSE)-50</f>
        <v>146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155</v>
      </c>
      <c r="V268" s="3">
        <v>167</v>
      </c>
      <c r="W268" s="3">
        <f>IF(ISERROR(VLOOKUP($A268,'SegEnds_NonXtal_BW#'!$A:$Z,16,FALSE)+VLOOKUP($A268,A:AL,22,FALSE)-50),"-",(VLOOKUP($A268,'SegEnds_NonXtal_BW#'!$A:$Z,16,FALSE)+VLOOKUP($A268,A:AL,22,FALSE)-50))</f>
        <v>179</v>
      </c>
      <c r="X268" s="3">
        <f>IF(ISERROR(VLOOKUP($A268,'SegEnds_NonXtal_BW#'!$A:$Z,17,FALSE)+VLOOKUP($A268,A:AL,25,FALSE)-50),"-",(VLOOKUP($A268,'SegEnds_NonXtal_BW#'!$A:$Z,17,FALSE)+VLOOKUP($A268,A:AL,25,FALSE)-50))</f>
        <v>186</v>
      </c>
      <c r="Y268" s="3">
        <v>186</v>
      </c>
      <c r="Z268" s="3">
        <f t="shared" si="144"/>
        <v>188</v>
      </c>
      <c r="AA268" s="3">
        <f>IF(ISERROR(VLOOKUP($A268,'SegEnds_NonXtal_BW#'!$A:$Z,19,FALSE)+VLOOKUP($A268,A:AL,28,FALSE)-50),"-",(VLOOKUP($A268,'SegEnds_NonXtal_BW#'!$A:$Z,19,FALSE)+VLOOKUP($A268,A:AL,28,FALSE)-50))</f>
        <v>192</v>
      </c>
      <c r="AB268" s="3">
        <v>211</v>
      </c>
      <c r="AC268" s="3">
        <f>IF(ISERROR((VLOOKUP($A268,'SegEnds_NonXtal_BW#'!$A:$Z,20,FALSE)+VLOOKUP($A268,A:AL,28,FALSE)-50)),"-",(VLOOKUP($A268,'SegEnds_NonXtal_BW#'!$A:$Z,20,FALSE)+VLOOKUP($A268,A:AL,28,FALSE)-50))</f>
        <v>228</v>
      </c>
      <c r="AD268" s="3">
        <f>IF(ISERROR(VLOOKUP($A268,'SegEnds_NonXtal_BW#'!$A:$Z,21,FALSE)+VLOOKUP($A268,A:AL,31,FALSE)-50),"-",(VLOOKUP($A268,'SegEnds_NonXtal_BW#'!$A:$Z,21,FALSE)+VLOOKUP($A268,A:AL,31,FALSE)-50))</f>
        <v>233</v>
      </c>
      <c r="AE268" s="3">
        <v>257</v>
      </c>
      <c r="AF268" s="3">
        <f>IF(ISERROR((VLOOKUP($A268,'SegEnds_NonXtal_BW#'!$A:$Z,22,FALSE)+VLOOKUP($A268,A:AL,31,FALSE)-50)),"-",(VLOOKUP($A268,'SegEnds_NonXtal_BW#'!$A:$Z,22,FALSE)+VLOOKUP($A268,A:AL,31,FALSE)-50))</f>
        <v>271</v>
      </c>
      <c r="AG268" s="3">
        <f>IF(ISERROR(VLOOKUP($A268,'SegEnds_NonXtal_BW#'!$A:$Z,23,FALSE)+VLOOKUP($A268,A:AL,34,FALSE)-50),"-",(VLOOKUP($A268,'SegEnds_NonXtal_BW#'!$A:$Z,23,FALSE)+VLOOKUP($A268,A:AL,34,FALSE)-50))</f>
        <v>279</v>
      </c>
      <c r="AH268" s="3">
        <v>305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312</v>
      </c>
      <c r="AK268" s="3">
        <v>315</v>
      </c>
      <c r="AL268" s="3">
        <f>IF(ISERROR((VLOOKUP($A268,'SegEnds_NonXtal_BW#'!$A:$Z,26,FALSE)+VLOOKUP($A268,A:AL,37,FALSE)-50)),"-",(VLOOKUP($A268,'SegEnds_NonXtal_BW#'!$A:$Z,26,FALSE)+VLOOKUP($A268,A:AL,37,FALSE)-50))</f>
        <v>326</v>
      </c>
      <c r="AM268" s="28" t="str">
        <f>VLOOKUP(A268,Classification!A:B,2,FALSE)</f>
        <v>A</v>
      </c>
      <c r="AN268" s="28" t="b">
        <f t="shared" si="188"/>
        <v>1</v>
      </c>
      <c r="AO268" s="3" t="str">
        <f>IF(ISERROR(MATCH(A268,'SegEnds_Xtal_Prot#'!B:B, 0)), "NoXtal", "Xtal")</f>
        <v>NoXtal</v>
      </c>
      <c r="AP268" s="3" t="str">
        <f t="shared" si="173"/>
        <v>-</v>
      </c>
      <c r="AQ268" s="3" t="str">
        <f t="shared" si="174"/>
        <v>-</v>
      </c>
      <c r="AR268" s="3">
        <f t="shared" si="175"/>
        <v>3</v>
      </c>
      <c r="AS268" s="3">
        <f t="shared" si="176"/>
        <v>1</v>
      </c>
      <c r="AT268" s="3" t="str">
        <f t="shared" si="177"/>
        <v>-</v>
      </c>
      <c r="AU268" s="3" t="str">
        <f t="shared" si="178"/>
        <v>-</v>
      </c>
      <c r="AV268" s="3">
        <f t="shared" si="179"/>
        <v>7</v>
      </c>
      <c r="AW268" s="3">
        <f t="shared" si="180"/>
        <v>4</v>
      </c>
      <c r="AX268" s="3">
        <f t="shared" si="181"/>
        <v>5</v>
      </c>
      <c r="AY268" s="3">
        <f t="shared" si="182"/>
        <v>8</v>
      </c>
      <c r="AZ268" s="3">
        <f t="shared" si="183"/>
        <v>1</v>
      </c>
      <c r="BA268" s="3">
        <f>IF(ISERROR(LEN(VLOOKUP(A268,Seqs!A:E,2,FALSE))-AL268),"-",LEN(VLOOKUP(A268,Seqs!A:E,2,FALSE))-AL268)</f>
        <v>54</v>
      </c>
      <c r="BB268" s="16">
        <f t="shared" si="184"/>
        <v>28</v>
      </c>
      <c r="BC268" s="9" t="str">
        <f t="shared" si="185"/>
        <v>-</v>
      </c>
      <c r="BD268" s="3">
        <f t="shared" si="186"/>
        <v>28</v>
      </c>
      <c r="BE268" s="3">
        <f t="shared" si="187"/>
        <v>46</v>
      </c>
    </row>
    <row r="269" spans="1:58" s="3" customFormat="1" x14ac:dyDescent="0.2">
      <c r="A269" s="3" t="s">
        <v>215</v>
      </c>
      <c r="B269" s="3" t="str">
        <f>LOWER(VLOOKUP(A269,Xtal_Templ!A:B,2,FALSE))</f>
        <v>mtr1a_human</v>
      </c>
      <c r="C269" s="3">
        <f>VLOOKUP($A269,'SegEnds_NonXtal_BW#'!$A:$Z,3,FALSE)+D269-50</f>
        <v>99</v>
      </c>
      <c r="D269" s="3">
        <v>121</v>
      </c>
      <c r="E269" s="3">
        <f>IF(ISERROR(VLOOKUP($A269,'SegEnds_NonXtal_BW#'!$A:$Z,4,FALSE)+VLOOKUP($A269,A:AL,4,FALSE)-50),"-",(VLOOKUP($A269,'SegEnds_NonXtal_BW#'!$A:$Z,4,FALSE)+VLOOKUP($A269,A:AL,4,FALSE)-50))</f>
        <v>131</v>
      </c>
      <c r="F269" s="3">
        <f>G269-2</f>
        <v>132</v>
      </c>
      <c r="G269" s="3">
        <v>134</v>
      </c>
      <c r="H269" s="3">
        <f>G269+1</f>
        <v>135</v>
      </c>
      <c r="I269" s="3">
        <f>H269+1</f>
        <v>136</v>
      </c>
      <c r="J269" s="3">
        <v>149</v>
      </c>
      <c r="K269" s="3">
        <f>VLOOKUP($A269,'SegEnds_NonXtal_BW#'!$A:$Z,8,FALSE)+VLOOKUP($A269,A:AL,10,FALSE)-50</f>
        <v>167</v>
      </c>
      <c r="L269" s="3" t="str">
        <f>IF(ISERROR(VLOOKUP($A269,'SegEnds_NonXtal_BW#'!$A:$Z,9,FALSE)+VLOOKUP($A269,A:AL,13,FALSE)-50),"-",(VLOOKUP($A269,'SegEnds_NonXtal_BW#'!$A:$Z,9,FALSE)+VLOOKUP($A269,A:AL,13,FALSE)-50))</f>
        <v>-</v>
      </c>
      <c r="M269" s="3" t="s">
        <v>23</v>
      </c>
      <c r="N269" s="3" t="str">
        <f>IF(ISERROR(VLOOKUP($A269,'SegEnds_NonXtal_BW#'!$A:$Z,10,FALSE)+VLOOKUP($A269,A:AL,13,FALSE)-50),"-",(VLOOKUP($A269,'SegEnds_NonXtal_BW#'!$A:$Z,10,FALSE)+VLOOKUP($A269,A:AL,13,FALSE)-50))</f>
        <v>-</v>
      </c>
      <c r="O269" s="3">
        <f>VLOOKUP($A269,'SegEnds_NonXtal_BW#'!$A:$Z,11,FALSE)+VLOOKUP($A269,A:AL,16,FALSE)-50</f>
        <v>177</v>
      </c>
      <c r="P269" s="3">
        <v>209</v>
      </c>
      <c r="Q269" s="3">
        <f>VLOOKUP($A269,'SegEnds_NonXtal_BW#'!$A:$Z,12,FALSE)+VLOOKUP($A269,A:AL,16,FALSE)-50</f>
        <v>215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222</v>
      </c>
      <c r="V269" s="3">
        <v>234</v>
      </c>
      <c r="W269" s="3">
        <f>IF(ISERROR(VLOOKUP($A269,'SegEnds_NonXtal_BW#'!$A:$Z,16,FALSE)+VLOOKUP($A269,A:AL,22,FALSE)-50),"-",(VLOOKUP($A269,'SegEnds_NonXtal_BW#'!$A:$Z,16,FALSE)+VLOOKUP($A269,A:AL,22,FALSE)-50))</f>
        <v>248</v>
      </c>
      <c r="X269" s="3">
        <f>IF(ISERROR(VLOOKUP($A269,'SegEnds_NonXtal_BW#'!$A:$Z,17,FALSE)+VLOOKUP($A269,A:AL,25,FALSE)-50),"-",(VLOOKUP($A269,'SegEnds_NonXtal_BW#'!$A:$Z,17,FALSE)+VLOOKUP($A269,A:AL,25,FALSE)-50))</f>
        <v>262</v>
      </c>
      <c r="Y269" s="3">
        <v>262</v>
      </c>
      <c r="Z269" s="3">
        <f t="shared" si="144"/>
        <v>264</v>
      </c>
      <c r="AA269" s="3">
        <f>IF(ISERROR(VLOOKUP($A269,'SegEnds_NonXtal_BW#'!$A:$Z,19,FALSE)+VLOOKUP($A269,A:AL,28,FALSE)-50),"-",(VLOOKUP($A269,'SegEnds_NonXtal_BW#'!$A:$Z,19,FALSE)+VLOOKUP($A269,A:AL,28,FALSE)-50))</f>
        <v>274</v>
      </c>
      <c r="AB269" s="3">
        <v>289</v>
      </c>
      <c r="AC269" s="3">
        <f>IF(ISERROR((VLOOKUP($A269,'SegEnds_NonXtal_BW#'!$A:$Z,20,FALSE)+VLOOKUP($A269,A:AL,28,FALSE)-50)),"-",(VLOOKUP($A269,'SegEnds_NonXtal_BW#'!$A:$Z,20,FALSE)+VLOOKUP($A269,A:AL,28,FALSE)-50))</f>
        <v>312</v>
      </c>
      <c r="AD269" s="3">
        <f>IF(ISERROR(VLOOKUP($A269,'SegEnds_NonXtal_BW#'!$A:$Z,21,FALSE)+VLOOKUP($A269,A:AL,31,FALSE)-50),"-",(VLOOKUP($A269,'SegEnds_NonXtal_BW#'!$A:$Z,21,FALSE)+VLOOKUP($A269,A:AL,31,FALSE)-50))</f>
        <v>318</v>
      </c>
      <c r="AE269" s="3">
        <v>346</v>
      </c>
      <c r="AF269" s="3">
        <f>IF(ISERROR((VLOOKUP($A269,'SegEnds_NonXtal_BW#'!$A:$Z,22,FALSE)+VLOOKUP($A269,A:AL,31,FALSE)-50)),"-",(VLOOKUP($A269,'SegEnds_NonXtal_BW#'!$A:$Z,22,FALSE)+VLOOKUP($A269,A:AL,31,FALSE)-50))</f>
        <v>357</v>
      </c>
      <c r="AG269" s="3">
        <f>IF(ISERROR(VLOOKUP($A269,'SegEnds_NonXtal_BW#'!$A:$Z,23,FALSE)+VLOOKUP($A269,A:AL,34,FALSE)-50),"-",(VLOOKUP($A269,'SegEnds_NonXtal_BW#'!$A:$Z,23,FALSE)+VLOOKUP($A269,A:AL,34,FALSE)-50))</f>
        <v>365</v>
      </c>
      <c r="AH269" s="3">
        <v>384</v>
      </c>
      <c r="AI269" s="3">
        <f>IF(ISERROR((VLOOKUP($A269,'SegEnds_NonXtal_BW#'!$A:$Z,24,FALSE)+VLOOKUP($A269,A:AL,34,FALSE)-50)),"-",(VLOOKUP($A269,'SegEnds_NonXtal_BW#'!$A:$Z,24,FALSE)+VLOOKUP($A269,A:AL,34,FALSE)-50))</f>
        <v>390</v>
      </c>
      <c r="AJ269" s="3">
        <f>IF(ISERROR(VLOOKUP($A269,'SegEnds_NonXtal_BW#'!$A:$Z,25,FALSE)+VLOOKUP($A269,A:AL,37,FALSE)-50),"-",(VLOOKUP($A269,'SegEnds_NonXtal_BW#'!$A:$Z,25,FALSE)+VLOOKUP($A269,A:AL,37,FALSE)-50))</f>
        <v>391</v>
      </c>
      <c r="AK269" s="3">
        <v>394</v>
      </c>
      <c r="AL269" s="3">
        <f>IF(ISERROR((VLOOKUP($A269,'SegEnds_NonXtal_BW#'!$A:$Z,26,FALSE)+VLOOKUP($A269,A:AL,37,FALSE)-50)),"-",(VLOOKUP($A269,'SegEnds_NonXtal_BW#'!$A:$Z,26,FALSE)+VLOOKUP($A269,A:AL,37,FALSE)-50))</f>
        <v>407</v>
      </c>
      <c r="AM269" s="28" t="str">
        <f>VLOOKUP(A269,Classification!A:B,2,FALSE)</f>
        <v>A</v>
      </c>
      <c r="AN269" s="28" t="b">
        <f t="shared" si="188"/>
        <v>1</v>
      </c>
      <c r="AO269" s="3" t="str">
        <f>IF(ISERROR(MATCH(A269,'SegEnds_Xtal_Prot#'!B:B, 0)), "NoXtal", "Xtal")</f>
        <v>NoXtal</v>
      </c>
      <c r="AP269" s="3">
        <f t="shared" si="173"/>
        <v>1</v>
      </c>
      <c r="AQ269" s="3">
        <f t="shared" si="174"/>
        <v>1</v>
      </c>
      <c r="AR269" s="3" t="str">
        <f t="shared" si="175"/>
        <v>-</v>
      </c>
      <c r="AS269" s="3" t="str">
        <f t="shared" si="176"/>
        <v>-</v>
      </c>
      <c r="AT269" s="3" t="str">
        <f t="shared" si="177"/>
        <v>-</v>
      </c>
      <c r="AU269" s="3" t="str">
        <f t="shared" si="178"/>
        <v>-</v>
      </c>
      <c r="AV269" s="3">
        <f t="shared" si="179"/>
        <v>14</v>
      </c>
      <c r="AW269" s="3">
        <f t="shared" si="180"/>
        <v>10</v>
      </c>
      <c r="AX269" s="3">
        <f t="shared" si="181"/>
        <v>6</v>
      </c>
      <c r="AY269" s="3">
        <f t="shared" si="182"/>
        <v>8</v>
      </c>
      <c r="AZ269" s="3">
        <f t="shared" si="183"/>
        <v>1</v>
      </c>
      <c r="BA269" s="3">
        <f>IF(ISERROR(LEN(VLOOKUP(A269,Seqs!A:E,2,FALSE))-AL269),"-",LEN(VLOOKUP(A269,Seqs!A:E,2,FALSE))-AL269)</f>
        <v>87</v>
      </c>
      <c r="BB269" s="16">
        <f t="shared" si="184"/>
        <v>28</v>
      </c>
      <c r="BC269" s="9" t="str">
        <f t="shared" si="185"/>
        <v>-</v>
      </c>
      <c r="BD269" s="3">
        <f t="shared" si="186"/>
        <v>28</v>
      </c>
      <c r="BE269" s="3">
        <f t="shared" si="187"/>
        <v>57</v>
      </c>
    </row>
    <row r="270" spans="1:58" s="3" customFormat="1" x14ac:dyDescent="0.2">
      <c r="A270" s="3" t="s">
        <v>219</v>
      </c>
      <c r="B270" s="3" t="str">
        <f>LOWER(VLOOKUP(A270,Xtal_Templ!A:B,2,FALSE))</f>
        <v>fpr2_human</v>
      </c>
      <c r="C270" s="3">
        <f>VLOOKUP($A270,'SegEnds_NonXtal_BW#'!$A:$Z,3,FALSE)+D270-50</f>
        <v>20</v>
      </c>
      <c r="D270" s="3">
        <v>45</v>
      </c>
      <c r="E270" s="3">
        <f>IF(ISERROR(VLOOKUP($A270,'SegEnds_NonXtal_BW#'!$A:$Z,4,FALSE)+VLOOKUP($A270,A:AL,4,FALSE)-50),"-",(VLOOKUP($A270,'SegEnds_NonXtal_BW#'!$A:$Z,4,FALSE)+VLOOKUP($A270,A:AL,4,FALSE)-50))</f>
        <v>56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65</v>
      </c>
      <c r="J270" s="3">
        <v>78</v>
      </c>
      <c r="K270" s="3">
        <f>VLOOKUP($A270,'SegEnds_NonXtal_BW#'!$A:$Z,8,FALSE)+VLOOKUP($A270,A:AL,10,FALSE)-50</f>
        <v>91</v>
      </c>
      <c r="L270" s="3">
        <f>M270-1</f>
        <v>94</v>
      </c>
      <c r="M270" s="3">
        <v>95</v>
      </c>
      <c r="N270" s="3">
        <f>M270+2</f>
        <v>97</v>
      </c>
      <c r="O270" s="3">
        <f>N270+1</f>
        <v>98</v>
      </c>
      <c r="P270" s="3">
        <v>127</v>
      </c>
      <c r="Q270" s="3">
        <f>VLOOKUP($A270,'SegEnds_NonXtal_BW#'!$A:$Z,12,FALSE)+VLOOKUP($A270,A:AL,16,FALSE)-50</f>
        <v>133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140</v>
      </c>
      <c r="V270" s="3">
        <v>152</v>
      </c>
      <c r="W270" s="3">
        <f>IF(ISERROR(VLOOKUP($A270,'SegEnds_NonXtal_BW#'!$A:$Z,16,FALSE)+VLOOKUP($A270,A:AL,22,FALSE)-50),"-",(VLOOKUP($A270,'SegEnds_NonXtal_BW#'!$A:$Z,16,FALSE)+VLOOKUP($A270,A:AL,22,FALSE)-50))</f>
        <v>166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172</v>
      </c>
      <c r="AB270" s="3">
        <v>199</v>
      </c>
      <c r="AC270" s="3">
        <f>IF(ISERROR((VLOOKUP($A270,'SegEnds_NonXtal_BW#'!$A:$Z,20,FALSE)+VLOOKUP($A270,A:AL,28,FALSE)-50)),"-",(VLOOKUP($A270,'SegEnds_NonXtal_BW#'!$A:$Z,20,FALSE)+VLOOKUP($A270,A:AL,28,FALSE)-50))</f>
        <v>217</v>
      </c>
      <c r="AD270" s="3">
        <f>IF(ISERROR(VLOOKUP($A270,'SegEnds_NonXtal_BW#'!$A:$Z,21,FALSE)+VLOOKUP($A270,A:AL,31,FALSE)-50),"-",(VLOOKUP($A270,'SegEnds_NonXtal_BW#'!$A:$Z,21,FALSE)+VLOOKUP($A270,A:AL,31,FALSE)-50))</f>
        <v>222</v>
      </c>
      <c r="AE270" s="3">
        <v>248</v>
      </c>
      <c r="AF270" s="3">
        <f>IF(ISERROR((VLOOKUP($A270,'SegEnds_NonXtal_BW#'!$A:$Z,22,FALSE)+VLOOKUP($A270,A:AL,31,FALSE)-50)),"-",(VLOOKUP($A270,'SegEnds_NonXtal_BW#'!$A:$Z,22,FALSE)+VLOOKUP($A270,A:AL,31,FALSE)-50))</f>
        <v>262</v>
      </c>
      <c r="AG270" s="3">
        <f>IF(ISERROR(VLOOKUP($A270,'SegEnds_NonXtal_BW#'!$A:$Z,23,FALSE)+VLOOKUP($A270,A:AL,34,FALSE)-50),"-",(VLOOKUP($A270,'SegEnds_NonXtal_BW#'!$A:$Z,23,FALSE)+VLOOKUP($A270,A:AL,34,FALSE)-50))</f>
        <v>267</v>
      </c>
      <c r="AH270" s="3">
        <v>293</v>
      </c>
      <c r="AI270" s="3">
        <f>IF(ISERROR((VLOOKUP($A270,'SegEnds_NonXtal_BW#'!$A:$Z,24,FALSE)+VLOOKUP($A270,A:AL,34,FALSE)-50)),"-",(VLOOKUP($A270,'SegEnds_NonXtal_BW#'!$A:$Z,24,FALSE)+VLOOKUP($A270,A:AL,34,FALSE)-50))</f>
        <v>299</v>
      </c>
      <c r="AJ270" s="3">
        <f>IF(ISERROR(VLOOKUP($A270,'SegEnds_NonXtal_BW#'!$A:$Z,25,FALSE)+VLOOKUP($A270,A:AL,37,FALSE)-50),"-",(VLOOKUP($A270,'SegEnds_NonXtal_BW#'!$A:$Z,25,FALSE)+VLOOKUP($A270,A:AL,37,FALSE)-50))</f>
        <v>300</v>
      </c>
      <c r="AK270" s="3">
        <v>303</v>
      </c>
      <c r="AL270" s="3">
        <f>IF(ISERROR((VLOOKUP($A270,'SegEnds_NonXtal_BW#'!$A:$Z,26,FALSE)+VLOOKUP($A270,A:AL,37,FALSE)-50)),"-",(VLOOKUP($A270,'SegEnds_NonXtal_BW#'!$A:$Z,26,FALSE)+VLOOKUP($A270,A:AL,37,FALSE)-50))</f>
        <v>311</v>
      </c>
      <c r="AM270" s="28" t="str">
        <f>VLOOKUP(A270,Classification!A:B,2,FALSE)</f>
        <v>A</v>
      </c>
      <c r="AN270" s="28" t="b">
        <f t="shared" si="188"/>
        <v>1</v>
      </c>
      <c r="AO270" s="3" t="str">
        <f>IF(ISERROR(MATCH(A270,'SegEnds_Xtal_Prot#'!B:B, 0)), "NoXtal", "Xtal")</f>
        <v>NoXtal</v>
      </c>
      <c r="AP270" s="3" t="str">
        <f t="shared" si="173"/>
        <v>-</v>
      </c>
      <c r="AQ270" s="3" t="str">
        <f t="shared" si="174"/>
        <v>-</v>
      </c>
      <c r="AR270" s="3">
        <f t="shared" si="175"/>
        <v>3</v>
      </c>
      <c r="AS270" s="3">
        <f t="shared" si="176"/>
        <v>1</v>
      </c>
      <c r="AT270" s="3" t="str">
        <f t="shared" si="177"/>
        <v>-</v>
      </c>
      <c r="AU270" s="3" t="str">
        <f t="shared" si="178"/>
        <v>-</v>
      </c>
      <c r="AV270" s="3" t="str">
        <f t="shared" si="179"/>
        <v>-</v>
      </c>
      <c r="AW270" s="3" t="str">
        <f t="shared" si="180"/>
        <v>-</v>
      </c>
      <c r="AX270" s="3">
        <f t="shared" si="181"/>
        <v>5</v>
      </c>
      <c r="AY270" s="3">
        <f t="shared" si="182"/>
        <v>5</v>
      </c>
      <c r="AZ270" s="3">
        <f t="shared" si="183"/>
        <v>1</v>
      </c>
      <c r="BA270" s="3">
        <f>IF(ISERROR(LEN(VLOOKUP(A270,Seqs!A:E,2,FALSE))-AL270),"-",LEN(VLOOKUP(A270,Seqs!A:E,2,FALSE))-AL270)</f>
        <v>22</v>
      </c>
      <c r="BB270" s="16">
        <f t="shared" si="184"/>
        <v>33</v>
      </c>
      <c r="BC270" s="9" t="str">
        <f t="shared" si="185"/>
        <v>-</v>
      </c>
      <c r="BD270" s="3">
        <f t="shared" si="186"/>
        <v>33</v>
      </c>
      <c r="BE270" s="3">
        <f t="shared" si="187"/>
        <v>49</v>
      </c>
      <c r="BF270" s="3">
        <f>AH270-AE270</f>
        <v>45</v>
      </c>
    </row>
    <row r="271" spans="1:58" s="3" customFormat="1" x14ac:dyDescent="0.2">
      <c r="A271" s="3" t="s">
        <v>221</v>
      </c>
      <c r="B271" s="3" t="str">
        <f>LOWER(VLOOKUP(A271,Xtal_Templ!A:B,2,FALSE))</f>
        <v>s1pr1_human</v>
      </c>
      <c r="C271" s="3">
        <f>VLOOKUP($A271,'SegEnds_NonXtal_BW#'!$A:$Z,3,FALSE)+D271-50</f>
        <v>12</v>
      </c>
      <c r="D271" s="3">
        <v>33</v>
      </c>
      <c r="E271" s="3">
        <f>IF(ISERROR(VLOOKUP($A271,'SegEnds_NonXtal_BW#'!$A:$Z,4,FALSE)+VLOOKUP($A271,A:AL,4,FALSE)-50),"-",(VLOOKUP($A271,'SegEnds_NonXtal_BW#'!$A:$Z,4,FALSE)+VLOOKUP($A271,A:AL,4,FALSE)-50))</f>
        <v>43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49</v>
      </c>
      <c r="J271" s="3">
        <v>62</v>
      </c>
      <c r="K271" s="3">
        <f>VLOOKUP($A271,'SegEnds_NonXtal_BW#'!$A:$Z,8,FALSE)+VLOOKUP($A271,A:AL,10,FALSE)-50</f>
        <v>79</v>
      </c>
      <c r="L271" s="3">
        <f>M271-1</f>
        <v>87</v>
      </c>
      <c r="M271" s="3">
        <v>88</v>
      </c>
      <c r="N271" s="3">
        <f>M271+2</f>
        <v>90</v>
      </c>
      <c r="O271" s="3">
        <f>N271+1</f>
        <v>91</v>
      </c>
      <c r="P271" s="3">
        <v>131</v>
      </c>
      <c r="Q271" s="3">
        <f>VLOOKUP($A271,'SegEnds_NonXtal_BW#'!$A:$Z,12,FALSE)+VLOOKUP($A271,A:AL,16,FALSE)-50</f>
        <v>137</v>
      </c>
      <c r="R271" s="3" t="str">
        <f>S271</f>
        <v>-</v>
      </c>
      <c r="S271" s="3" t="s">
        <v>23</v>
      </c>
      <c r="T271" s="100" t="s">
        <v>23</v>
      </c>
      <c r="U271" s="9">
        <f>IF(ISERROR(VLOOKUP($A271,'SegEnds_NonXtal_BW#'!$A:$Z,15,FALSE)+VLOOKUP($A271,A:AL,22,FALSE)-50),"-",VLOOKUP($A271,'SegEnds_NonXtal_BW#'!$A:$Z,15,FALSE)+VLOOKUP($A271,A:AL,22,FALSE)-50)</f>
        <v>146</v>
      </c>
      <c r="V271" s="3">
        <v>158</v>
      </c>
      <c r="W271" s="3">
        <f>IF(ISERROR(VLOOKUP($A271,'SegEnds_NonXtal_BW#'!$A:$Z,16,FALSE)+VLOOKUP($A271,A:AL,22,FALSE)-50),"-",(VLOOKUP($A271,'SegEnds_NonXtal_BW#'!$A:$Z,16,FALSE)+VLOOKUP($A271,A:AL,22,FALSE)-50))</f>
        <v>171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197</v>
      </c>
      <c r="AB271" s="3">
        <v>211</v>
      </c>
      <c r="AC271" s="3">
        <f>IF(ISERROR((VLOOKUP($A271,'SegEnds_NonXtal_BW#'!$A:$Z,20,FALSE)+VLOOKUP($A271,A:AL,28,FALSE)-50)),"-",(VLOOKUP($A271,'SegEnds_NonXtal_BW#'!$A:$Z,20,FALSE)+VLOOKUP($A271,A:AL,28,FALSE)-50))</f>
        <v>237</v>
      </c>
      <c r="AD271" s="3">
        <f>IF(ISERROR(VLOOKUP($A271,'SegEnds_NonXtal_BW#'!$A:$Z,21,FALSE)+VLOOKUP($A271,A:AL,31,FALSE)-50),"-",(VLOOKUP($A271,'SegEnds_NonXtal_BW#'!$A:$Z,21,FALSE)+VLOOKUP($A271,A:AL,31,FALSE)-50))</f>
        <v>299</v>
      </c>
      <c r="AE271" s="3">
        <v>325</v>
      </c>
      <c r="AF271" s="3">
        <f>IF(ISERROR((VLOOKUP($A271,'SegEnds_NonXtal_BW#'!$A:$Z,22,FALSE)+VLOOKUP($A271,A:AL,31,FALSE)-50)),"-",(VLOOKUP($A271,'SegEnds_NonXtal_BW#'!$A:$Z,22,FALSE)+VLOOKUP($A271,A:AL,31,FALSE)-50))</f>
        <v>336</v>
      </c>
      <c r="AG271" s="3">
        <f>IF(ISERROR(VLOOKUP($A271,'SegEnds_NonXtal_BW#'!$A:$Z,23,FALSE)+VLOOKUP($A271,A:AL,34,FALSE)-50),"-",(VLOOKUP($A271,'SegEnds_NonXtal_BW#'!$A:$Z,23,FALSE)+VLOOKUP($A271,A:AL,34,FALSE)-50))</f>
        <v>341</v>
      </c>
      <c r="AH271" s="3">
        <v>359</v>
      </c>
      <c r="AI271" s="3">
        <f>IF(ISERROR((VLOOKUP($A271,'SegEnds_NonXtal_BW#'!$A:$Z,24,FALSE)+VLOOKUP($A271,A:AL,34,FALSE)-50)),"-",(VLOOKUP($A271,'SegEnds_NonXtal_BW#'!$A:$Z,24,FALSE)+VLOOKUP($A271,A:AL,34,FALSE)-50))</f>
        <v>365</v>
      </c>
      <c r="AJ271" s="3">
        <f>IF(ISERROR(VLOOKUP($A271,'SegEnds_NonXtal_BW#'!$A:$Z,25,FALSE)+VLOOKUP($A271,A:AL,37,FALSE)-50),"-",(VLOOKUP($A271,'SegEnds_NonXtal_BW#'!$A:$Z,25,FALSE)+VLOOKUP($A271,A:AL,37,FALSE)-50))</f>
        <v>366</v>
      </c>
      <c r="AK271" s="3">
        <v>369</v>
      </c>
      <c r="AL271" s="3">
        <f>IF(ISERROR((VLOOKUP($A271,'SegEnds_NonXtal_BW#'!$A:$Z,26,FALSE)+VLOOKUP($A271,A:AL,37,FALSE)-50)),"-",(VLOOKUP($A271,'SegEnds_NonXtal_BW#'!$A:$Z,26,FALSE)+VLOOKUP($A271,A:AL,37,FALSE)-50))</f>
        <v>378</v>
      </c>
      <c r="AM271" s="28" t="str">
        <f>VLOOKUP(A271,Classification!A:B,2,FALSE)</f>
        <v>A</v>
      </c>
      <c r="AN271" s="28" t="b">
        <f t="shared" si="188"/>
        <v>1</v>
      </c>
      <c r="AO271" s="3" t="str">
        <f>IF(ISERROR(MATCH(A271,'SegEnds_Xtal_Prot#'!B:B, 0)), "NoXtal", "Xtal")</f>
        <v>NoXtal</v>
      </c>
      <c r="AP271" s="3" t="str">
        <f t="shared" si="173"/>
        <v>-</v>
      </c>
      <c r="AQ271" s="3" t="str">
        <f t="shared" si="174"/>
        <v>-</v>
      </c>
      <c r="AR271" s="3">
        <f t="shared" si="175"/>
        <v>8</v>
      </c>
      <c r="AS271" s="3">
        <f t="shared" si="176"/>
        <v>1</v>
      </c>
      <c r="AT271" s="3" t="str">
        <f t="shared" si="177"/>
        <v>-</v>
      </c>
      <c r="AU271" s="3" t="str">
        <f t="shared" si="178"/>
        <v>-</v>
      </c>
      <c r="AV271" s="3" t="str">
        <f t="shared" si="179"/>
        <v>-</v>
      </c>
      <c r="AW271" s="3" t="str">
        <f t="shared" si="180"/>
        <v>-</v>
      </c>
      <c r="AX271" s="3">
        <f t="shared" si="181"/>
        <v>62</v>
      </c>
      <c r="AY271" s="3">
        <f t="shared" si="182"/>
        <v>5</v>
      </c>
      <c r="AZ271" s="3">
        <f t="shared" si="183"/>
        <v>1</v>
      </c>
      <c r="BA271" s="3">
        <f>IF(ISERROR(LEN(VLOOKUP(A271,Seqs!A:E,2,FALSE))-AL271),"-",LEN(VLOOKUP(A271,Seqs!A:E,2,FALSE))-AL271)</f>
        <v>353</v>
      </c>
      <c r="BB271" s="16">
        <f t="shared" si="184"/>
        <v>29</v>
      </c>
      <c r="BC271" s="9" t="str">
        <f t="shared" si="185"/>
        <v>-</v>
      </c>
      <c r="BD271" s="3">
        <f t="shared" si="186"/>
        <v>29</v>
      </c>
      <c r="BE271" s="3">
        <f t="shared" si="187"/>
        <v>114</v>
      </c>
    </row>
    <row r="272" spans="1:58" s="3" customFormat="1" x14ac:dyDescent="0.2">
      <c r="A272" s="3" t="s">
        <v>222</v>
      </c>
      <c r="B272" s="3" t="str">
        <f>LOWER(VLOOKUP(A272,Xtal_Templ!A:B,2,FALSE))</f>
        <v>cxcr4_human</v>
      </c>
      <c r="C272" s="3">
        <f>VLOOKUP($A272,'SegEnds_NonXtal_BW#'!$A:$Z,3,FALSE)+D272-50</f>
        <v>34</v>
      </c>
      <c r="D272" s="3">
        <v>60</v>
      </c>
      <c r="E272" s="3">
        <f>IF(ISERROR(VLOOKUP($A272,'SegEnds_NonXtal_BW#'!$A:$Z,4,FALSE)+VLOOKUP($A272,A:AL,4,FALSE)-50),"-",(VLOOKUP($A272,'SegEnds_NonXtal_BW#'!$A:$Z,4,FALSE)+VLOOKUP($A272,A:AL,4,FALSE)-50))</f>
        <v>70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80</v>
      </c>
      <c r="J272" s="3">
        <v>93</v>
      </c>
      <c r="K272" s="3">
        <f>VLOOKUP($A272,'SegEnds_NonXtal_BW#'!$A:$Z,8,FALSE)+VLOOKUP($A272,A:AL,10,FALSE)-50</f>
        <v>109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115</v>
      </c>
      <c r="P272" s="3">
        <v>147</v>
      </c>
      <c r="Q272" s="3">
        <f>VLOOKUP($A272,'SegEnds_NonXtal_BW#'!$A:$Z,12,FALSE)+VLOOKUP($A272,A:AL,16,FALSE)-50</f>
        <v>153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157</v>
      </c>
      <c r="V272" s="3">
        <v>169</v>
      </c>
      <c r="W272" s="3">
        <f>IF(ISERROR(VLOOKUP($A272,'SegEnds_NonXtal_BW#'!$A:$Z,16,FALSE)+VLOOKUP($A272,A:AL,22,FALSE)-50),"-",(VLOOKUP($A272,'SegEnds_NonXtal_BW#'!$A:$Z,16,FALSE)+VLOOKUP($A272,A:AL,22,FALSE)-50))</f>
        <v>183</v>
      </c>
      <c r="X272" s="3">
        <f>IF(ISERROR(VLOOKUP($A272,'SegEnds_NonXtal_BW#'!$A:$Z,17,FALSE)+VLOOKUP($A272,A:AL,25,FALSE)-50),"-",(VLOOKUP($A272,'SegEnds_NonXtal_BW#'!$A:$Z,17,FALSE)+VLOOKUP($A272,A:AL,25,FALSE)-50))</f>
        <v>217</v>
      </c>
      <c r="Y272" s="3">
        <v>217</v>
      </c>
      <c r="Z272" s="3">
        <f t="shared" ref="Z272:Z291" si="190">Y272+2</f>
        <v>219</v>
      </c>
      <c r="AA272" s="3">
        <f>IF(ISERROR(VLOOKUP($A272,'SegEnds_NonXtal_BW#'!$A:$Z,19,FALSE)+VLOOKUP($A272,A:AL,28,FALSE)-50),"-",(VLOOKUP($A272,'SegEnds_NonXtal_BW#'!$A:$Z,19,FALSE)+VLOOKUP($A272,A:AL,28,FALSE)-50))</f>
        <v>226</v>
      </c>
      <c r="AB272" s="3">
        <v>244</v>
      </c>
      <c r="AC272" s="3">
        <f>IF(ISERROR((VLOOKUP($A272,'SegEnds_NonXtal_BW#'!$A:$Z,20,FALSE)+VLOOKUP($A272,A:AL,28,FALSE)-50)),"-",(VLOOKUP($A272,'SegEnds_NonXtal_BW#'!$A:$Z,20,FALSE)+VLOOKUP($A272,A:AL,28,FALSE)-50))</f>
        <v>268</v>
      </c>
      <c r="AD272" s="3">
        <f>IF(ISERROR(VLOOKUP($A272,'SegEnds_NonXtal_BW#'!$A:$Z,21,FALSE)+VLOOKUP($A272,A:AL,31,FALSE)-50),"-",(VLOOKUP($A272,'SegEnds_NonXtal_BW#'!$A:$Z,21,FALSE)+VLOOKUP($A272,A:AL,31,FALSE)-50))</f>
        <v>281</v>
      </c>
      <c r="AE272" s="3">
        <v>310</v>
      </c>
      <c r="AF272" s="3">
        <f>IF(ISERROR((VLOOKUP($A272,'SegEnds_NonXtal_BW#'!$A:$Z,22,FALSE)+VLOOKUP($A272,A:AL,31,FALSE)-50)),"-",(VLOOKUP($A272,'SegEnds_NonXtal_BW#'!$A:$Z,22,FALSE)+VLOOKUP($A272,A:AL,31,FALSE)-50))</f>
        <v>321</v>
      </c>
      <c r="AG272" s="3">
        <f>IF(ISERROR(VLOOKUP($A272,'SegEnds_NonXtal_BW#'!$A:$Z,23,FALSE)+VLOOKUP($A272,A:AL,34,FALSE)-50),"-",(VLOOKUP($A272,'SegEnds_NonXtal_BW#'!$A:$Z,23,FALSE)+VLOOKUP($A272,A:AL,34,FALSE)-50))</f>
        <v>323</v>
      </c>
      <c r="AH272" s="3">
        <v>349</v>
      </c>
      <c r="AI272" s="3">
        <f>IF(ISERROR((VLOOKUP($A272,'SegEnds_NonXtal_BW#'!$A:$Z,24,FALSE)+VLOOKUP($A272,A:AL,34,FALSE)-50)),"-",(VLOOKUP($A272,'SegEnds_NonXtal_BW#'!$A:$Z,24,FALSE)+VLOOKUP($A272,A:AL,34,FALSE)-50))</f>
        <v>355</v>
      </c>
      <c r="AJ272" s="3">
        <f>IF(ISERROR(VLOOKUP($A272,'SegEnds_NonXtal_BW#'!$A:$Z,25,FALSE)+VLOOKUP($A272,A:AL,37,FALSE)-50),"-",(VLOOKUP($A272,'SegEnds_NonXtal_BW#'!$A:$Z,25,FALSE)+VLOOKUP($A272,A:AL,37,FALSE)-50))</f>
        <v>356</v>
      </c>
      <c r="AK272" s="3">
        <v>359</v>
      </c>
      <c r="AL272" s="3">
        <f>IF(ISERROR((VLOOKUP($A272,'SegEnds_NonXtal_BW#'!$A:$Z,26,FALSE)+VLOOKUP($A272,A:AL,37,FALSE)-50)),"-",(VLOOKUP($A272,'SegEnds_NonXtal_BW#'!$A:$Z,26,FALSE)+VLOOKUP($A272,A:AL,37,FALSE)-50))</f>
        <v>368</v>
      </c>
      <c r="AM272" s="28" t="str">
        <f>VLOOKUP(A272,Classification!A:B,2,FALSE)</f>
        <v>A</v>
      </c>
      <c r="AN272" s="28" t="b">
        <f t="shared" si="188"/>
        <v>1</v>
      </c>
      <c r="AO272" s="3" t="str">
        <f>IF(ISERROR(MATCH(A272,'SegEnds_Xtal_Prot#'!B:B, 0)), "NoXtal", "Xtal")</f>
        <v>NoXtal</v>
      </c>
      <c r="AP272" s="3" t="str">
        <f t="shared" si="173"/>
        <v>-</v>
      </c>
      <c r="AQ272" s="3" t="str">
        <f t="shared" si="174"/>
        <v>-</v>
      </c>
      <c r="AR272" s="3" t="str">
        <f t="shared" si="175"/>
        <v>-</v>
      </c>
      <c r="AS272" s="3" t="str">
        <f t="shared" si="176"/>
        <v>-</v>
      </c>
      <c r="AT272" s="3" t="str">
        <f t="shared" si="177"/>
        <v>-</v>
      </c>
      <c r="AU272" s="3" t="str">
        <f t="shared" si="178"/>
        <v>-</v>
      </c>
      <c r="AV272" s="3">
        <f t="shared" si="179"/>
        <v>34</v>
      </c>
      <c r="AW272" s="3">
        <f t="shared" si="180"/>
        <v>7</v>
      </c>
      <c r="AX272" s="3">
        <f t="shared" si="181"/>
        <v>13</v>
      </c>
      <c r="AY272" s="3">
        <f t="shared" si="182"/>
        <v>2</v>
      </c>
      <c r="AZ272" s="3">
        <f t="shared" si="183"/>
        <v>1</v>
      </c>
      <c r="BA272" s="3">
        <f>IF(ISERROR(LEN(VLOOKUP(A272,Seqs!A:E,2,FALSE))-AL272),"-",LEN(VLOOKUP(A272,Seqs!A:E,2,FALSE))-AL272)</f>
        <v>66</v>
      </c>
      <c r="BB272" s="16">
        <f t="shared" si="184"/>
        <v>33</v>
      </c>
      <c r="BC272" s="9" t="str">
        <f t="shared" si="185"/>
        <v>-</v>
      </c>
      <c r="BD272" s="3">
        <f t="shared" si="186"/>
        <v>33</v>
      </c>
      <c r="BE272" s="3">
        <f t="shared" si="187"/>
        <v>66</v>
      </c>
    </row>
    <row r="273" spans="1:58" s="3" customFormat="1" x14ac:dyDescent="0.2">
      <c r="A273" s="3" t="s">
        <v>226</v>
      </c>
      <c r="B273" s="3" t="str">
        <f>LOWER(VLOOKUP(A273,Xtal_Templ!A:B,2,FALSE))</f>
        <v>p2y12_human</v>
      </c>
      <c r="C273" s="3">
        <f>VLOOKUP($A273,'SegEnds_NonXtal_BW#'!$A:$Z,3,FALSE)+D273-50</f>
        <v>17</v>
      </c>
      <c r="D273" s="3">
        <v>39</v>
      </c>
      <c r="E273" s="3">
        <f>IF(ISERROR(VLOOKUP($A273,'SegEnds_NonXtal_BW#'!$A:$Z,4,FALSE)+VLOOKUP($A273,A:AL,4,FALSE)-50),"-",(VLOOKUP($A273,'SegEnds_NonXtal_BW#'!$A:$Z,4,FALSE)+VLOOKUP($A273,A:AL,4,FALSE)-50))</f>
        <v>49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53</v>
      </c>
      <c r="J273" s="3">
        <v>66</v>
      </c>
      <c r="K273" s="3">
        <f>VLOOKUP($A273,'SegEnds_NonXtal_BW#'!$A:$Z,8,FALSE)+VLOOKUP($A273,A:AL,10,FALSE)-50</f>
        <v>82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88</v>
      </c>
      <c r="P273" s="3">
        <v>120</v>
      </c>
      <c r="Q273" s="3">
        <f>VLOOKUP($A273,'SegEnds_NonXtal_BW#'!$A:$Z,12,FALSE)+VLOOKUP($A273,A:AL,16,FALSE)-50</f>
        <v>126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135</v>
      </c>
      <c r="V273" s="3">
        <v>147</v>
      </c>
      <c r="W273" s="3">
        <f>IF(ISERROR(VLOOKUP($A273,'SegEnds_NonXtal_BW#'!$A:$Z,16,FALSE)+VLOOKUP($A273,A:AL,22,FALSE)-50),"-",(VLOOKUP($A273,'SegEnds_NonXtal_BW#'!$A:$Z,16,FALSE)+VLOOKUP($A273,A:AL,22,FALSE)-50))</f>
        <v>160</v>
      </c>
      <c r="X273" s="3">
        <f>IF(ISERROR(VLOOKUP($A273,'SegEnds_NonXtal_BW#'!$A:$Z,17,FALSE)+VLOOKUP($A273,A:AL,25,FALSE)-50),"-",(VLOOKUP($A273,'SegEnds_NonXtal_BW#'!$A:$Z,17,FALSE)+VLOOKUP($A273,A:AL,25,FALSE)-50))</f>
        <v>174</v>
      </c>
      <c r="Y273" s="3">
        <v>174</v>
      </c>
      <c r="Z273" s="3">
        <f t="shared" si="190"/>
        <v>176</v>
      </c>
      <c r="AA273" s="3">
        <f>IF(ISERROR(VLOOKUP($A273,'SegEnds_NonXtal_BW#'!$A:$Z,19,FALSE)+VLOOKUP($A273,A:AL,28,FALSE)-50),"-",(VLOOKUP($A273,'SegEnds_NonXtal_BW#'!$A:$Z,19,FALSE)+VLOOKUP($A273,A:AL,28,FALSE)-50))</f>
        <v>181</v>
      </c>
      <c r="AB273" s="3">
        <v>196</v>
      </c>
      <c r="AC273" s="3">
        <f>IF(ISERROR((VLOOKUP($A273,'SegEnds_NonXtal_BW#'!$A:$Z,20,FALSE)+VLOOKUP($A273,A:AL,28,FALSE)-50)),"-",(VLOOKUP($A273,'SegEnds_NonXtal_BW#'!$A:$Z,20,FALSE)+VLOOKUP($A273,A:AL,28,FALSE)-50))</f>
        <v>219</v>
      </c>
      <c r="AD273" s="3">
        <f>IF(ISERROR(VLOOKUP($A273,'SegEnds_NonXtal_BW#'!$A:$Z,21,FALSE)+VLOOKUP($A273,A:AL,31,FALSE)-50),"-",(VLOOKUP($A273,'SegEnds_NonXtal_BW#'!$A:$Z,21,FALSE)+VLOOKUP($A273,A:AL,31,FALSE)-50))</f>
        <v>228</v>
      </c>
      <c r="AE273" s="3">
        <v>254</v>
      </c>
      <c r="AF273" s="3">
        <f>IF(ISERROR((VLOOKUP($A273,'SegEnds_NonXtal_BW#'!$A:$Z,22,FALSE)+VLOOKUP($A273,A:AL,31,FALSE)-50)),"-",(VLOOKUP($A273,'SegEnds_NonXtal_BW#'!$A:$Z,22,FALSE)+VLOOKUP($A273,A:AL,31,FALSE)-50))</f>
        <v>265</v>
      </c>
      <c r="AG273" s="3">
        <f>IF(ISERROR(VLOOKUP($A273,'SegEnds_NonXtal_BW#'!$A:$Z,23,FALSE)+VLOOKUP($A273,A:AL,34,FALSE)-50),"-",(VLOOKUP($A273,'SegEnds_NonXtal_BW#'!$A:$Z,23,FALSE)+VLOOKUP($A273,A:AL,34,FALSE)-50))</f>
        <v>270</v>
      </c>
      <c r="AH273" s="3">
        <v>289</v>
      </c>
      <c r="AI273" s="3">
        <f>IF(ISERROR((VLOOKUP($A273,'SegEnds_NonXtal_BW#'!$A:$Z,24,FALSE)+VLOOKUP($A273,A:AL,34,FALSE)-50)),"-",(VLOOKUP($A273,'SegEnds_NonXtal_BW#'!$A:$Z,24,FALSE)+VLOOKUP($A273,A:AL,34,FALSE)-50))</f>
        <v>295</v>
      </c>
      <c r="AJ273" s="3">
        <f>IF(ISERROR(VLOOKUP($A273,'SegEnds_NonXtal_BW#'!$A:$Z,25,FALSE)+VLOOKUP($A273,A:AL,37,FALSE)-50),"-",(VLOOKUP($A273,'SegEnds_NonXtal_BW#'!$A:$Z,25,FALSE)+VLOOKUP($A273,A:AL,37,FALSE)-50))</f>
        <v>296</v>
      </c>
      <c r="AK273" s="3">
        <v>299</v>
      </c>
      <c r="AL273" s="3">
        <f>IF(ISERROR((VLOOKUP($A273,'SegEnds_NonXtal_BW#'!$A:$Z,26,FALSE)+VLOOKUP($A273,A:AL,37,FALSE)-50)),"-",(VLOOKUP($A273,'SegEnds_NonXtal_BW#'!$A:$Z,26,FALSE)+VLOOKUP($A273,A:AL,37,FALSE)-50))</f>
        <v>306</v>
      </c>
      <c r="AM273" s="28" t="str">
        <f>VLOOKUP(A273,Classification!A:B,2,FALSE)</f>
        <v>A</v>
      </c>
      <c r="AN273" s="28" t="b">
        <f t="shared" si="188"/>
        <v>1</v>
      </c>
      <c r="AO273" s="3" t="str">
        <f>IF(ISERROR(MATCH(A273,'SegEnds_Xtal_Prot#'!B:B, 0)), "NoXtal", "Xtal")</f>
        <v>NoXtal</v>
      </c>
      <c r="AP273" s="3" t="str">
        <f t="shared" si="173"/>
        <v>-</v>
      </c>
      <c r="AQ273" s="3" t="str">
        <f t="shared" si="174"/>
        <v>-</v>
      </c>
      <c r="AR273" s="3" t="str">
        <f t="shared" si="175"/>
        <v>-</v>
      </c>
      <c r="AS273" s="3" t="str">
        <f t="shared" si="176"/>
        <v>-</v>
      </c>
      <c r="AT273" s="3" t="str">
        <f t="shared" si="177"/>
        <v>-</v>
      </c>
      <c r="AU273" s="3" t="str">
        <f t="shared" si="178"/>
        <v>-</v>
      </c>
      <c r="AV273" s="3">
        <f t="shared" si="179"/>
        <v>14</v>
      </c>
      <c r="AW273" s="3">
        <f t="shared" si="180"/>
        <v>5</v>
      </c>
      <c r="AX273" s="3">
        <f t="shared" si="181"/>
        <v>9</v>
      </c>
      <c r="AY273" s="3">
        <f t="shared" si="182"/>
        <v>5</v>
      </c>
      <c r="AZ273" s="3">
        <f t="shared" si="183"/>
        <v>1</v>
      </c>
      <c r="BA273" s="3">
        <f>IF(ISERROR(LEN(VLOOKUP(A273,Seqs!A:E,2,FALSE))-AL273),"-",LEN(VLOOKUP(A273,Seqs!A:E,2,FALSE))-AL273)</f>
        <v>32</v>
      </c>
      <c r="BB273" s="16">
        <f t="shared" si="184"/>
        <v>27</v>
      </c>
      <c r="BC273" s="9" t="str">
        <f t="shared" si="185"/>
        <v>-</v>
      </c>
      <c r="BD273" s="3">
        <f t="shared" si="186"/>
        <v>27</v>
      </c>
      <c r="BE273" s="3">
        <f t="shared" si="187"/>
        <v>58</v>
      </c>
    </row>
    <row r="274" spans="1:58" s="3" customFormat="1" x14ac:dyDescent="0.2">
      <c r="A274" s="3" t="s">
        <v>232</v>
      </c>
      <c r="B274" s="3" t="str">
        <f>LOWER(VLOOKUP(A274,Xtal_Templ!A:B,2,FALSE))</f>
        <v>ox1r_human</v>
      </c>
      <c r="C274" s="3">
        <f>VLOOKUP($A274,'SegEnds_NonXtal_BW#'!$A:$Z,3,FALSE)+D274-50</f>
        <v>41</v>
      </c>
      <c r="D274" s="3">
        <v>59</v>
      </c>
      <c r="E274" s="3">
        <f>IF(ISERROR(VLOOKUP($A274,'SegEnds_NonXtal_BW#'!$A:$Z,4,FALSE)+VLOOKUP($A274,A:AL,4,FALSE)-50),"-",(VLOOKUP($A274,'SegEnds_NonXtal_BW#'!$A:$Z,4,FALSE)+VLOOKUP($A274,A:AL,4,FALSE)-50))</f>
        <v>69</v>
      </c>
      <c r="F274" s="3">
        <f>G274-2</f>
        <v>70</v>
      </c>
      <c r="G274" s="3">
        <v>72</v>
      </c>
      <c r="H274" s="3">
        <f t="shared" ref="H274:I276" si="191">G274+1</f>
        <v>73</v>
      </c>
      <c r="I274" s="3">
        <f t="shared" si="191"/>
        <v>74</v>
      </c>
      <c r="J274" s="3">
        <v>87</v>
      </c>
      <c r="K274" s="3">
        <f>VLOOKUP($A274,'SegEnds_NonXtal_BW#'!$A:$Z,8,FALSE)+VLOOKUP($A274,A:AL,10,FALSE)-50</f>
        <v>105</v>
      </c>
      <c r="L274" s="3">
        <f>M274-1</f>
        <v>108</v>
      </c>
      <c r="M274" s="3">
        <v>109</v>
      </c>
      <c r="N274" s="3">
        <f>M274+2</f>
        <v>111</v>
      </c>
      <c r="O274" s="3">
        <f>N274+1</f>
        <v>112</v>
      </c>
      <c r="P274" s="3">
        <v>142</v>
      </c>
      <c r="Q274" s="3">
        <f>VLOOKUP($A274,'SegEnds_NonXtal_BW#'!$A:$Z,12,FALSE)+VLOOKUP($A274,A:AL,16,FALSE)-50</f>
        <v>148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155</v>
      </c>
      <c r="V274" s="3">
        <v>167</v>
      </c>
      <c r="W274" s="3">
        <f>IF(ISERROR(VLOOKUP($A274,'SegEnds_NonXtal_BW#'!$A:$Z,16,FALSE)+VLOOKUP($A274,A:AL,22,FALSE)-50),"-",(VLOOKUP($A274,'SegEnds_NonXtal_BW#'!$A:$Z,16,FALSE)+VLOOKUP($A274,A:AL,22,FALSE)-50))</f>
        <v>181</v>
      </c>
      <c r="X274" s="3">
        <f>IF(ISERROR(VLOOKUP($A274,'SegEnds_NonXtal_BW#'!$A:$Z,17,FALSE)+VLOOKUP($A274,A:AL,25,FALSE)-50),"-",(VLOOKUP($A274,'SegEnds_NonXtal_BW#'!$A:$Z,17,FALSE)+VLOOKUP($A274,A:AL,25,FALSE)-50))</f>
        <v>192</v>
      </c>
      <c r="Y274" s="3">
        <v>192</v>
      </c>
      <c r="Z274" s="3">
        <f t="shared" si="190"/>
        <v>194</v>
      </c>
      <c r="AA274" s="3">
        <f>IF(ISERROR(VLOOKUP($A274,'SegEnds_NonXtal_BW#'!$A:$Z,19,FALSE)+VLOOKUP($A274,A:AL,28,FALSE)-50),"-",(VLOOKUP($A274,'SegEnds_NonXtal_BW#'!$A:$Z,19,FALSE)+VLOOKUP($A274,A:AL,28,FALSE)-50))</f>
        <v>200</v>
      </c>
      <c r="AB274" s="3">
        <v>217</v>
      </c>
      <c r="AC274" s="3">
        <f>IF(ISERROR((VLOOKUP($A274,'SegEnds_NonXtal_BW#'!$A:$Z,20,FALSE)+VLOOKUP($A274,A:AL,28,FALSE)-50)),"-",(VLOOKUP($A274,'SegEnds_NonXtal_BW#'!$A:$Z,20,FALSE)+VLOOKUP($A274,A:AL,28,FALSE)-50))</f>
        <v>241</v>
      </c>
      <c r="AD274" s="3">
        <f>IF(ISERROR(VLOOKUP($A274,'SegEnds_NonXtal_BW#'!$A:$Z,21,FALSE)+VLOOKUP($A274,A:AL,31,FALSE)-50),"-",(VLOOKUP($A274,'SegEnds_NonXtal_BW#'!$A:$Z,21,FALSE)+VLOOKUP($A274,A:AL,31,FALSE)-50))</f>
        <v>252</v>
      </c>
      <c r="AE274" s="3">
        <v>281</v>
      </c>
      <c r="AF274" s="3">
        <f>IF(ISERROR((VLOOKUP($A274,'SegEnds_NonXtal_BW#'!$A:$Z,22,FALSE)+VLOOKUP($A274,A:AL,31,FALSE)-50)),"-",(VLOOKUP($A274,'SegEnds_NonXtal_BW#'!$A:$Z,22,FALSE)+VLOOKUP($A274,A:AL,31,FALSE)-50))</f>
        <v>292</v>
      </c>
      <c r="AG274" s="3">
        <f>IF(ISERROR(VLOOKUP($A274,'SegEnds_NonXtal_BW#'!$A:$Z,23,FALSE)+VLOOKUP($A274,A:AL,34,FALSE)-50),"-",(VLOOKUP($A274,'SegEnds_NonXtal_BW#'!$A:$Z,23,FALSE)+VLOOKUP($A274,A:AL,34,FALSE)-50))</f>
        <v>298</v>
      </c>
      <c r="AH274" s="3">
        <v>317</v>
      </c>
      <c r="AI274" s="3">
        <f>IF(ISERROR((VLOOKUP($A274,'SegEnds_NonXtal_BW#'!$A:$Z,24,FALSE)+VLOOKUP($A274,A:AL,34,FALSE)-50)),"-",(VLOOKUP($A274,'SegEnds_NonXtal_BW#'!$A:$Z,24,FALSE)+VLOOKUP($A274,A:AL,34,FALSE)-50))</f>
        <v>323</v>
      </c>
      <c r="AJ274" s="3">
        <f>IF(ISERROR(VLOOKUP($A274,'SegEnds_NonXtal_BW#'!$A:$Z,25,FALSE)+VLOOKUP($A274,A:AL,37,FALSE)-50),"-",(VLOOKUP($A274,'SegEnds_NonXtal_BW#'!$A:$Z,25,FALSE)+VLOOKUP($A274,A:AL,37,FALSE)-50))</f>
        <v>324</v>
      </c>
      <c r="AK274" s="3">
        <v>327</v>
      </c>
      <c r="AL274" s="3">
        <f>IF(ISERROR((VLOOKUP($A274,'SegEnds_NonXtal_BW#'!$A:$Z,26,FALSE)+VLOOKUP($A274,A:AL,37,FALSE)-50)),"-",(VLOOKUP($A274,'SegEnds_NonXtal_BW#'!$A:$Z,26,FALSE)+VLOOKUP($A274,A:AL,37,FALSE)-50))</f>
        <v>340</v>
      </c>
      <c r="AM274" s="28" t="str">
        <f>VLOOKUP(A274,Classification!A:B,2,FALSE)</f>
        <v>A</v>
      </c>
      <c r="AN274" s="28" t="b">
        <f t="shared" si="188"/>
        <v>1</v>
      </c>
      <c r="AO274" s="3" t="str">
        <f>IF(ISERROR(MATCH(A274,'SegEnds_Xtal_Prot#'!B:B, 0)), "NoXtal", "Xtal")</f>
        <v>NoXtal</v>
      </c>
      <c r="AP274" s="3">
        <f t="shared" si="173"/>
        <v>1</v>
      </c>
      <c r="AQ274" s="3">
        <f t="shared" si="174"/>
        <v>1</v>
      </c>
      <c r="AR274" s="3">
        <f t="shared" si="175"/>
        <v>3</v>
      </c>
      <c r="AS274" s="3">
        <f t="shared" si="176"/>
        <v>1</v>
      </c>
      <c r="AT274" s="3" t="str">
        <f t="shared" si="177"/>
        <v>-</v>
      </c>
      <c r="AU274" s="3" t="str">
        <f t="shared" si="178"/>
        <v>-</v>
      </c>
      <c r="AV274" s="3">
        <f t="shared" si="179"/>
        <v>11</v>
      </c>
      <c r="AW274" s="3">
        <f t="shared" si="180"/>
        <v>6</v>
      </c>
      <c r="AX274" s="3">
        <f t="shared" si="181"/>
        <v>11</v>
      </c>
      <c r="AY274" s="3">
        <f t="shared" si="182"/>
        <v>6</v>
      </c>
      <c r="AZ274" s="3">
        <f t="shared" si="183"/>
        <v>1</v>
      </c>
      <c r="BA274" s="3">
        <f>IF(ISERROR(LEN(VLOOKUP(A274,Seqs!A:E,2,FALSE))-AL274),"-",LEN(VLOOKUP(A274,Seqs!A:E,2,FALSE))-AL274)</f>
        <v>175</v>
      </c>
      <c r="BB274" s="16">
        <f t="shared" si="184"/>
        <v>28</v>
      </c>
      <c r="BC274" s="9" t="str">
        <f t="shared" si="185"/>
        <v>-</v>
      </c>
      <c r="BD274" s="3">
        <f t="shared" si="186"/>
        <v>28</v>
      </c>
      <c r="BE274" s="3">
        <f t="shared" si="187"/>
        <v>64</v>
      </c>
    </row>
    <row r="275" spans="1:58" s="3" customFormat="1" x14ac:dyDescent="0.2">
      <c r="A275" s="3" t="s">
        <v>235</v>
      </c>
      <c r="B275" s="3" t="str">
        <f>LOWER(VLOOKUP(A275,Xtal_Templ!A:B,2,FALSE))</f>
        <v>lpar1_human</v>
      </c>
      <c r="C275" s="3">
        <f>VLOOKUP($A275,'SegEnds_NonXtal_BW#'!$A:$Z,3,FALSE)+D275-50</f>
        <v>12</v>
      </c>
      <c r="D275" s="3">
        <v>32</v>
      </c>
      <c r="E275" s="3">
        <f>IF(ISERROR(VLOOKUP($A275,'SegEnds_NonXtal_BW#'!$A:$Z,4,FALSE)+VLOOKUP($A275,A:AL,4,FALSE)-50),"-",(VLOOKUP($A275,'SegEnds_NonXtal_BW#'!$A:$Z,4,FALSE)+VLOOKUP($A275,A:AL,4,FALSE)-50))</f>
        <v>42</v>
      </c>
      <c r="F275" s="3">
        <f>G275-2</f>
        <v>43</v>
      </c>
      <c r="G275" s="3">
        <v>45</v>
      </c>
      <c r="H275" s="3">
        <f t="shared" si="191"/>
        <v>46</v>
      </c>
      <c r="I275" s="3">
        <f t="shared" si="191"/>
        <v>47</v>
      </c>
      <c r="J275" s="3">
        <v>61</v>
      </c>
      <c r="K275" s="3">
        <f>VLOOKUP($A275,'SegEnds_NonXtal_BW#'!$A:$Z,8,FALSE)+VLOOKUP($A275,A:AL,10,FALSE)-50</f>
        <v>77</v>
      </c>
      <c r="L275" s="3" t="str">
        <f>IF(ISERROR(VLOOKUP($A275,'SegEnds_NonXtal_BW#'!$A:$Z,9,FALSE)+VLOOKUP($A275,A:AL,13,FALSE)-50),"-",(VLOOKUP($A275,'SegEnds_NonXtal_BW#'!$A:$Z,9,FALSE)+VLOOKUP($A275,A:AL,13,FALSE)-50))</f>
        <v>-</v>
      </c>
      <c r="M275" s="3" t="s">
        <v>23</v>
      </c>
      <c r="N275" s="3" t="str">
        <f>IF(ISERROR(VLOOKUP($A275,'SegEnds_NonXtal_BW#'!$A:$Z,10,FALSE)+VLOOKUP($A275,A:AL,13,FALSE)-50),"-",(VLOOKUP($A275,'SegEnds_NonXtal_BW#'!$A:$Z,10,FALSE)+VLOOKUP($A275,A:AL,13,FALSE)-50))</f>
        <v>-</v>
      </c>
      <c r="O275" s="3">
        <f>VLOOKUP($A275,'SegEnds_NonXtal_BW#'!$A:$Z,11,FALSE)+VLOOKUP($A275,A:AL,16,FALSE)-50</f>
        <v>84</v>
      </c>
      <c r="P275" s="3">
        <v>110</v>
      </c>
      <c r="Q275" s="3">
        <f>VLOOKUP($A275,'SegEnds_NonXtal_BW#'!$A:$Z,12,FALSE)+VLOOKUP($A275,A:AL,16,FALSE)-50</f>
        <v>116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120</v>
      </c>
      <c r="V275" s="3">
        <v>132</v>
      </c>
      <c r="W275" s="3">
        <f>IF(ISERROR(VLOOKUP($A275,'SegEnds_NonXtal_BW#'!$A:$Z,16,FALSE)+VLOOKUP($A275,A:AL,22,FALSE)-50),"-",(VLOOKUP($A275,'SegEnds_NonXtal_BW#'!$A:$Z,16,FALSE)+VLOOKUP($A275,A:AL,22,FALSE)-50))</f>
        <v>145</v>
      </c>
      <c r="X275" s="3">
        <f>IF(ISERROR(VLOOKUP($A275,'SegEnds_NonXtal_BW#'!$A:$Z,17,FALSE)+VLOOKUP($A275,A:AL,25,FALSE)-50),"-",(VLOOKUP($A275,'SegEnds_NonXtal_BW#'!$A:$Z,17,FALSE)+VLOOKUP($A275,A:AL,25,FALSE)-50))</f>
        <v>155</v>
      </c>
      <c r="Y275" s="3">
        <v>155</v>
      </c>
      <c r="Z275" s="3">
        <f t="shared" si="190"/>
        <v>157</v>
      </c>
      <c r="AA275" s="3">
        <f>IF(ISERROR(VLOOKUP($A275,'SegEnds_NonXtal_BW#'!$A:$Z,19,FALSE)+VLOOKUP($A275,A:AL,28,FALSE)-50),"-",(VLOOKUP($A275,'SegEnds_NonXtal_BW#'!$A:$Z,19,FALSE)+VLOOKUP($A275,A:AL,28,FALSE)-50))</f>
        <v>161</v>
      </c>
      <c r="AB275" s="3">
        <v>176</v>
      </c>
      <c r="AC275" s="3">
        <f>IF(ISERROR((VLOOKUP($A275,'SegEnds_NonXtal_BW#'!$A:$Z,20,FALSE)+VLOOKUP($A275,A:AL,28,FALSE)-50)),"-",(VLOOKUP($A275,'SegEnds_NonXtal_BW#'!$A:$Z,20,FALSE)+VLOOKUP($A275,A:AL,28,FALSE)-50))</f>
        <v>200</v>
      </c>
      <c r="AD275" s="3">
        <f>IF(ISERROR(VLOOKUP($A275,'SegEnds_NonXtal_BW#'!$A:$Z,21,FALSE)+VLOOKUP($A275,A:AL,31,FALSE)-50),"-",(VLOOKUP($A275,'SegEnds_NonXtal_BW#'!$A:$Z,21,FALSE)+VLOOKUP($A275,A:AL,31,FALSE)-50))</f>
        <v>210</v>
      </c>
      <c r="AE275" s="3">
        <v>239</v>
      </c>
      <c r="AF275" s="3">
        <f>IF(ISERROR((VLOOKUP($A275,'SegEnds_NonXtal_BW#'!$A:$Z,22,FALSE)+VLOOKUP($A275,A:AL,31,FALSE)-50)),"-",(VLOOKUP($A275,'SegEnds_NonXtal_BW#'!$A:$Z,22,FALSE)+VLOOKUP($A275,A:AL,31,FALSE)-50))</f>
        <v>250</v>
      </c>
      <c r="AG275" s="3">
        <f>IF(ISERROR(VLOOKUP($A275,'SegEnds_NonXtal_BW#'!$A:$Z,23,FALSE)+VLOOKUP($A275,A:AL,34,FALSE)-50),"-",(VLOOKUP($A275,'SegEnds_NonXtal_BW#'!$A:$Z,23,FALSE)+VLOOKUP($A275,A:AL,34,FALSE)-50))</f>
        <v>257</v>
      </c>
      <c r="AH275" s="3">
        <v>277</v>
      </c>
      <c r="AI275" s="3">
        <f>IF(ISERROR((VLOOKUP($A275,'SegEnds_NonXtal_BW#'!$A:$Z,24,FALSE)+VLOOKUP($A275,A:AL,34,FALSE)-50)),"-",(VLOOKUP($A275,'SegEnds_NonXtal_BW#'!$A:$Z,24,FALSE)+VLOOKUP($A275,A:AL,34,FALSE)-50))</f>
        <v>283</v>
      </c>
      <c r="AJ275" s="3">
        <f>IF(ISERROR(VLOOKUP($A275,'SegEnds_NonXtal_BW#'!$A:$Z,25,FALSE)+VLOOKUP($A275,A:AL,37,FALSE)-50),"-",(VLOOKUP($A275,'SegEnds_NonXtal_BW#'!$A:$Z,25,FALSE)+VLOOKUP($A275,A:AL,37,FALSE)-50))</f>
        <v>284</v>
      </c>
      <c r="AK275" s="3">
        <v>287</v>
      </c>
      <c r="AL275" s="3">
        <f>IF(ISERROR((VLOOKUP($A275,'SegEnds_NonXtal_BW#'!$A:$Z,26,FALSE)+VLOOKUP($A275,A:AL,37,FALSE)-50)),"-",(VLOOKUP($A275,'SegEnds_NonXtal_BW#'!$A:$Z,26,FALSE)+VLOOKUP($A275,A:AL,37,FALSE)-50))</f>
        <v>296</v>
      </c>
      <c r="AM275" s="28" t="str">
        <f>VLOOKUP(A275,Classification!A:B,2,FALSE)</f>
        <v>A</v>
      </c>
      <c r="AN275" s="28" t="b">
        <f t="shared" si="188"/>
        <v>1</v>
      </c>
      <c r="AO275" s="3" t="str">
        <f>IF(ISERROR(MATCH(A275,'SegEnds_Xtal_Prot#'!B:B, 0)), "NoXtal", "Xtal")</f>
        <v>NoXtal</v>
      </c>
      <c r="AP275" s="3">
        <f t="shared" si="173"/>
        <v>1</v>
      </c>
      <c r="AQ275" s="3">
        <f t="shared" si="174"/>
        <v>1</v>
      </c>
      <c r="AR275" s="3" t="str">
        <f t="shared" si="175"/>
        <v>-</v>
      </c>
      <c r="AS275" s="3" t="str">
        <f t="shared" si="176"/>
        <v>-</v>
      </c>
      <c r="AT275" s="3" t="str">
        <f t="shared" si="177"/>
        <v>-</v>
      </c>
      <c r="AU275" s="3" t="str">
        <f t="shared" si="178"/>
        <v>-</v>
      </c>
      <c r="AV275" s="3">
        <f t="shared" si="179"/>
        <v>10</v>
      </c>
      <c r="AW275" s="3">
        <f t="shared" si="180"/>
        <v>4</v>
      </c>
      <c r="AX275" s="3">
        <f t="shared" si="181"/>
        <v>10</v>
      </c>
      <c r="AY275" s="3">
        <f t="shared" si="182"/>
        <v>7</v>
      </c>
      <c r="AZ275" s="3">
        <f t="shared" si="183"/>
        <v>1</v>
      </c>
      <c r="BA275" s="3">
        <f>IF(ISERROR(LEN(VLOOKUP(A275,Seqs!A:E,2,FALSE))-AL275),"-",LEN(VLOOKUP(A275,Seqs!A:E,2,FALSE))-AL275)</f>
        <v>34</v>
      </c>
      <c r="BB275" s="16">
        <f t="shared" si="184"/>
        <v>29</v>
      </c>
      <c r="BC275" s="9" t="str">
        <f t="shared" si="185"/>
        <v>-</v>
      </c>
      <c r="BD275" s="3">
        <f t="shared" si="186"/>
        <v>29</v>
      </c>
      <c r="BE275" s="3">
        <f t="shared" si="187"/>
        <v>63</v>
      </c>
    </row>
    <row r="276" spans="1:58" s="3" customFormat="1" x14ac:dyDescent="0.2">
      <c r="A276" s="3" t="s">
        <v>259</v>
      </c>
      <c r="B276" s="3" t="str">
        <f>LOWER(VLOOKUP(A276,Xtal_Templ!A:B,2,FALSE))</f>
        <v>5ht1b_human</v>
      </c>
      <c r="C276" s="3">
        <f>VLOOKUP($A276,'SegEnds_NonXtal_BW#'!$A:$Z,3,FALSE)+D276-50</f>
        <v>30</v>
      </c>
      <c r="D276" s="3">
        <v>52</v>
      </c>
      <c r="E276" s="3">
        <f>IF(ISERROR(VLOOKUP($A276,'SegEnds_NonXtal_BW#'!$A:$Z,4,FALSE)+VLOOKUP($A276,A:AL,4,FALSE)-50),"-",(VLOOKUP($A276,'SegEnds_NonXtal_BW#'!$A:$Z,4,FALSE)+VLOOKUP($A276,A:AL,4,FALSE)-50))</f>
        <v>62</v>
      </c>
      <c r="F276" s="3">
        <f>G276-2</f>
        <v>63</v>
      </c>
      <c r="G276" s="3">
        <v>65</v>
      </c>
      <c r="H276" s="3">
        <f t="shared" si="191"/>
        <v>66</v>
      </c>
      <c r="I276" s="3">
        <f t="shared" si="191"/>
        <v>67</v>
      </c>
      <c r="J276" s="3">
        <v>80</v>
      </c>
      <c r="K276" s="3">
        <f>VLOOKUP($A276,'SegEnds_NonXtal_BW#'!$A:$Z,8,FALSE)+VLOOKUP($A276,A:AL,10,FALSE)-50</f>
        <v>98</v>
      </c>
      <c r="L276" s="3">
        <f>M276-1</f>
        <v>99</v>
      </c>
      <c r="M276" s="3">
        <v>100</v>
      </c>
      <c r="N276" s="3">
        <f>M276+2</f>
        <v>102</v>
      </c>
      <c r="O276" s="3">
        <f>N276+1</f>
        <v>103</v>
      </c>
      <c r="P276" s="3">
        <v>132</v>
      </c>
      <c r="Q276" s="3">
        <f>VLOOKUP($A276,'SegEnds_NonXtal_BW#'!$A:$Z,12,FALSE)+VLOOKUP($A276,A:AL,16,FALSE)-50</f>
        <v>138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144</v>
      </c>
      <c r="V276" s="3">
        <v>156</v>
      </c>
      <c r="W276" s="3">
        <f>IF(ISERROR(VLOOKUP($A276,'SegEnds_NonXtal_BW#'!$A:$Z,16,FALSE)+VLOOKUP($A276,A:AL,22,FALSE)-50),"-",(VLOOKUP($A276,'SegEnds_NonXtal_BW#'!$A:$Z,16,FALSE)+VLOOKUP($A276,A:AL,22,FALSE)-50))</f>
        <v>169</v>
      </c>
      <c r="X276" s="3">
        <f>IF(ISERROR(VLOOKUP($A276,'SegEnds_NonXtal_BW#'!$A:$Z,17,FALSE)+VLOOKUP($A276,A:AL,25,FALSE)-50),"-",(VLOOKUP($A276,'SegEnds_NonXtal_BW#'!$A:$Z,17,FALSE)+VLOOKUP($A276,A:AL,25,FALSE)-50))</f>
        <v>182</v>
      </c>
      <c r="Y276" s="3">
        <v>182</v>
      </c>
      <c r="Z276" s="3">
        <f t="shared" si="190"/>
        <v>184</v>
      </c>
      <c r="AA276" s="3">
        <f>IF(ISERROR(VLOOKUP($A276,'SegEnds_NonXtal_BW#'!$A:$Z,19,FALSE)+VLOOKUP($A276,A:AL,28,FALSE)-50),"-",(VLOOKUP($A276,'SegEnds_NonXtal_BW#'!$A:$Z,19,FALSE)+VLOOKUP($A276,A:AL,28,FALSE)-50))</f>
        <v>192</v>
      </c>
      <c r="AB276" s="3">
        <v>207</v>
      </c>
      <c r="AC276" s="3">
        <f>IF(ISERROR((VLOOKUP($A276,'SegEnds_NonXtal_BW#'!$A:$Z,20,FALSE)+VLOOKUP($A276,A:AL,28,FALSE)-50)),"-",(VLOOKUP($A276,'SegEnds_NonXtal_BW#'!$A:$Z,20,FALSE)+VLOOKUP($A276,A:AL,28,FALSE)-50))</f>
        <v>233</v>
      </c>
      <c r="AD276" s="3">
        <f>IF(ISERROR(VLOOKUP($A276,'SegEnds_NonXtal_BW#'!$A:$Z,21,FALSE)+VLOOKUP($A276,A:AL,31,FALSE)-50),"-",(VLOOKUP($A276,'SegEnds_NonXtal_BW#'!$A:$Z,21,FALSE)+VLOOKUP($A276,A:AL,31,FALSE)-50))</f>
        <v>256</v>
      </c>
      <c r="AE276" s="3">
        <v>282</v>
      </c>
      <c r="AF276" s="3">
        <f>IF(ISERROR((VLOOKUP($A276,'SegEnds_NonXtal_BW#'!$A:$Z,22,FALSE)+VLOOKUP($A276,A:AL,31,FALSE)-50)),"-",(VLOOKUP($A276,'SegEnds_NonXtal_BW#'!$A:$Z,22,FALSE)+VLOOKUP($A276,A:AL,31,FALSE)-50))</f>
        <v>293</v>
      </c>
      <c r="AG276" s="3">
        <f>IF(ISERROR(VLOOKUP($A276,'SegEnds_NonXtal_BW#'!$A:$Z,23,FALSE)+VLOOKUP($A276,A:AL,34,FALSE)-50),"-",(VLOOKUP($A276,'SegEnds_NonXtal_BW#'!$A:$Z,23,FALSE)+VLOOKUP($A276,A:AL,34,FALSE)-50))</f>
        <v>302</v>
      </c>
      <c r="AH276" s="3">
        <v>321</v>
      </c>
      <c r="AI276" s="3">
        <v>327</v>
      </c>
      <c r="AJ276" s="3">
        <f>IF(ISERROR(VLOOKUP($A276,'SegEnds_NonXtal_BW#'!$A:$Z,25,FALSE)+VLOOKUP($A276,A:AL,37,FALSE)-50),"-",(VLOOKUP($A276,'SegEnds_NonXtal_BW#'!$A:$Z,25,FALSE)+VLOOKUP($A276,A:AL,37,FALSE)-50))</f>
        <v>328</v>
      </c>
      <c r="AK276" s="3">
        <v>331</v>
      </c>
      <c r="AL276" s="3">
        <f>IF(ISERROR((VLOOKUP($A276,'SegEnds_NonXtal_BW#'!$A:$Z,26,FALSE)+VLOOKUP($A276,A:AL,37,FALSE)-50)),"-",(VLOOKUP($A276,'SegEnds_NonXtal_BW#'!$A:$Z,26,FALSE)+VLOOKUP($A276,A:AL,37,FALSE)-50))</f>
        <v>339</v>
      </c>
      <c r="AM276" s="28" t="str">
        <f>VLOOKUP(A276,Classification!A:B,2,FALSE)</f>
        <v>A</v>
      </c>
      <c r="AN276" s="28" t="b">
        <f t="shared" si="188"/>
        <v>1</v>
      </c>
      <c r="AO276" s="3" t="str">
        <f>IF(ISERROR(MATCH(A276,'SegEnds_Xtal_Prot#'!B:B, 0)), "NoXtal", "Xtal")</f>
        <v>NoXtal</v>
      </c>
      <c r="AP276" s="3">
        <f t="shared" si="173"/>
        <v>1</v>
      </c>
      <c r="AQ276" s="3">
        <f t="shared" si="174"/>
        <v>1</v>
      </c>
      <c r="AR276" s="3">
        <f t="shared" si="175"/>
        <v>1</v>
      </c>
      <c r="AS276" s="3">
        <f t="shared" si="176"/>
        <v>1</v>
      </c>
      <c r="AT276" s="3" t="str">
        <f t="shared" si="177"/>
        <v>-</v>
      </c>
      <c r="AU276" s="3" t="str">
        <f t="shared" si="178"/>
        <v>-</v>
      </c>
      <c r="AV276" s="3">
        <f t="shared" si="179"/>
        <v>13</v>
      </c>
      <c r="AW276" s="3">
        <f t="shared" si="180"/>
        <v>8</v>
      </c>
      <c r="AX276" s="3">
        <f t="shared" si="181"/>
        <v>23</v>
      </c>
      <c r="AY276" s="3">
        <f t="shared" si="182"/>
        <v>9</v>
      </c>
      <c r="AZ276" s="3">
        <f t="shared" si="183"/>
        <v>1</v>
      </c>
      <c r="BA276" s="3">
        <f>IF(ISERROR(LEN(VLOOKUP(A276,Seqs!A:E,2,FALSE))-AL276),"-",LEN(VLOOKUP(A276,Seqs!A:E,2,FALSE))-AL276)</f>
        <v>33</v>
      </c>
      <c r="BB276" s="16">
        <f t="shared" si="184"/>
        <v>28</v>
      </c>
      <c r="BC276" s="9" t="str">
        <f t="shared" si="185"/>
        <v>-</v>
      </c>
      <c r="BD276" s="3">
        <f t="shared" si="186"/>
        <v>28</v>
      </c>
      <c r="BE276" s="3">
        <f t="shared" si="187"/>
        <v>75</v>
      </c>
    </row>
    <row r="277" spans="1:58" s="3" customFormat="1" x14ac:dyDescent="0.2">
      <c r="A277" s="3" t="s">
        <v>264</v>
      </c>
      <c r="B277" s="3" t="str">
        <f>LOWER(VLOOKUP(A277,Xtal_Templ!A:B,2,FALSE))</f>
        <v>drd3_human</v>
      </c>
      <c r="C277" s="3">
        <f>VLOOKUP($A277,'SegEnds_NonXtal_BW#'!$A:$Z,3,FALSE)+D277-50</f>
        <v>11</v>
      </c>
      <c r="D277" s="3">
        <v>32</v>
      </c>
      <c r="E277" s="3">
        <f>IF(ISERROR(VLOOKUP($A277,'SegEnds_NonXtal_BW#'!$A:$Z,4,FALSE)+VLOOKUP($A277,A:AL,4,FALSE)-50),"-",(VLOOKUP($A277,'SegEnds_NonXtal_BW#'!$A:$Z,4,FALSE)+VLOOKUP($A277,A:AL,4,FALSE)-50))</f>
        <v>42</v>
      </c>
      <c r="F277" s="3" t="str">
        <f>IF(ISERROR(VLOOKUP($A277,'SegEnds_NonXtal_BW#'!$A:$Z,5,FALSE)+VLOOKUP($A277,A:AL,7,FALSE)-50),"-",(VLOOKUP($A277,'SegEnds_NonXtal_BW#'!$A:$Z,5,FALSE)+VLOOKUP($A277,A:AL,7,FALSE)-50))</f>
        <v>-</v>
      </c>
      <c r="G277" s="3" t="s">
        <v>23</v>
      </c>
      <c r="H277" s="3" t="str">
        <f>IF(ISERROR(VLOOKUP($A277,'SegEnds_NonXtal_BW#'!$A:$Z,6,FALSE)+VLOOKUP($A277,A:AL,7,FALSE)-50),"-",(VLOOKUP($A277,'SegEnds_NonXtal_BW#'!$A:$Z,6,FALSE)+VLOOKUP($A277,A:AL,7,FALSE)-50))</f>
        <v>-</v>
      </c>
      <c r="I277" s="3">
        <f>VLOOKUP($A277,'SegEnds_NonXtal_BW#'!$A:$Z,7,FALSE)+J277-50</f>
        <v>45</v>
      </c>
      <c r="J277" s="3">
        <v>58</v>
      </c>
      <c r="K277" s="3">
        <f>VLOOKUP($A277,'SegEnds_NonXtal_BW#'!$A:$Z,8,FALSE)+VLOOKUP($A277,A:AL,10,FALSE)-50</f>
        <v>75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81</v>
      </c>
      <c r="P277" s="3">
        <v>113</v>
      </c>
      <c r="Q277" s="3">
        <f>VLOOKUP($A277,'SegEnds_NonXtal_BW#'!$A:$Z,12,FALSE)+VLOOKUP($A277,A:AL,16,FALSE)-50</f>
        <v>119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125</v>
      </c>
      <c r="V277" s="3">
        <v>137</v>
      </c>
      <c r="W277" s="3">
        <f>IF(ISERROR(VLOOKUP($A277,'SegEnds_NonXtal_BW#'!$A:$Z,16,FALSE)+VLOOKUP($A277,A:AL,22,FALSE)-50),"-",(VLOOKUP($A277,'SegEnds_NonXtal_BW#'!$A:$Z,16,FALSE)+VLOOKUP($A277,A:AL,22,FALSE)-50))</f>
        <v>150</v>
      </c>
      <c r="X277" s="3">
        <f>IF(ISERROR(VLOOKUP($A277,'SegEnds_NonXtal_BW#'!$A:$Z,17,FALSE)+VLOOKUP($A277,A:AL,25,FALSE)-50),"-",(VLOOKUP($A277,'SegEnds_NonXtal_BW#'!$A:$Z,17,FALSE)+VLOOKUP($A277,A:AL,25,FALSE)-50))</f>
        <v>162</v>
      </c>
      <c r="Y277" s="3">
        <v>162</v>
      </c>
      <c r="Z277" s="3">
        <f t="shared" si="190"/>
        <v>164</v>
      </c>
      <c r="AA277" s="3">
        <f>IF(ISERROR(VLOOKUP($A277,'SegEnds_NonXtal_BW#'!$A:$Z,19,FALSE)+VLOOKUP($A277,A:AL,28,FALSE)-50),"-",(VLOOKUP($A277,'SegEnds_NonXtal_BW#'!$A:$Z,19,FALSE)+VLOOKUP($A277,A:AL,28,FALSE)-50))</f>
        <v>169</v>
      </c>
      <c r="AB277" s="3">
        <v>184</v>
      </c>
      <c r="AC277" s="3">
        <f>IF(ISERROR((VLOOKUP($A277,'SegEnds_NonXtal_BW#'!$A:$Z,20,FALSE)+VLOOKUP($A277,A:AL,28,FALSE)-50)),"-",(VLOOKUP($A277,'SegEnds_NonXtal_BW#'!$A:$Z,20,FALSE)+VLOOKUP($A277,A:AL,28,FALSE)-50))</f>
        <v>210</v>
      </c>
      <c r="AD277" s="3">
        <f>IF(ISERROR(VLOOKUP($A277,'SegEnds_NonXtal_BW#'!$A:$Z,21,FALSE)+VLOOKUP($A277,A:AL,31,FALSE)-50),"-",(VLOOKUP($A277,'SegEnds_NonXtal_BW#'!$A:$Z,21,FALSE)+VLOOKUP($A277,A:AL,31,FALSE)-50))</f>
        <v>230</v>
      </c>
      <c r="AE277" s="3">
        <v>256</v>
      </c>
      <c r="AF277" s="3">
        <f>IF(ISERROR((VLOOKUP($A277,'SegEnds_NonXtal_BW#'!$A:$Z,22,FALSE)+VLOOKUP($A277,A:AL,31,FALSE)-50)),"-",(VLOOKUP($A277,'SegEnds_NonXtal_BW#'!$A:$Z,22,FALSE)+VLOOKUP($A277,A:AL,31,FALSE)-50))</f>
        <v>264</v>
      </c>
      <c r="AG277" s="3">
        <f>IF(ISERROR(VLOOKUP($A277,'SegEnds_NonXtal_BW#'!$A:$Z,23,FALSE)+VLOOKUP($A277,A:AL,34,FALSE)-50),"-",(VLOOKUP($A277,'SegEnds_NonXtal_BW#'!$A:$Z,23,FALSE)+VLOOKUP($A277,A:AL,34,FALSE)-50))</f>
        <v>272</v>
      </c>
      <c r="AH277" s="3">
        <v>287</v>
      </c>
      <c r="AI277" s="3">
        <f>IF(ISERROR((VLOOKUP($A277,'SegEnds_NonXtal_BW#'!$A:$Z,24,FALSE)+VLOOKUP($A277,A:AL,34,FALSE)-50)),"-",(VLOOKUP($A277,'SegEnds_NonXtal_BW#'!$A:$Z,24,FALSE)+VLOOKUP($A277,A:AL,34,FALSE)-50))</f>
        <v>293</v>
      </c>
      <c r="AJ277" s="3">
        <f>IF(ISERROR(VLOOKUP($A277,'SegEnds_NonXtal_BW#'!$A:$Z,25,FALSE)+VLOOKUP($A277,A:AL,37,FALSE)-50),"-",(VLOOKUP($A277,'SegEnds_NonXtal_BW#'!$A:$Z,25,FALSE)+VLOOKUP($A277,A:AL,37,FALSE)-50))</f>
        <v>294</v>
      </c>
      <c r="AK277" s="3">
        <v>297</v>
      </c>
      <c r="AL277" s="3">
        <f>IF(ISERROR((VLOOKUP($A277,'SegEnds_NonXtal_BW#'!$A:$Z,26,FALSE)+VLOOKUP($A277,A:AL,37,FALSE)-50)),"-",(VLOOKUP($A277,'SegEnds_NonXtal_BW#'!$A:$Z,26,FALSE)+VLOOKUP($A277,A:AL,37,FALSE)-50))</f>
        <v>306</v>
      </c>
      <c r="AM277" s="28" t="str">
        <f>VLOOKUP(A277,Classification!A:B,2,FALSE)</f>
        <v>A</v>
      </c>
      <c r="AN277" s="28" t="b">
        <f t="shared" si="188"/>
        <v>1</v>
      </c>
      <c r="AO277" s="3" t="str">
        <f>IF(ISERROR(MATCH(A277,'SegEnds_Xtal_Prot#'!B:B, 0)), "NoXtal", "Xtal")</f>
        <v>NoXtal</v>
      </c>
      <c r="AP277" s="3" t="str">
        <f t="shared" si="173"/>
        <v>-</v>
      </c>
      <c r="AQ277" s="3" t="str">
        <f t="shared" si="174"/>
        <v>-</v>
      </c>
      <c r="AR277" s="3" t="str">
        <f t="shared" si="175"/>
        <v>-</v>
      </c>
      <c r="AS277" s="3" t="str">
        <f t="shared" si="176"/>
        <v>-</v>
      </c>
      <c r="AT277" s="3" t="str">
        <f t="shared" si="177"/>
        <v>-</v>
      </c>
      <c r="AU277" s="3" t="str">
        <f t="shared" si="178"/>
        <v>-</v>
      </c>
      <c r="AV277" s="3">
        <f t="shared" si="179"/>
        <v>12</v>
      </c>
      <c r="AW277" s="3">
        <f t="shared" si="180"/>
        <v>5</v>
      </c>
      <c r="AX277" s="3">
        <f t="shared" si="181"/>
        <v>20</v>
      </c>
      <c r="AY277" s="3">
        <f t="shared" si="182"/>
        <v>8</v>
      </c>
      <c r="AZ277" s="3">
        <f t="shared" si="183"/>
        <v>1</v>
      </c>
      <c r="BA277" s="3">
        <f>IF(ISERROR(LEN(VLOOKUP(A277,Seqs!A:E,2,FALSE))-AL277),"-",LEN(VLOOKUP(A277,Seqs!A:E,2,FALSE))-AL277)</f>
        <v>62</v>
      </c>
      <c r="BB277" s="16">
        <f t="shared" si="184"/>
        <v>26</v>
      </c>
      <c r="BC277" s="9" t="str">
        <f t="shared" si="185"/>
        <v>-</v>
      </c>
      <c r="BD277" s="3">
        <f t="shared" si="186"/>
        <v>26</v>
      </c>
      <c r="BE277" s="3">
        <f t="shared" si="187"/>
        <v>72</v>
      </c>
    </row>
    <row r="278" spans="1:58" s="3" customFormat="1" x14ac:dyDescent="0.2">
      <c r="A278" s="3" t="s">
        <v>265</v>
      </c>
      <c r="B278" s="3" t="str">
        <f>LOWER(VLOOKUP(A278,Xtal_Templ!A:B,2,FALSE))</f>
        <v>drd2_human</v>
      </c>
      <c r="C278" s="3">
        <f>VLOOKUP($A278,'SegEnds_NonXtal_BW#'!$A:$Z,3,FALSE)+D278-50</f>
        <v>78</v>
      </c>
      <c r="D278" s="3">
        <v>99</v>
      </c>
      <c r="E278" s="3">
        <f>IF(ISERROR(VLOOKUP($A278,'SegEnds_NonXtal_BW#'!$A:$Z,4,FALSE)+VLOOKUP($A278,A:AL,4,FALSE)-50),"-",(VLOOKUP($A278,'SegEnds_NonXtal_BW#'!$A:$Z,4,FALSE)+VLOOKUP($A278,A:AL,4,FALSE)-50))</f>
        <v>109</v>
      </c>
      <c r="F278" s="3">
        <f t="shared" ref="F278:F318" si="192">G278-2</f>
        <v>110</v>
      </c>
      <c r="G278" s="3">
        <v>112</v>
      </c>
      <c r="H278" s="3">
        <f t="shared" ref="H278:I297" si="193">G278+1</f>
        <v>113</v>
      </c>
      <c r="I278" s="3">
        <f t="shared" si="193"/>
        <v>114</v>
      </c>
      <c r="J278" s="3">
        <v>127</v>
      </c>
      <c r="K278" s="3">
        <f>VLOOKUP($A278,'SegEnds_NonXtal_BW#'!$A:$Z,8,FALSE)+VLOOKUP($A278,A:AL,10,FALSE)-50</f>
        <v>145</v>
      </c>
      <c r="L278" s="3">
        <f>M278-1</f>
        <v>146</v>
      </c>
      <c r="M278" s="3">
        <v>147</v>
      </c>
      <c r="N278" s="3">
        <f>M278+2</f>
        <v>149</v>
      </c>
      <c r="O278" s="3">
        <f>N278+1</f>
        <v>150</v>
      </c>
      <c r="P278" s="3">
        <v>179</v>
      </c>
      <c r="Q278" s="3">
        <f>VLOOKUP($A278,'SegEnds_NonXtal_BW#'!$A:$Z,12,FALSE)+VLOOKUP($A278,A:AL,16,FALSE)-50</f>
        <v>185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191</v>
      </c>
      <c r="V278" s="3">
        <v>203</v>
      </c>
      <c r="W278" s="3">
        <f>IF(ISERROR(VLOOKUP($A278,'SegEnds_NonXtal_BW#'!$A:$Z,16,FALSE)+VLOOKUP($A278,A:AL,22,FALSE)-50),"-",(VLOOKUP($A278,'SegEnds_NonXtal_BW#'!$A:$Z,16,FALSE)+VLOOKUP($A278,A:AL,22,FALSE)-50))</f>
        <v>215</v>
      </c>
      <c r="X278" s="3">
        <f>IF(ISERROR(VLOOKUP($A278,'SegEnds_NonXtal_BW#'!$A:$Z,17,FALSE)+VLOOKUP($A278,A:AL,25,FALSE)-50),"-",(VLOOKUP($A278,'SegEnds_NonXtal_BW#'!$A:$Z,17,FALSE)+VLOOKUP($A278,A:AL,25,FALSE)-50))</f>
        <v>229</v>
      </c>
      <c r="Y278" s="3">
        <v>229</v>
      </c>
      <c r="Z278" s="3">
        <f t="shared" si="190"/>
        <v>231</v>
      </c>
      <c r="AA278" s="3">
        <f>IF(ISERROR(VLOOKUP($A278,'SegEnds_NonXtal_BW#'!$A:$Z,19,FALSE)+VLOOKUP($A278,A:AL,28,FALSE)-50),"-",(VLOOKUP($A278,'SegEnds_NonXtal_BW#'!$A:$Z,19,FALSE)+VLOOKUP($A278,A:AL,28,FALSE)-50))</f>
        <v>239</v>
      </c>
      <c r="AB278" s="3">
        <v>254</v>
      </c>
      <c r="AC278" s="3">
        <f>IF(ISERROR((VLOOKUP($A278,'SegEnds_NonXtal_BW#'!$A:$Z,20,FALSE)+VLOOKUP($A278,A:AL,28,FALSE)-50)),"-",(VLOOKUP($A278,'SegEnds_NonXtal_BW#'!$A:$Z,20,FALSE)+VLOOKUP($A278,A:AL,28,FALSE)-50))</f>
        <v>280</v>
      </c>
      <c r="AD278" s="3">
        <f>IF(ISERROR(VLOOKUP($A278,'SegEnds_NonXtal_BW#'!$A:$Z,21,FALSE)+VLOOKUP($A278,A:AL,31,FALSE)-50),"-",(VLOOKUP($A278,'SegEnds_NonXtal_BW#'!$A:$Z,21,FALSE)+VLOOKUP($A278,A:AL,31,FALSE)-50))</f>
        <v>303</v>
      </c>
      <c r="AE278" s="3">
        <v>329</v>
      </c>
      <c r="AF278" s="3">
        <f>IF(ISERROR((VLOOKUP($A278,'SegEnds_NonXtal_BW#'!$A:$Z,22,FALSE)+VLOOKUP($A278,A:AL,31,FALSE)-50)),"-",(VLOOKUP($A278,'SegEnds_NonXtal_BW#'!$A:$Z,22,FALSE)+VLOOKUP($A278,A:AL,31,FALSE)-50))</f>
        <v>340</v>
      </c>
      <c r="AG278" s="3">
        <f>IF(ISERROR(VLOOKUP($A278,'SegEnds_NonXtal_BW#'!$A:$Z,23,FALSE)+VLOOKUP($A278,A:AL,34,FALSE)-50),"-",(VLOOKUP($A278,'SegEnds_NonXtal_BW#'!$A:$Z,23,FALSE)+VLOOKUP($A278,A:AL,34,FALSE)-50))</f>
        <v>349</v>
      </c>
      <c r="AH278" s="3">
        <v>368</v>
      </c>
      <c r="AI278" s="3">
        <f>IF(ISERROR((VLOOKUP($A278,'SegEnds_NonXtal_BW#'!$A:$Z,24,FALSE)+VLOOKUP($A278,A:AL,34,FALSE)-50)),"-",(VLOOKUP($A278,'SegEnds_NonXtal_BW#'!$A:$Z,24,FALSE)+VLOOKUP($A278,A:AL,34,FALSE)-50))</f>
        <v>374</v>
      </c>
      <c r="AJ278" s="3">
        <f>IF(ISERROR(VLOOKUP($A278,'SegEnds_NonXtal_BW#'!$A:$Z,25,FALSE)+VLOOKUP($A278,A:AL,37,FALSE)-50),"-",(VLOOKUP($A278,'SegEnds_NonXtal_BW#'!$A:$Z,25,FALSE)+VLOOKUP($A278,A:AL,37,FALSE)-50))</f>
        <v>375</v>
      </c>
      <c r="AK278" s="3">
        <v>378</v>
      </c>
      <c r="AL278" s="3">
        <f>IF(ISERROR((VLOOKUP($A278,'SegEnds_NonXtal_BW#'!$A:$Z,26,FALSE)+VLOOKUP($A278,A:AL,37,FALSE)-50)),"-",(VLOOKUP($A278,'SegEnds_NonXtal_BW#'!$A:$Z,26,FALSE)+VLOOKUP($A278,A:AL,37,FALSE)-50))</f>
        <v>387</v>
      </c>
      <c r="AM278" s="28" t="str">
        <f>VLOOKUP(A278,Classification!A:B,2,FALSE)</f>
        <v>A</v>
      </c>
      <c r="AN278" s="28" t="b">
        <f t="shared" si="188"/>
        <v>1</v>
      </c>
      <c r="AO278" s="3" t="str">
        <f>IF(ISERROR(MATCH(A278,'SegEnds_Xtal_Prot#'!B:B, 0)), "NoXtal", "Xtal")</f>
        <v>NoXtal</v>
      </c>
      <c r="AP278" s="3">
        <f t="shared" si="173"/>
        <v>1</v>
      </c>
      <c r="AQ278" s="3">
        <f t="shared" si="174"/>
        <v>1</v>
      </c>
      <c r="AR278" s="3">
        <f t="shared" si="175"/>
        <v>1</v>
      </c>
      <c r="AS278" s="3">
        <f t="shared" si="176"/>
        <v>1</v>
      </c>
      <c r="AT278" s="3" t="str">
        <f t="shared" si="177"/>
        <v>-</v>
      </c>
      <c r="AU278" s="3" t="str">
        <f t="shared" si="178"/>
        <v>-</v>
      </c>
      <c r="AV278" s="3">
        <f t="shared" si="179"/>
        <v>14</v>
      </c>
      <c r="AW278" s="3">
        <f t="shared" si="180"/>
        <v>8</v>
      </c>
      <c r="AX278" s="3">
        <f t="shared" si="181"/>
        <v>23</v>
      </c>
      <c r="AY278" s="3">
        <f t="shared" si="182"/>
        <v>9</v>
      </c>
      <c r="AZ278" s="3">
        <f t="shared" si="183"/>
        <v>1</v>
      </c>
      <c r="BA278" s="3">
        <f>IF(ISERROR(LEN(VLOOKUP(A278,Seqs!A:E,2,FALSE))-AL278),"-",LEN(VLOOKUP(A278,Seqs!A:E,2,FALSE))-AL278)</f>
        <v>32</v>
      </c>
      <c r="BB278" s="16">
        <f t="shared" si="184"/>
        <v>28</v>
      </c>
      <c r="BC278" s="9" t="str">
        <f t="shared" si="185"/>
        <v>-</v>
      </c>
      <c r="BD278" s="3">
        <f t="shared" si="186"/>
        <v>28</v>
      </c>
      <c r="BE278" s="3">
        <f t="shared" si="187"/>
        <v>75</v>
      </c>
    </row>
    <row r="279" spans="1:58" s="3" customFormat="1" x14ac:dyDescent="0.2">
      <c r="A279" s="3" t="s">
        <v>266</v>
      </c>
      <c r="B279" s="3" t="str">
        <f>LOWER(VLOOKUP(A279,Xtal_Templ!A:B,2,FALSE))</f>
        <v>adrb2_human</v>
      </c>
      <c r="C279" s="3">
        <f>VLOOKUP($A279,'SegEnds_NonXtal_BW#'!$A:$Z,3,FALSE)+D279-50</f>
        <v>35</v>
      </c>
      <c r="D279" s="3">
        <v>60</v>
      </c>
      <c r="E279" s="3">
        <f>IF(ISERROR(VLOOKUP($A279,'SegEnds_NonXtal_BW#'!$A:$Z,4,FALSE)+VLOOKUP($A279,A:AL,4,FALSE)-50),"-",(VLOOKUP($A279,'SegEnds_NonXtal_BW#'!$A:$Z,4,FALSE)+VLOOKUP($A279,A:AL,4,FALSE)-50))</f>
        <v>70</v>
      </c>
      <c r="F279" s="3">
        <f t="shared" si="192"/>
        <v>73</v>
      </c>
      <c r="G279" s="3">
        <v>75</v>
      </c>
      <c r="H279" s="3">
        <f t="shared" si="193"/>
        <v>76</v>
      </c>
      <c r="I279" s="3">
        <f t="shared" si="193"/>
        <v>77</v>
      </c>
      <c r="J279" s="3">
        <v>90</v>
      </c>
      <c r="K279" s="3">
        <f>VLOOKUP($A279,'SegEnds_NonXtal_BW#'!$A:$Z,8,FALSE)+VLOOKUP($A279,A:AL,10,FALSE)-50</f>
        <v>107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111</v>
      </c>
      <c r="P279" s="3">
        <v>143</v>
      </c>
      <c r="Q279" s="3">
        <f>VLOOKUP($A279,'SegEnds_NonXtal_BW#'!$A:$Z,12,FALSE)+VLOOKUP($A279,A:AL,16,FALSE)-50</f>
        <v>149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157</v>
      </c>
      <c r="V279" s="3">
        <v>169</v>
      </c>
      <c r="W279" s="3">
        <f>IF(ISERROR(VLOOKUP($A279,'SegEnds_NonXtal_BW#'!$A:$Z,16,FALSE)+VLOOKUP($A279,A:AL,22,FALSE)-50),"-",(VLOOKUP($A279,'SegEnds_NonXtal_BW#'!$A:$Z,16,FALSE)+VLOOKUP($A279,A:AL,22,FALSE)-50))</f>
        <v>183</v>
      </c>
      <c r="X279" s="3">
        <f>IF(ISERROR(VLOOKUP($A279,'SegEnds_NonXtal_BW#'!$A:$Z,17,FALSE)+VLOOKUP($A279,A:AL,25,FALSE)-50),"-",(VLOOKUP($A279,'SegEnds_NonXtal_BW#'!$A:$Z,17,FALSE)+VLOOKUP($A279,A:AL,25,FALSE)-50))</f>
        <v>189</v>
      </c>
      <c r="Y279" s="3">
        <v>189</v>
      </c>
      <c r="Z279" s="3">
        <f t="shared" si="190"/>
        <v>191</v>
      </c>
      <c r="AA279" s="3">
        <f>IF(ISERROR(VLOOKUP($A279,'SegEnds_NonXtal_BW#'!$A:$Z,19,FALSE)+VLOOKUP($A279,A:AL,28,FALSE)-50),"-",(VLOOKUP($A279,'SegEnds_NonXtal_BW#'!$A:$Z,19,FALSE)+VLOOKUP($A279,A:AL,28,FALSE)-50))</f>
        <v>199</v>
      </c>
      <c r="AB279" s="3">
        <v>214</v>
      </c>
      <c r="AC279" s="3">
        <f>IF(ISERROR((VLOOKUP($A279,'SegEnds_NonXtal_BW#'!$A:$Z,20,FALSE)+VLOOKUP($A279,A:AL,28,FALSE)-50)),"-",(VLOOKUP($A279,'SegEnds_NonXtal_BW#'!$A:$Z,20,FALSE)+VLOOKUP($A279,A:AL,28,FALSE)-50))</f>
        <v>240</v>
      </c>
      <c r="AD279" s="3">
        <f>IF(ISERROR(VLOOKUP($A279,'SegEnds_NonXtal_BW#'!$A:$Z,21,FALSE)+VLOOKUP($A279,A:AL,31,FALSE)-50),"-",(VLOOKUP($A279,'SegEnds_NonXtal_BW#'!$A:$Z,21,FALSE)+VLOOKUP($A279,A:AL,31,FALSE)-50))</f>
        <v>310</v>
      </c>
      <c r="AE279" s="3">
        <v>336</v>
      </c>
      <c r="AF279" s="3">
        <f>IF(ISERROR((VLOOKUP($A279,'SegEnds_NonXtal_BW#'!$A:$Z,22,FALSE)+VLOOKUP($A279,A:AL,31,FALSE)-50)),"-",(VLOOKUP($A279,'SegEnds_NonXtal_BW#'!$A:$Z,22,FALSE)+VLOOKUP($A279,A:AL,31,FALSE)-50))</f>
        <v>347</v>
      </c>
      <c r="AG279" s="3">
        <f>IF(ISERROR(VLOOKUP($A279,'SegEnds_NonXtal_BW#'!$A:$Z,23,FALSE)+VLOOKUP($A279,A:AL,34,FALSE)-50),"-",(VLOOKUP($A279,'SegEnds_NonXtal_BW#'!$A:$Z,23,FALSE)+VLOOKUP($A279,A:AL,34,FALSE)-50))</f>
        <v>354</v>
      </c>
      <c r="AH279" s="3">
        <v>373</v>
      </c>
      <c r="AI279" s="3">
        <f>IF(ISERROR((VLOOKUP($A279,'SegEnds_NonXtal_BW#'!$A:$Z,24,FALSE)+VLOOKUP($A279,A:AL,34,FALSE)-50)),"-",(VLOOKUP($A279,'SegEnds_NonXtal_BW#'!$A:$Z,24,FALSE)+VLOOKUP($A279,A:AL,34,FALSE)-50))</f>
        <v>378</v>
      </c>
      <c r="AJ279" s="3">
        <f>IF(ISERROR(VLOOKUP($A279,'SegEnds_NonXtal_BW#'!$A:$Z,25,FALSE)+VLOOKUP($A279,A:AL,37,FALSE)-50),"-",(VLOOKUP($A279,'SegEnds_NonXtal_BW#'!$A:$Z,25,FALSE)+VLOOKUP($A279,A:AL,37,FALSE)-50))</f>
        <v>380</v>
      </c>
      <c r="AK279" s="3">
        <v>383</v>
      </c>
      <c r="AL279" s="3">
        <f>IF(ISERROR((VLOOKUP($A279,'SegEnds_NonXtal_BW#'!$A:$Z,26,FALSE)+VLOOKUP($A279,A:AL,37,FALSE)-50)),"-",(VLOOKUP($A279,'SegEnds_NonXtal_BW#'!$A:$Z,26,FALSE)+VLOOKUP($A279,A:AL,37,FALSE)-50))</f>
        <v>392</v>
      </c>
      <c r="AM279" s="28" t="str">
        <f>VLOOKUP(A279,Classification!A:B,2,FALSE)</f>
        <v>A</v>
      </c>
      <c r="AN279" s="28" t="b">
        <f t="shared" si="188"/>
        <v>1</v>
      </c>
      <c r="AO279" s="3" t="str">
        <f>IF(ISERROR(MATCH(A279,'SegEnds_Xtal_Prot#'!B:B, 0)), "NoXtal", "Xtal")</f>
        <v>NoXtal</v>
      </c>
      <c r="AP279" s="3">
        <f t="shared" si="173"/>
        <v>3</v>
      </c>
      <c r="AQ279" s="3">
        <f t="shared" si="174"/>
        <v>1</v>
      </c>
      <c r="AR279" s="3" t="str">
        <f t="shared" si="175"/>
        <v>-</v>
      </c>
      <c r="AS279" s="3" t="str">
        <f t="shared" si="176"/>
        <v>-</v>
      </c>
      <c r="AT279" s="3" t="str">
        <f t="shared" si="177"/>
        <v>-</v>
      </c>
      <c r="AU279" s="3" t="str">
        <f t="shared" si="178"/>
        <v>-</v>
      </c>
      <c r="AV279" s="3">
        <f t="shared" si="179"/>
        <v>6</v>
      </c>
      <c r="AW279" s="3">
        <f t="shared" si="180"/>
        <v>8</v>
      </c>
      <c r="AX279" s="3">
        <f t="shared" si="181"/>
        <v>70</v>
      </c>
      <c r="AY279" s="3">
        <f t="shared" si="182"/>
        <v>7</v>
      </c>
      <c r="AZ279" s="3">
        <f t="shared" si="183"/>
        <v>2</v>
      </c>
      <c r="BA279" s="3">
        <f>IF(ISERROR(LEN(VLOOKUP(A279,Seqs!A:E,2,FALSE))-AL279),"-",LEN(VLOOKUP(A279,Seqs!A:E,2,FALSE))-AL279)</f>
        <v>148</v>
      </c>
      <c r="BB279" s="16">
        <f t="shared" si="184"/>
        <v>30</v>
      </c>
      <c r="BC279" s="9" t="str">
        <f t="shared" si="185"/>
        <v>-</v>
      </c>
      <c r="BD279" s="3">
        <f t="shared" si="186"/>
        <v>30</v>
      </c>
      <c r="BE279" s="3">
        <f t="shared" si="187"/>
        <v>122</v>
      </c>
    </row>
    <row r="280" spans="1:58" s="3" customFormat="1" x14ac:dyDescent="0.2">
      <c r="A280" s="3" t="s">
        <v>269</v>
      </c>
      <c r="B280" s="3" t="str">
        <f>LOWER(VLOOKUP(A280,Xtal_Templ!A:B,2,FALSE))</f>
        <v>ox2r_human</v>
      </c>
      <c r="C280" s="3">
        <f>VLOOKUP($A280,'SegEnds_NonXtal_BW#'!$A:$Z,3,FALSE)+D280-50</f>
        <v>70</v>
      </c>
      <c r="D280" s="3">
        <v>89</v>
      </c>
      <c r="E280" s="3">
        <f>IF(ISERROR(VLOOKUP($A280,'SegEnds_NonXtal_BW#'!$A:$Z,4,FALSE)+VLOOKUP($A280,A:AL,4,FALSE)-50),"-",(VLOOKUP($A280,'SegEnds_NonXtal_BW#'!$A:$Z,4,FALSE)+VLOOKUP($A280,A:AL,4,FALSE)-50))</f>
        <v>99</v>
      </c>
      <c r="F280" s="3">
        <f t="shared" si="192"/>
        <v>100</v>
      </c>
      <c r="G280" s="3">
        <v>102</v>
      </c>
      <c r="H280" s="3">
        <f t="shared" si="193"/>
        <v>103</v>
      </c>
      <c r="I280" s="3">
        <f t="shared" si="193"/>
        <v>104</v>
      </c>
      <c r="J280" s="3">
        <v>117</v>
      </c>
      <c r="K280" s="3">
        <f>VLOOKUP($A280,'SegEnds_NonXtal_BW#'!$A:$Z,8,FALSE)+VLOOKUP($A280,A:AL,10,FALSE)-50</f>
        <v>135</v>
      </c>
      <c r="L280" s="3">
        <f t="shared" ref="L280:L297" si="194">M280-1</f>
        <v>136</v>
      </c>
      <c r="M280" s="3">
        <v>137</v>
      </c>
      <c r="N280" s="3">
        <f t="shared" ref="N280:N297" si="195">M280+2</f>
        <v>139</v>
      </c>
      <c r="O280" s="3">
        <f t="shared" ref="O280:O297" si="196">N280+1</f>
        <v>140</v>
      </c>
      <c r="P280" s="3">
        <v>169</v>
      </c>
      <c r="Q280" s="3">
        <f>VLOOKUP($A280,'SegEnds_NonXtal_BW#'!$A:$Z,12,FALSE)+VLOOKUP($A280,A:AL,16,FALSE)-50</f>
        <v>175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182</v>
      </c>
      <c r="V280" s="3">
        <v>194</v>
      </c>
      <c r="W280" s="3">
        <f>IF(ISERROR(VLOOKUP($A280,'SegEnds_NonXtal_BW#'!$A:$Z,16,FALSE)+VLOOKUP($A280,A:AL,22,FALSE)-50),"-",(VLOOKUP($A280,'SegEnds_NonXtal_BW#'!$A:$Z,16,FALSE)+VLOOKUP($A280,A:AL,22,FALSE)-50))</f>
        <v>208</v>
      </c>
      <c r="X280" s="3">
        <f>IF(ISERROR(VLOOKUP($A280,'SegEnds_NonXtal_BW#'!$A:$Z,17,FALSE)+VLOOKUP($A280,A:AL,25,FALSE)-50),"-",(VLOOKUP($A280,'SegEnds_NonXtal_BW#'!$A:$Z,17,FALSE)+VLOOKUP($A280,A:AL,25,FALSE)-50))</f>
        <v>224</v>
      </c>
      <c r="Y280" s="3">
        <v>224</v>
      </c>
      <c r="Z280" s="3">
        <f t="shared" si="190"/>
        <v>226</v>
      </c>
      <c r="AA280" s="3">
        <f>IF(ISERROR(VLOOKUP($A280,'SegEnds_NonXtal_BW#'!$A:$Z,19,FALSE)+VLOOKUP($A280,A:AL,28,FALSE)-50),"-",(VLOOKUP($A280,'SegEnds_NonXtal_BW#'!$A:$Z,19,FALSE)+VLOOKUP($A280,A:AL,28,FALSE)-50))</f>
        <v>234</v>
      </c>
      <c r="AB280" s="3">
        <v>251</v>
      </c>
      <c r="AC280" s="3">
        <f>IF(ISERROR((VLOOKUP($A280,'SegEnds_NonXtal_BW#'!$A:$Z,20,FALSE)+VLOOKUP($A280,A:AL,28,FALSE)-50)),"-",(VLOOKUP($A280,'SegEnds_NonXtal_BW#'!$A:$Z,20,FALSE)+VLOOKUP($A280,A:AL,28,FALSE)-50))</f>
        <v>274</v>
      </c>
      <c r="AD280" s="3">
        <f>IF(ISERROR(VLOOKUP($A280,'SegEnds_NonXtal_BW#'!$A:$Z,21,FALSE)+VLOOKUP($A280,A:AL,31,FALSE)-50),"-",(VLOOKUP($A280,'SegEnds_NonXtal_BW#'!$A:$Z,21,FALSE)+VLOOKUP($A280,A:AL,31,FALSE)-50))</f>
        <v>279</v>
      </c>
      <c r="AE280" s="3">
        <v>307</v>
      </c>
      <c r="AF280" s="3">
        <f>IF(ISERROR((VLOOKUP($A280,'SegEnds_NonXtal_BW#'!$A:$Z,22,FALSE)+VLOOKUP($A280,A:AL,31,FALSE)-50)),"-",(VLOOKUP($A280,'SegEnds_NonXtal_BW#'!$A:$Z,22,FALSE)+VLOOKUP($A280,A:AL,31,FALSE)-50))</f>
        <v>318</v>
      </c>
      <c r="AG280" s="3">
        <f>IF(ISERROR(VLOOKUP($A280,'SegEnds_NonXtal_BW#'!$A:$Z,23,FALSE)+VLOOKUP($A280,A:AL,34,FALSE)-50),"-",(VLOOKUP($A280,'SegEnds_NonXtal_BW#'!$A:$Z,23,FALSE)+VLOOKUP($A280,A:AL,34,FALSE)-50))</f>
        <v>323</v>
      </c>
      <c r="AH280" s="3">
        <v>342</v>
      </c>
      <c r="AI280" s="3">
        <f>IF(ISERROR((VLOOKUP($A280,'SegEnds_NonXtal_BW#'!$A:$Z,24,FALSE)+VLOOKUP($A280,A:AL,34,FALSE)-50)),"-",(VLOOKUP($A280,'SegEnds_NonXtal_BW#'!$A:$Z,24,FALSE)+VLOOKUP($A280,A:AL,34,FALSE)-50))</f>
        <v>348</v>
      </c>
      <c r="AJ280" s="3">
        <f>IF(ISERROR(VLOOKUP($A280,'SegEnds_NonXtal_BW#'!$A:$Z,25,FALSE)+VLOOKUP($A280,A:AL,37,FALSE)-50),"-",(VLOOKUP($A280,'SegEnds_NonXtal_BW#'!$A:$Z,25,FALSE)+VLOOKUP($A280,A:AL,37,FALSE)-50))</f>
        <v>349</v>
      </c>
      <c r="AK280" s="3">
        <v>352</v>
      </c>
      <c r="AL280" s="3">
        <f>IF(ISERROR((VLOOKUP($A280,'SegEnds_NonXtal_BW#'!$A:$Z,26,FALSE)+VLOOKUP($A280,A:AL,37,FALSE)-50)),"-",(VLOOKUP($A280,'SegEnds_NonXtal_BW#'!$A:$Z,26,FALSE)+VLOOKUP($A280,A:AL,37,FALSE)-50))</f>
        <v>365</v>
      </c>
      <c r="AM280" s="28" t="str">
        <f>VLOOKUP(A280,Classification!A:B,2,FALSE)</f>
        <v>A</v>
      </c>
      <c r="AN280" s="28" t="b">
        <f t="shared" si="188"/>
        <v>1</v>
      </c>
      <c r="AO280" s="3" t="str">
        <f>IF(ISERROR(MATCH(A280,'SegEnds_Xtal_Prot#'!B:B, 0)), "NoXtal", "Xtal")</f>
        <v>NoXtal</v>
      </c>
      <c r="AP280" s="3">
        <f t="shared" si="173"/>
        <v>1</v>
      </c>
      <c r="AQ280" s="3">
        <f t="shared" si="174"/>
        <v>1</v>
      </c>
      <c r="AR280" s="3">
        <f t="shared" si="175"/>
        <v>1</v>
      </c>
      <c r="AS280" s="3">
        <f t="shared" si="176"/>
        <v>1</v>
      </c>
      <c r="AT280" s="3" t="str">
        <f t="shared" si="177"/>
        <v>-</v>
      </c>
      <c r="AU280" s="3" t="str">
        <f t="shared" si="178"/>
        <v>-</v>
      </c>
      <c r="AV280" s="3">
        <f t="shared" si="179"/>
        <v>16</v>
      </c>
      <c r="AW280" s="3">
        <f t="shared" si="180"/>
        <v>8</v>
      </c>
      <c r="AX280" s="3">
        <f t="shared" si="181"/>
        <v>5</v>
      </c>
      <c r="AY280" s="3">
        <f t="shared" si="182"/>
        <v>5</v>
      </c>
      <c r="AZ280" s="3">
        <f t="shared" si="183"/>
        <v>1</v>
      </c>
      <c r="BA280" s="3">
        <f>IF(ISERROR(LEN(VLOOKUP(A280,Seqs!A:E,2,FALSE))-AL280),"-",LEN(VLOOKUP(A280,Seqs!A:E,2,FALSE))-AL280)</f>
        <v>58</v>
      </c>
      <c r="BB280" s="16">
        <f t="shared" si="184"/>
        <v>28</v>
      </c>
      <c r="BC280" s="9" t="str">
        <f t="shared" si="185"/>
        <v>-</v>
      </c>
      <c r="BD280" s="3">
        <f t="shared" si="186"/>
        <v>28</v>
      </c>
      <c r="BE280" s="3">
        <f t="shared" si="187"/>
        <v>56</v>
      </c>
    </row>
    <row r="281" spans="1:58" s="3" customFormat="1" x14ac:dyDescent="0.2">
      <c r="A281" s="3" t="s">
        <v>314</v>
      </c>
      <c r="B281" s="3" t="str">
        <f>LOWER(VLOOKUP(A281,Xtal_Templ!A:B,2,FALSE))</f>
        <v>nk1r_human</v>
      </c>
      <c r="C281" s="3">
        <f>VLOOKUP($A281,'SegEnds_NonXtal_BW#'!$A:$Z,3,FALSE)+D281-50</f>
        <v>28</v>
      </c>
      <c r="D281" s="3">
        <v>50</v>
      </c>
      <c r="E281" s="3">
        <f>IF(ISERROR(VLOOKUP($A281,'SegEnds_NonXtal_BW#'!$A:$Z,4,FALSE)+VLOOKUP($A281,A:AL,4,FALSE)-50),"-",(VLOOKUP($A281,'SegEnds_NonXtal_BW#'!$A:$Z,4,FALSE)+VLOOKUP($A281,A:AL,4,FALSE)-50))</f>
        <v>60</v>
      </c>
      <c r="F281" s="3">
        <f t="shared" si="192"/>
        <v>61</v>
      </c>
      <c r="G281" s="3">
        <v>63</v>
      </c>
      <c r="H281" s="3">
        <f t="shared" si="193"/>
        <v>64</v>
      </c>
      <c r="I281" s="3">
        <f t="shared" si="193"/>
        <v>65</v>
      </c>
      <c r="J281" s="3">
        <v>78</v>
      </c>
      <c r="K281" s="3">
        <f>VLOOKUP($A281,'SegEnds_NonXtal_BW#'!$A:$Z,8,FALSE)+VLOOKUP($A281,A:AL,10,FALSE)-50</f>
        <v>96</v>
      </c>
      <c r="L281" s="3">
        <f t="shared" si="194"/>
        <v>97</v>
      </c>
      <c r="M281" s="3">
        <v>98</v>
      </c>
      <c r="N281" s="3">
        <f t="shared" si="195"/>
        <v>100</v>
      </c>
      <c r="O281" s="3">
        <f t="shared" si="196"/>
        <v>101</v>
      </c>
      <c r="P281" s="3">
        <v>130</v>
      </c>
      <c r="Q281" s="3">
        <f>VLOOKUP($A281,'SegEnds_NonXtal_BW#'!$A:$Z,12,FALSE)+VLOOKUP($A281,A:AL,16,FALSE)-50</f>
        <v>136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143</v>
      </c>
      <c r="V281" s="3">
        <v>155</v>
      </c>
      <c r="W281" s="3">
        <f>IF(ISERROR(VLOOKUP($A281,'SegEnds_NonXtal_BW#'!$A:$Z,16,FALSE)+VLOOKUP($A281,A:AL,22,FALSE)-50),"-",(VLOOKUP($A281,'SegEnds_NonXtal_BW#'!$A:$Z,16,FALSE)+VLOOKUP($A281,A:AL,22,FALSE)-50))</f>
        <v>169</v>
      </c>
      <c r="X281" s="3">
        <f>IF(ISERROR(VLOOKUP($A281,'SegEnds_NonXtal_BW#'!$A:$Z,17,FALSE)+VLOOKUP($A281,A:AL,25,FALSE)-50),"-",(VLOOKUP($A281,'SegEnds_NonXtal_BW#'!$A:$Z,17,FALSE)+VLOOKUP($A281,A:AL,25,FALSE)-50))</f>
        <v>180</v>
      </c>
      <c r="Y281" s="3">
        <v>180</v>
      </c>
      <c r="Z281" s="3">
        <f t="shared" si="190"/>
        <v>182</v>
      </c>
      <c r="AA281" s="3">
        <f>IF(ISERROR(VLOOKUP($A281,'SegEnds_NonXtal_BW#'!$A:$Z,19,FALSE)+VLOOKUP($A281,A:AL,28,FALSE)-50),"-",(VLOOKUP($A281,'SegEnds_NonXtal_BW#'!$A:$Z,19,FALSE)+VLOOKUP($A281,A:AL,28,FALSE)-50))</f>
        <v>188</v>
      </c>
      <c r="AB281" s="3">
        <v>208</v>
      </c>
      <c r="AC281" s="3">
        <f>IF(ISERROR((VLOOKUP($A281,'SegEnds_NonXtal_BW#'!$A:$Z,20,FALSE)+VLOOKUP($A281,A:AL,28,FALSE)-50)),"-",(VLOOKUP($A281,'SegEnds_NonXtal_BW#'!$A:$Z,20,FALSE)+VLOOKUP($A281,A:AL,28,FALSE)-50))</f>
        <v>231</v>
      </c>
      <c r="AD281" s="3">
        <f>IF(ISERROR(VLOOKUP($A281,'SegEnds_NonXtal_BW#'!$A:$Z,21,FALSE)+VLOOKUP($A281,A:AL,31,FALSE)-50),"-",(VLOOKUP($A281,'SegEnds_NonXtal_BW#'!$A:$Z,21,FALSE)+VLOOKUP($A281,A:AL,31,FALSE)-50))</f>
        <v>235</v>
      </c>
      <c r="AE281" s="3">
        <v>263</v>
      </c>
      <c r="AF281" s="3">
        <f>IF(ISERROR((VLOOKUP($A281,'SegEnds_NonXtal_BW#'!$A:$Z,22,FALSE)+VLOOKUP($A281,A:AL,31,FALSE)-50)),"-",(VLOOKUP($A281,'SegEnds_NonXtal_BW#'!$A:$Z,22,FALSE)+VLOOKUP($A281,A:AL,31,FALSE)-50))</f>
        <v>274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302</v>
      </c>
      <c r="AI281" s="3">
        <f>IF(ISERROR((VLOOKUP($A281,'SegEnds_NonXtal_BW#'!$A:$Z,24,FALSE)+VLOOKUP($A281,A:AL,34,FALSE)-50)),"-",(VLOOKUP($A281,'SegEnds_NonXtal_BW#'!$A:$Z,24,FALSE)+VLOOKUP($A281,A:AL,34,FALSE)-50))</f>
        <v>308</v>
      </c>
      <c r="AJ281" s="3">
        <f>IF(ISERROR(VLOOKUP($A281,'SegEnds_NonXtal_BW#'!$A:$Z,25,FALSE)+VLOOKUP($A281,A:AL,37,FALSE)-50),"-",(VLOOKUP($A281,'SegEnds_NonXtal_BW#'!$A:$Z,25,FALSE)+VLOOKUP($A281,A:AL,37,FALSE)-50))</f>
        <v>309</v>
      </c>
      <c r="AK281" s="3">
        <v>312</v>
      </c>
      <c r="AL281" s="3">
        <f>IF(ISERROR((VLOOKUP($A281,'SegEnds_NonXtal_BW#'!$A:$Z,26,FALSE)+VLOOKUP($A281,A:AL,37,FALSE)-50)),"-",(VLOOKUP($A281,'SegEnds_NonXtal_BW#'!$A:$Z,26,FALSE)+VLOOKUP($A281,A:AL,37,FALSE)-50))</f>
        <v>320</v>
      </c>
      <c r="AM281" s="28" t="str">
        <f>VLOOKUP(A281,Classification!A:B,2,FALSE)</f>
        <v>A</v>
      </c>
      <c r="AN281" s="28" t="b">
        <f t="shared" si="188"/>
        <v>1</v>
      </c>
      <c r="AO281" s="3" t="str">
        <f>IF(ISERROR(MATCH(A281,'SegEnds_Xtal_Prot#'!B:B, 0)), "NoXtal", "Xtal")</f>
        <v>Xtal</v>
      </c>
      <c r="AP281" s="3">
        <f t="shared" si="173"/>
        <v>1</v>
      </c>
      <c r="AQ281" s="3">
        <f t="shared" si="174"/>
        <v>1</v>
      </c>
      <c r="AR281" s="3">
        <f t="shared" si="175"/>
        <v>1</v>
      </c>
      <c r="AS281" s="3">
        <f t="shared" si="176"/>
        <v>1</v>
      </c>
      <c r="AT281" s="3" t="str">
        <f t="shared" si="177"/>
        <v>-</v>
      </c>
      <c r="AU281" s="3" t="str">
        <f t="shared" si="178"/>
        <v>-</v>
      </c>
      <c r="AV281" s="3">
        <f t="shared" si="179"/>
        <v>11</v>
      </c>
      <c r="AW281" s="3">
        <f t="shared" si="180"/>
        <v>6</v>
      </c>
      <c r="AX281" s="3">
        <f t="shared" si="181"/>
        <v>4</v>
      </c>
      <c r="AY281" s="3">
        <f t="shared" si="182"/>
        <v>8</v>
      </c>
      <c r="AZ281" s="3">
        <f t="shared" si="183"/>
        <v>1</v>
      </c>
      <c r="BA281" s="3">
        <f>IF(ISERROR(LEN(VLOOKUP(A281,Seqs!A:E,2,FALSE))-AL281),"-",LEN(VLOOKUP(A281,Seqs!A:E,2,FALSE))-AL281)</f>
        <v>87</v>
      </c>
      <c r="BB281" s="16">
        <f t="shared" si="184"/>
        <v>28</v>
      </c>
      <c r="BC281" s="9" t="str">
        <f t="shared" si="185"/>
        <v>-</v>
      </c>
      <c r="BD281" s="3">
        <f t="shared" si="186"/>
        <v>28</v>
      </c>
      <c r="BE281" s="3">
        <f t="shared" si="187"/>
        <v>55</v>
      </c>
    </row>
    <row r="282" spans="1:58" s="3" customFormat="1" x14ac:dyDescent="0.2">
      <c r="A282" s="3" t="s">
        <v>315</v>
      </c>
      <c r="B282" s="3" t="str">
        <f>LOWER(VLOOKUP(A282,Xtal_Templ!A:B,2,FALSE))</f>
        <v>nk1r_human</v>
      </c>
      <c r="C282" s="3">
        <f>VLOOKUP($A282,'SegEnds_NonXtal_BW#'!$A:$Z,3,FALSE)+D282-50</f>
        <v>29</v>
      </c>
      <c r="D282" s="3">
        <v>51</v>
      </c>
      <c r="E282" s="3">
        <f>IF(ISERROR(VLOOKUP($A282,'SegEnds_NonXtal_BW#'!$A:$Z,4,FALSE)+VLOOKUP($A282,A:AL,4,FALSE)-50),"-",(VLOOKUP($A282,'SegEnds_NonXtal_BW#'!$A:$Z,4,FALSE)+VLOOKUP($A282,A:AL,4,FALSE)-50))</f>
        <v>61</v>
      </c>
      <c r="F282" s="3">
        <f t="shared" si="192"/>
        <v>62</v>
      </c>
      <c r="G282" s="3">
        <v>64</v>
      </c>
      <c r="H282" s="3">
        <f t="shared" si="193"/>
        <v>65</v>
      </c>
      <c r="I282" s="3">
        <f t="shared" si="193"/>
        <v>66</v>
      </c>
      <c r="J282" s="3">
        <v>79</v>
      </c>
      <c r="K282" s="3">
        <f>VLOOKUP($A282,'SegEnds_NonXtal_BW#'!$A:$Z,8,FALSE)+VLOOKUP($A282,A:AL,10,FALSE)-50</f>
        <v>97</v>
      </c>
      <c r="L282" s="3">
        <f t="shared" si="194"/>
        <v>98</v>
      </c>
      <c r="M282" s="3">
        <v>99</v>
      </c>
      <c r="N282" s="3">
        <f t="shared" si="195"/>
        <v>101</v>
      </c>
      <c r="O282" s="3">
        <f t="shared" si="196"/>
        <v>102</v>
      </c>
      <c r="P282" s="3">
        <v>131</v>
      </c>
      <c r="Q282" s="3">
        <f>VLOOKUP($A282,'SegEnds_NonXtal_BW#'!$A:$Z,12,FALSE)+VLOOKUP($A282,A:AL,16,FALSE)-50</f>
        <v>137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144</v>
      </c>
      <c r="V282" s="3">
        <v>156</v>
      </c>
      <c r="W282" s="3">
        <f>IF(ISERROR(VLOOKUP($A282,'SegEnds_NonXtal_BW#'!$A:$Z,16,FALSE)+VLOOKUP($A282,A:AL,22,FALSE)-50),"-",(VLOOKUP($A282,'SegEnds_NonXtal_BW#'!$A:$Z,16,FALSE)+VLOOKUP($A282,A:AL,22,FALSE)-50))</f>
        <v>170</v>
      </c>
      <c r="X282" s="3">
        <f>IF(ISERROR(VLOOKUP($A282,'SegEnds_NonXtal_BW#'!$A:$Z,17,FALSE)+VLOOKUP($A282,A:AL,25,FALSE)-50),"-",(VLOOKUP($A282,'SegEnds_NonXtal_BW#'!$A:$Z,17,FALSE)+VLOOKUP($A282,A:AL,25,FALSE)-50))</f>
        <v>181</v>
      </c>
      <c r="Y282" s="3">
        <v>181</v>
      </c>
      <c r="Z282" s="3">
        <f t="shared" si="190"/>
        <v>183</v>
      </c>
      <c r="AA282" s="3">
        <f>IF(ISERROR(VLOOKUP($A282,'SegEnds_NonXtal_BW#'!$A:$Z,19,FALSE)+VLOOKUP($A282,A:AL,28,FALSE)-50),"-",(VLOOKUP($A282,'SegEnds_NonXtal_BW#'!$A:$Z,19,FALSE)+VLOOKUP($A282,A:AL,28,FALSE)-50))</f>
        <v>189</v>
      </c>
      <c r="AB282" s="3">
        <v>209</v>
      </c>
      <c r="AC282" s="3">
        <f>IF(ISERROR((VLOOKUP($A282,'SegEnds_NonXtal_BW#'!$A:$Z,20,FALSE)+VLOOKUP($A282,A:AL,28,FALSE)-50)),"-",(VLOOKUP($A282,'SegEnds_NonXtal_BW#'!$A:$Z,20,FALSE)+VLOOKUP($A282,A:AL,28,FALSE)-50))</f>
        <v>232</v>
      </c>
      <c r="AD282" s="3">
        <f>IF(ISERROR(VLOOKUP($A282,'SegEnds_NonXtal_BW#'!$A:$Z,21,FALSE)+VLOOKUP($A282,A:AL,31,FALSE)-50),"-",(VLOOKUP($A282,'SegEnds_NonXtal_BW#'!$A:$Z,21,FALSE)+VLOOKUP($A282,A:AL,31,FALSE)-50))</f>
        <v>237</v>
      </c>
      <c r="AE282" s="3">
        <v>265</v>
      </c>
      <c r="AF282" s="3">
        <f>IF(ISERROR((VLOOKUP($A282,'SegEnds_NonXtal_BW#'!$A:$Z,22,FALSE)+VLOOKUP($A282,A:AL,31,FALSE)-50)),"-",(VLOOKUP($A282,'SegEnds_NonXtal_BW#'!$A:$Z,22,FALSE)+VLOOKUP($A282,A:AL,31,FALSE)-50))</f>
        <v>276</v>
      </c>
      <c r="AG282" s="3">
        <f>IF(ISERROR(VLOOKUP($A282,'SegEnds_NonXtal_BW#'!$A:$Z,23,FALSE)+VLOOKUP($A282,A:AL,34,FALSE)-50),"-",(VLOOKUP($A282,'SegEnds_NonXtal_BW#'!$A:$Z,23,FALSE)+VLOOKUP($A282,A:AL,34,FALSE)-50))</f>
        <v>284</v>
      </c>
      <c r="AH282" s="3">
        <v>304</v>
      </c>
      <c r="AI282" s="3">
        <f>IF(ISERROR((VLOOKUP($A282,'SegEnds_NonXtal_BW#'!$A:$Z,24,FALSE)+VLOOKUP($A282,A:AL,34,FALSE)-50)),"-",(VLOOKUP($A282,'SegEnds_NonXtal_BW#'!$A:$Z,24,FALSE)+VLOOKUP($A282,A:AL,34,FALSE)-50))</f>
        <v>310</v>
      </c>
      <c r="AJ282" s="3">
        <f>IF(ISERROR(VLOOKUP($A282,'SegEnds_NonXtal_BW#'!$A:$Z,25,FALSE)+VLOOKUP($A282,A:AL,37,FALSE)-50),"-",(VLOOKUP($A282,'SegEnds_NonXtal_BW#'!$A:$Z,25,FALSE)+VLOOKUP($A282,A:AL,37,FALSE)-50))</f>
        <v>311</v>
      </c>
      <c r="AK282" s="3">
        <v>314</v>
      </c>
      <c r="AL282" s="3">
        <f>IF(ISERROR((VLOOKUP($A282,'SegEnds_NonXtal_BW#'!$A:$Z,26,FALSE)+VLOOKUP($A282,A:AL,37,FALSE)-50)),"-",(VLOOKUP($A282,'SegEnds_NonXtal_BW#'!$A:$Z,26,FALSE)+VLOOKUP($A282,A:AL,37,FALSE)-50))</f>
        <v>322</v>
      </c>
      <c r="AM282" s="28" t="str">
        <f>VLOOKUP(A282,Classification!A:B,2,FALSE)</f>
        <v>A</v>
      </c>
      <c r="AN282" s="28" t="b">
        <f t="shared" si="188"/>
        <v>1</v>
      </c>
      <c r="AO282" s="3" t="str">
        <f>IF(ISERROR(MATCH(A282,'SegEnds_Xtal_Prot#'!B:B, 0)), "NoXtal", "Xtal")</f>
        <v>NoXtal</v>
      </c>
      <c r="AP282" s="3">
        <f t="shared" si="173"/>
        <v>1</v>
      </c>
      <c r="AQ282" s="3">
        <f t="shared" si="174"/>
        <v>1</v>
      </c>
      <c r="AR282" s="3">
        <f t="shared" si="175"/>
        <v>1</v>
      </c>
      <c r="AS282" s="3">
        <f t="shared" si="176"/>
        <v>1</v>
      </c>
      <c r="AT282" s="3" t="str">
        <f t="shared" si="177"/>
        <v>-</v>
      </c>
      <c r="AU282" s="3" t="str">
        <f t="shared" si="178"/>
        <v>-</v>
      </c>
      <c r="AV282" s="3">
        <f t="shared" si="179"/>
        <v>11</v>
      </c>
      <c r="AW282" s="3">
        <f t="shared" si="180"/>
        <v>6</v>
      </c>
      <c r="AX282" s="3">
        <f t="shared" si="181"/>
        <v>5</v>
      </c>
      <c r="AY282" s="3">
        <f t="shared" si="182"/>
        <v>8</v>
      </c>
      <c r="AZ282" s="3">
        <f t="shared" si="183"/>
        <v>1</v>
      </c>
      <c r="BA282" s="3">
        <f>IF(ISERROR(LEN(VLOOKUP(A282,Seqs!A:E,2,FALSE))-AL282),"-",LEN(VLOOKUP(A282,Seqs!A:E,2,FALSE))-AL282)</f>
        <v>76</v>
      </c>
      <c r="BB282" s="16">
        <f t="shared" si="184"/>
        <v>28</v>
      </c>
      <c r="BC282" s="9" t="str">
        <f t="shared" si="185"/>
        <v>-</v>
      </c>
      <c r="BD282" s="3">
        <f t="shared" si="186"/>
        <v>28</v>
      </c>
      <c r="BE282" s="3">
        <f t="shared" si="187"/>
        <v>56</v>
      </c>
    </row>
    <row r="283" spans="1:58" s="3" customFormat="1" x14ac:dyDescent="0.2">
      <c r="A283" s="3" t="s">
        <v>316</v>
      </c>
      <c r="B283" s="3" t="str">
        <f>LOWER(VLOOKUP(A283,Xtal_Templ!A:B,2,FALSE))</f>
        <v>nk1r_human</v>
      </c>
      <c r="C283" s="3">
        <f>VLOOKUP($A283,'SegEnds_NonXtal_BW#'!$A:$Z,3,FALSE)+D283-50</f>
        <v>81</v>
      </c>
      <c r="D283" s="3">
        <v>103</v>
      </c>
      <c r="E283" s="3">
        <f>IF(ISERROR(VLOOKUP($A283,'SegEnds_NonXtal_BW#'!$A:$Z,4,FALSE)+VLOOKUP($A283,A:AL,4,FALSE)-50),"-",(VLOOKUP($A283,'SegEnds_NonXtal_BW#'!$A:$Z,4,FALSE)+VLOOKUP($A283,A:AL,4,FALSE)-50))</f>
        <v>113</v>
      </c>
      <c r="F283" s="3">
        <f t="shared" si="192"/>
        <v>114</v>
      </c>
      <c r="G283" s="3">
        <v>116</v>
      </c>
      <c r="H283" s="3">
        <f t="shared" si="193"/>
        <v>117</v>
      </c>
      <c r="I283" s="3">
        <f t="shared" si="193"/>
        <v>118</v>
      </c>
      <c r="J283" s="3">
        <v>131</v>
      </c>
      <c r="K283" s="3">
        <f>VLOOKUP($A283,'SegEnds_NonXtal_BW#'!$A:$Z,8,FALSE)+VLOOKUP($A283,A:AL,10,FALSE)-50</f>
        <v>149</v>
      </c>
      <c r="L283" s="3">
        <f t="shared" si="194"/>
        <v>150</v>
      </c>
      <c r="M283" s="3">
        <v>151</v>
      </c>
      <c r="N283" s="3">
        <f t="shared" si="195"/>
        <v>153</v>
      </c>
      <c r="O283" s="3">
        <f t="shared" si="196"/>
        <v>154</v>
      </c>
      <c r="P283" s="3">
        <v>183</v>
      </c>
      <c r="Q283" s="3">
        <f>VLOOKUP($A283,'SegEnds_NonXtal_BW#'!$A:$Z,12,FALSE)+VLOOKUP($A283,A:AL,16,FALSE)-50</f>
        <v>189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196</v>
      </c>
      <c r="V283" s="3">
        <v>208</v>
      </c>
      <c r="W283" s="3">
        <f>IF(ISERROR(VLOOKUP($A283,'SegEnds_NonXtal_BW#'!$A:$Z,16,FALSE)+VLOOKUP($A283,A:AL,22,FALSE)-50),"-",(VLOOKUP($A283,'SegEnds_NonXtal_BW#'!$A:$Z,16,FALSE)+VLOOKUP($A283,A:AL,22,FALSE)-50))</f>
        <v>222</v>
      </c>
      <c r="X283" s="3">
        <f>IF(ISERROR(VLOOKUP($A283,'SegEnds_NonXtal_BW#'!$A:$Z,17,FALSE)+VLOOKUP($A283,A:AL,25,FALSE)-50),"-",(VLOOKUP($A283,'SegEnds_NonXtal_BW#'!$A:$Z,17,FALSE)+VLOOKUP($A283,A:AL,25,FALSE)-50))</f>
        <v>233</v>
      </c>
      <c r="Y283" s="3">
        <v>233</v>
      </c>
      <c r="Z283" s="3">
        <f t="shared" si="190"/>
        <v>235</v>
      </c>
      <c r="AA283" s="3">
        <f>IF(ISERROR(VLOOKUP($A283,'SegEnds_NonXtal_BW#'!$A:$Z,19,FALSE)+VLOOKUP($A283,A:AL,28,FALSE)-50),"-",(VLOOKUP($A283,'SegEnds_NonXtal_BW#'!$A:$Z,19,FALSE)+VLOOKUP($A283,A:AL,28,FALSE)-50))</f>
        <v>239</v>
      </c>
      <c r="AB283" s="3">
        <v>259</v>
      </c>
      <c r="AC283" s="3">
        <f>IF(ISERROR((VLOOKUP($A283,'SegEnds_NonXtal_BW#'!$A:$Z,20,FALSE)+VLOOKUP($A283,A:AL,28,FALSE)-50)),"-",(VLOOKUP($A283,'SegEnds_NonXtal_BW#'!$A:$Z,20,FALSE)+VLOOKUP($A283,A:AL,28,FALSE)-50))</f>
        <v>282</v>
      </c>
      <c r="AD283" s="3">
        <f>IF(ISERROR(VLOOKUP($A283,'SegEnds_NonXtal_BW#'!$A:$Z,21,FALSE)+VLOOKUP($A283,A:AL,31,FALSE)-50),"-",(VLOOKUP($A283,'SegEnds_NonXtal_BW#'!$A:$Z,21,FALSE)+VLOOKUP($A283,A:AL,31,FALSE)-50))</f>
        <v>286</v>
      </c>
      <c r="AE283" s="3">
        <v>314</v>
      </c>
      <c r="AF283" s="3">
        <f>IF(ISERROR((VLOOKUP($A283,'SegEnds_NonXtal_BW#'!$A:$Z,22,FALSE)+VLOOKUP($A283,A:AL,31,FALSE)-50)),"-",(VLOOKUP($A283,'SegEnds_NonXtal_BW#'!$A:$Z,22,FALSE)+VLOOKUP($A283,A:AL,31,FALSE)-50))</f>
        <v>325</v>
      </c>
      <c r="AG283" s="3">
        <f>IF(ISERROR(VLOOKUP($A283,'SegEnds_NonXtal_BW#'!$A:$Z,23,FALSE)+VLOOKUP($A283,A:AL,34,FALSE)-50),"-",(VLOOKUP($A283,'SegEnds_NonXtal_BW#'!$A:$Z,23,FALSE)+VLOOKUP($A283,A:AL,34,FALSE)-50))</f>
        <v>333</v>
      </c>
      <c r="AH283" s="3">
        <v>353</v>
      </c>
      <c r="AI283" s="3">
        <f>IF(ISERROR((VLOOKUP($A283,'SegEnds_NonXtal_BW#'!$A:$Z,24,FALSE)+VLOOKUP($A283,A:AL,34,FALSE)-50)),"-",(VLOOKUP($A283,'SegEnds_NonXtal_BW#'!$A:$Z,24,FALSE)+VLOOKUP($A283,A:AL,34,FALSE)-50))</f>
        <v>359</v>
      </c>
      <c r="AJ283" s="3">
        <f>IF(ISERROR(VLOOKUP($A283,'SegEnds_NonXtal_BW#'!$A:$Z,25,FALSE)+VLOOKUP($A283,A:AL,37,FALSE)-50),"-",(VLOOKUP($A283,'SegEnds_NonXtal_BW#'!$A:$Z,25,FALSE)+VLOOKUP($A283,A:AL,37,FALSE)-50))</f>
        <v>360</v>
      </c>
      <c r="AK283" s="3">
        <v>363</v>
      </c>
      <c r="AL283" s="3">
        <f>IF(ISERROR((VLOOKUP($A283,'SegEnds_NonXtal_BW#'!$A:$Z,26,FALSE)+VLOOKUP($A283,A:AL,37,FALSE)-50)),"-",(VLOOKUP($A283,'SegEnds_NonXtal_BW#'!$A:$Z,26,FALSE)+VLOOKUP($A283,A:AL,37,FALSE)-50))</f>
        <v>371</v>
      </c>
      <c r="AM283" s="28" t="str">
        <f>VLOOKUP(A283,Classification!A:B,2,FALSE)</f>
        <v>A</v>
      </c>
      <c r="AN283" s="28" t="b">
        <f t="shared" si="188"/>
        <v>1</v>
      </c>
      <c r="AO283" s="3" t="str">
        <f>IF(ISERROR(MATCH(A283,'SegEnds_Xtal_Prot#'!B:B, 0)), "NoXtal", "Xtal")</f>
        <v>NoXtal</v>
      </c>
      <c r="AP283" s="3">
        <f t="shared" si="173"/>
        <v>1</v>
      </c>
      <c r="AQ283" s="3">
        <f t="shared" si="174"/>
        <v>1</v>
      </c>
      <c r="AR283" s="3">
        <f t="shared" si="175"/>
        <v>1</v>
      </c>
      <c r="AS283" s="3">
        <f t="shared" si="176"/>
        <v>1</v>
      </c>
      <c r="AT283" s="3" t="str">
        <f t="shared" si="177"/>
        <v>-</v>
      </c>
      <c r="AU283" s="3" t="str">
        <f t="shared" si="178"/>
        <v>-</v>
      </c>
      <c r="AV283" s="3">
        <f t="shared" si="179"/>
        <v>11</v>
      </c>
      <c r="AW283" s="3">
        <f t="shared" si="180"/>
        <v>4</v>
      </c>
      <c r="AX283" s="3">
        <f t="shared" si="181"/>
        <v>4</v>
      </c>
      <c r="AY283" s="3">
        <f t="shared" si="182"/>
        <v>8</v>
      </c>
      <c r="AZ283" s="3">
        <f t="shared" si="183"/>
        <v>1</v>
      </c>
      <c r="BA283" s="3">
        <f>IF(ISERROR(LEN(VLOOKUP(A283,Seqs!A:E,2,FALSE))-AL283),"-",LEN(VLOOKUP(A283,Seqs!A:E,2,FALSE))-AL283)</f>
        <v>94</v>
      </c>
      <c r="BB283" s="16">
        <f t="shared" si="184"/>
        <v>28</v>
      </c>
      <c r="BC283" s="9" t="str">
        <f t="shared" si="185"/>
        <v>-</v>
      </c>
      <c r="BD283" s="3">
        <f t="shared" si="186"/>
        <v>28</v>
      </c>
      <c r="BE283" s="3">
        <f t="shared" si="187"/>
        <v>55</v>
      </c>
    </row>
    <row r="284" spans="1:58" s="3" customFormat="1" x14ac:dyDescent="0.2">
      <c r="A284" s="3" t="s">
        <v>320</v>
      </c>
      <c r="B284" s="3" t="str">
        <f>LOWER(VLOOKUP(A284,Xtal_Templ!A:B,2,FALSE))</f>
        <v>oprd_human</v>
      </c>
      <c r="C284" s="3">
        <f>VLOOKUP($A284,'SegEnds_NonXtal_BW#'!$A:$Z,3,FALSE)+D284-50</f>
        <v>27</v>
      </c>
      <c r="D284" s="3">
        <v>55</v>
      </c>
      <c r="E284" s="3">
        <f>IF(ISERROR(VLOOKUP($A284,'SegEnds_NonXtal_BW#'!$A:$Z,4,FALSE)+VLOOKUP($A284,A:AL,4,FALSE)-50),"-",(VLOOKUP($A284,'SegEnds_NonXtal_BW#'!$A:$Z,4,FALSE)+VLOOKUP($A284,A:AL,4,FALSE)-50))</f>
        <v>65</v>
      </c>
      <c r="F284" s="3">
        <f t="shared" si="192"/>
        <v>66</v>
      </c>
      <c r="G284" s="3">
        <v>68</v>
      </c>
      <c r="H284" s="3">
        <f t="shared" si="193"/>
        <v>69</v>
      </c>
      <c r="I284" s="3">
        <f t="shared" si="193"/>
        <v>70</v>
      </c>
      <c r="J284" s="3">
        <v>83</v>
      </c>
      <c r="K284" s="3">
        <f>VLOOKUP($A284,'SegEnds_NonXtal_BW#'!$A:$Z,8,FALSE)+VLOOKUP($A284,A:AL,10,FALSE)-50</f>
        <v>99</v>
      </c>
      <c r="L284" s="3">
        <f t="shared" si="194"/>
        <v>101</v>
      </c>
      <c r="M284" s="3">
        <v>102</v>
      </c>
      <c r="N284" s="3">
        <f t="shared" si="195"/>
        <v>104</v>
      </c>
      <c r="O284" s="3">
        <f t="shared" si="196"/>
        <v>105</v>
      </c>
      <c r="P284" s="3">
        <v>134</v>
      </c>
      <c r="Q284" s="3">
        <f>VLOOKUP($A284,'SegEnds_NonXtal_BW#'!$A:$Z,12,FALSE)+VLOOKUP($A284,A:AL,16,FALSE)-50</f>
        <v>140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151</v>
      </c>
      <c r="V284" s="3">
        <v>163</v>
      </c>
      <c r="W284" s="3">
        <f>IF(ISERROR(VLOOKUP($A284,'SegEnds_NonXtal_BW#'!$A:$Z,16,FALSE)+VLOOKUP($A284,A:AL,22,FALSE)-50),"-",(VLOOKUP($A284,'SegEnds_NonXtal_BW#'!$A:$Z,16,FALSE)+VLOOKUP($A284,A:AL,22,FALSE)-50))</f>
        <v>177</v>
      </c>
      <c r="X284" s="3">
        <f>IF(ISERROR(VLOOKUP($A284,'SegEnds_NonXtal_BW#'!$A:$Z,17,FALSE)+VLOOKUP($A284,A:AL,25,FALSE)-50),"-",(VLOOKUP($A284,'SegEnds_NonXtal_BW#'!$A:$Z,17,FALSE)+VLOOKUP($A284,A:AL,25,FALSE)-50))</f>
        <v>188</v>
      </c>
      <c r="Y284" s="3">
        <v>188</v>
      </c>
      <c r="Z284" s="3">
        <f t="shared" si="190"/>
        <v>190</v>
      </c>
      <c r="AA284" s="3">
        <f>IF(ISERROR(VLOOKUP($A284,'SegEnds_NonXtal_BW#'!$A:$Z,19,FALSE)+VLOOKUP($A284,A:AL,28,FALSE)-50),"-",(VLOOKUP($A284,'SegEnds_NonXtal_BW#'!$A:$Z,19,FALSE)+VLOOKUP($A284,A:AL,28,FALSE)-50))</f>
        <v>196</v>
      </c>
      <c r="AB284" s="3">
        <v>215</v>
      </c>
      <c r="AC284" s="3">
        <f>IF(ISERROR((VLOOKUP($A284,'SegEnds_NonXtal_BW#'!$A:$Z,20,FALSE)+VLOOKUP($A284,A:AL,28,FALSE)-50)),"-",(VLOOKUP($A284,'SegEnds_NonXtal_BW#'!$A:$Z,20,FALSE)+VLOOKUP($A284,A:AL,28,FALSE)-50))</f>
        <v>233</v>
      </c>
      <c r="AD284" s="3">
        <f>IF(ISERROR(VLOOKUP($A284,'SegEnds_NonXtal_BW#'!$A:$Z,21,FALSE)+VLOOKUP($A284,A:AL,31,FALSE)-50),"-",(VLOOKUP($A284,'SegEnds_NonXtal_BW#'!$A:$Z,21,FALSE)+VLOOKUP($A284,A:AL,31,FALSE)-50))</f>
        <v>239</v>
      </c>
      <c r="AE284" s="3">
        <v>266</v>
      </c>
      <c r="AF284" s="3">
        <f>IF(ISERROR((VLOOKUP($A284,'SegEnds_NonXtal_BW#'!$A:$Z,22,FALSE)+VLOOKUP($A284,A:AL,31,FALSE)-50)),"-",(VLOOKUP($A284,'SegEnds_NonXtal_BW#'!$A:$Z,22,FALSE)+VLOOKUP($A284,A:AL,31,FALSE)-50))</f>
        <v>277</v>
      </c>
      <c r="AG284" s="3">
        <f>IF(ISERROR(VLOOKUP($A284,'SegEnds_NonXtal_BW#'!$A:$Z,23,FALSE)+VLOOKUP($A284,A:AL,34,FALSE)-50),"-",(VLOOKUP($A284,'SegEnds_NonXtal_BW#'!$A:$Z,23,FALSE)+VLOOKUP($A284,A:AL,34,FALSE)-50))</f>
        <v>282</v>
      </c>
      <c r="AH284" s="3">
        <v>304</v>
      </c>
      <c r="AI284" s="3">
        <f>IF(ISERROR((VLOOKUP($A284,'SegEnds_NonXtal_BW#'!$A:$Z,24,FALSE)+VLOOKUP($A284,A:AL,34,FALSE)-50)),"-",(VLOOKUP($A284,'SegEnds_NonXtal_BW#'!$A:$Z,24,FALSE)+VLOOKUP($A284,A:AL,34,FALSE)-50))</f>
        <v>310</v>
      </c>
      <c r="AJ284" s="3">
        <f>IF(ISERROR(VLOOKUP($A284,'SegEnds_NonXtal_BW#'!$A:$Z,25,FALSE)+VLOOKUP($A284,A:AL,37,FALSE)-50),"-",(VLOOKUP($A284,'SegEnds_NonXtal_BW#'!$A:$Z,25,FALSE)+VLOOKUP($A284,A:AL,37,FALSE)-50))</f>
        <v>311</v>
      </c>
      <c r="AK284" s="3">
        <v>314</v>
      </c>
      <c r="AL284" s="3">
        <f>IF(ISERROR((VLOOKUP($A284,'SegEnds_NonXtal_BW#'!$A:$Z,26,FALSE)+VLOOKUP($A284,A:AL,37,FALSE)-50)),"-",(VLOOKUP($A284,'SegEnds_NonXtal_BW#'!$A:$Z,26,FALSE)+VLOOKUP($A284,A:AL,37,FALSE)-50))</f>
        <v>324</v>
      </c>
      <c r="AM284" s="28" t="str">
        <f>VLOOKUP(A284,Classification!A:B,2,FALSE)</f>
        <v>A</v>
      </c>
      <c r="AN284" s="28" t="b">
        <f t="shared" si="188"/>
        <v>1</v>
      </c>
      <c r="AO284" s="3" t="str">
        <f>IF(ISERROR(MATCH(A284,'SegEnds_Xtal_Prot#'!B:B, 0)), "NoXtal", "Xtal")</f>
        <v>NoXtal</v>
      </c>
      <c r="AP284" s="3">
        <f t="shared" si="173"/>
        <v>1</v>
      </c>
      <c r="AQ284" s="3">
        <f t="shared" si="174"/>
        <v>1</v>
      </c>
      <c r="AR284" s="3">
        <f t="shared" si="175"/>
        <v>2</v>
      </c>
      <c r="AS284" s="3">
        <f t="shared" si="176"/>
        <v>1</v>
      </c>
      <c r="AT284" s="3" t="str">
        <f t="shared" si="177"/>
        <v>-</v>
      </c>
      <c r="AU284" s="3" t="str">
        <f t="shared" si="178"/>
        <v>-</v>
      </c>
      <c r="AV284" s="3">
        <f t="shared" si="179"/>
        <v>11</v>
      </c>
      <c r="AW284" s="3">
        <f t="shared" si="180"/>
        <v>6</v>
      </c>
      <c r="AX284" s="3">
        <f t="shared" si="181"/>
        <v>6</v>
      </c>
      <c r="AY284" s="3">
        <f t="shared" si="182"/>
        <v>5</v>
      </c>
      <c r="AZ284" s="3">
        <f t="shared" si="183"/>
        <v>1</v>
      </c>
      <c r="BA284" s="3">
        <f>IF(ISERROR(LEN(VLOOKUP(A284,Seqs!A:E,2,FALSE))-AL284),"-",LEN(VLOOKUP(A284,Seqs!A:E,2,FALSE))-AL284)</f>
        <v>4</v>
      </c>
      <c r="BB284" s="16">
        <f t="shared" si="184"/>
        <v>28</v>
      </c>
      <c r="BC284" s="9" t="str">
        <f t="shared" si="185"/>
        <v>-</v>
      </c>
      <c r="BD284" s="3">
        <f t="shared" si="186"/>
        <v>28</v>
      </c>
      <c r="BE284" s="3">
        <f t="shared" si="187"/>
        <v>51</v>
      </c>
      <c r="BF284" s="3">
        <f>AH284-AE284</f>
        <v>38</v>
      </c>
    </row>
    <row r="285" spans="1:58" s="3" customFormat="1" x14ac:dyDescent="0.2">
      <c r="A285" s="3" t="s">
        <v>321</v>
      </c>
      <c r="B285" s="3" t="str">
        <f>LOWER(VLOOKUP(A285,Xtal_Templ!A:B,2,FALSE))</f>
        <v>oprd_human</v>
      </c>
      <c r="C285" s="3">
        <f>VLOOKUP($A285,'SegEnds_NonXtal_BW#'!$A:$Z,3,FALSE)+D285-50</f>
        <v>35</v>
      </c>
      <c r="D285" s="3">
        <v>63</v>
      </c>
      <c r="E285" s="3">
        <f>IF(ISERROR(VLOOKUP($A285,'SegEnds_NonXtal_BW#'!$A:$Z,4,FALSE)+VLOOKUP($A285,A:AL,4,FALSE)-50),"-",(VLOOKUP($A285,'SegEnds_NonXtal_BW#'!$A:$Z,4,FALSE)+VLOOKUP($A285,A:AL,4,FALSE)-50))</f>
        <v>73</v>
      </c>
      <c r="F285" s="3">
        <f t="shared" si="192"/>
        <v>74</v>
      </c>
      <c r="G285" s="3">
        <v>76</v>
      </c>
      <c r="H285" s="3">
        <f t="shared" si="193"/>
        <v>77</v>
      </c>
      <c r="I285" s="3">
        <f t="shared" si="193"/>
        <v>78</v>
      </c>
      <c r="J285" s="3">
        <v>91</v>
      </c>
      <c r="K285" s="3">
        <f>VLOOKUP($A285,'SegEnds_NonXtal_BW#'!$A:$Z,8,FALSE)+VLOOKUP($A285,A:AL,10,FALSE)-50</f>
        <v>107</v>
      </c>
      <c r="L285" s="3">
        <f t="shared" si="194"/>
        <v>109</v>
      </c>
      <c r="M285" s="3">
        <v>110</v>
      </c>
      <c r="N285" s="3">
        <f t="shared" si="195"/>
        <v>112</v>
      </c>
      <c r="O285" s="3">
        <f t="shared" si="196"/>
        <v>113</v>
      </c>
      <c r="P285" s="3">
        <v>142</v>
      </c>
      <c r="Q285" s="3">
        <f>VLOOKUP($A285,'SegEnds_NonXtal_BW#'!$A:$Z,12,FALSE)+VLOOKUP($A285,A:AL,16,FALSE)-50</f>
        <v>148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159</v>
      </c>
      <c r="V285" s="3">
        <v>171</v>
      </c>
      <c r="W285" s="3">
        <f>IF(ISERROR(VLOOKUP($A285,'SegEnds_NonXtal_BW#'!$A:$Z,16,FALSE)+VLOOKUP($A285,A:AL,22,FALSE)-50),"-",(VLOOKUP($A285,'SegEnds_NonXtal_BW#'!$A:$Z,16,FALSE)+VLOOKUP($A285,A:AL,22,FALSE)-50))</f>
        <v>185</v>
      </c>
      <c r="X285" s="3">
        <f>IF(ISERROR(VLOOKUP($A285,'SegEnds_NonXtal_BW#'!$A:$Z,17,FALSE)+VLOOKUP($A285,A:AL,25,FALSE)-50),"-",(VLOOKUP($A285,'SegEnds_NonXtal_BW#'!$A:$Z,17,FALSE)+VLOOKUP($A285,A:AL,25,FALSE)-50))</f>
        <v>197</v>
      </c>
      <c r="Y285" s="3">
        <v>197</v>
      </c>
      <c r="Z285" s="3">
        <f t="shared" si="190"/>
        <v>199</v>
      </c>
      <c r="AA285" s="3">
        <f>IF(ISERROR(VLOOKUP($A285,'SegEnds_NonXtal_BW#'!$A:$Z,19,FALSE)+VLOOKUP($A285,A:AL,28,FALSE)-50),"-",(VLOOKUP($A285,'SegEnds_NonXtal_BW#'!$A:$Z,19,FALSE)+VLOOKUP($A285,A:AL,28,FALSE)-50))</f>
        <v>205</v>
      </c>
      <c r="AB285" s="3">
        <v>224</v>
      </c>
      <c r="AC285" s="3">
        <f>IF(ISERROR((VLOOKUP($A285,'SegEnds_NonXtal_BW#'!$A:$Z,20,FALSE)+VLOOKUP($A285,A:AL,28,FALSE)-50)),"-",(VLOOKUP($A285,'SegEnds_NonXtal_BW#'!$A:$Z,20,FALSE)+VLOOKUP($A285,A:AL,28,FALSE)-50))</f>
        <v>242</v>
      </c>
      <c r="AD285" s="3">
        <f>IF(ISERROR(VLOOKUP($A285,'SegEnds_NonXtal_BW#'!$A:$Z,21,FALSE)+VLOOKUP($A285,A:AL,31,FALSE)-50),"-",(VLOOKUP($A285,'SegEnds_NonXtal_BW#'!$A:$Z,21,FALSE)+VLOOKUP($A285,A:AL,31,FALSE)-50))</f>
        <v>248</v>
      </c>
      <c r="AE285" s="3">
        <v>275</v>
      </c>
      <c r="AF285" s="3">
        <f>IF(ISERROR((VLOOKUP($A285,'SegEnds_NonXtal_BW#'!$A:$Z,22,FALSE)+VLOOKUP($A285,A:AL,31,FALSE)-50)),"-",(VLOOKUP($A285,'SegEnds_NonXtal_BW#'!$A:$Z,22,FALSE)+VLOOKUP($A285,A:AL,31,FALSE)-50))</f>
        <v>286</v>
      </c>
      <c r="AG285" s="3">
        <f>IF(ISERROR(VLOOKUP($A285,'SegEnds_NonXtal_BW#'!$A:$Z,23,FALSE)+VLOOKUP($A285,A:AL,34,FALSE)-50),"-",(VLOOKUP($A285,'SegEnds_NonXtal_BW#'!$A:$Z,23,FALSE)+VLOOKUP($A285,A:AL,34,FALSE)-50))</f>
        <v>291</v>
      </c>
      <c r="AH285" s="3">
        <v>313</v>
      </c>
      <c r="AI285" s="3">
        <f>IF(ISERROR((VLOOKUP($A285,'SegEnds_NonXtal_BW#'!$A:$Z,24,FALSE)+VLOOKUP($A285,A:AL,34,FALSE)-50)),"-",(VLOOKUP($A285,'SegEnds_NonXtal_BW#'!$A:$Z,24,FALSE)+VLOOKUP($A285,A:AL,34,FALSE)-50))</f>
        <v>319</v>
      </c>
      <c r="AJ285" s="3">
        <f>IF(ISERROR(VLOOKUP($A285,'SegEnds_NonXtal_BW#'!$A:$Z,25,FALSE)+VLOOKUP($A285,A:AL,37,FALSE)-50),"-",(VLOOKUP($A285,'SegEnds_NonXtal_BW#'!$A:$Z,25,FALSE)+VLOOKUP($A285,A:AL,37,FALSE)-50))</f>
        <v>320</v>
      </c>
      <c r="AK285" s="3">
        <v>323</v>
      </c>
      <c r="AL285" s="3">
        <f>IF(ISERROR((VLOOKUP($A285,'SegEnds_NonXtal_BW#'!$A:$Z,26,FALSE)+VLOOKUP($A285,A:AL,37,FALSE)-50)),"-",(VLOOKUP($A285,'SegEnds_NonXtal_BW#'!$A:$Z,26,FALSE)+VLOOKUP($A285,A:AL,37,FALSE)-50))</f>
        <v>333</v>
      </c>
      <c r="AM285" s="28" t="str">
        <f>VLOOKUP(A285,Classification!A:B,2,FALSE)</f>
        <v>A</v>
      </c>
      <c r="AN285" s="28" t="b">
        <f t="shared" si="188"/>
        <v>1</v>
      </c>
      <c r="AO285" s="3" t="str">
        <f>IF(ISERROR(MATCH(A285,'SegEnds_Xtal_Prot#'!B:B, 0)), "NoXtal", "Xtal")</f>
        <v>NoXtal</v>
      </c>
      <c r="AP285" s="3">
        <f t="shared" si="173"/>
        <v>1</v>
      </c>
      <c r="AQ285" s="3">
        <f t="shared" si="174"/>
        <v>1</v>
      </c>
      <c r="AR285" s="3">
        <f t="shared" si="175"/>
        <v>2</v>
      </c>
      <c r="AS285" s="3">
        <f t="shared" si="176"/>
        <v>1</v>
      </c>
      <c r="AT285" s="3" t="str">
        <f t="shared" si="177"/>
        <v>-</v>
      </c>
      <c r="AU285" s="3" t="str">
        <f t="shared" si="178"/>
        <v>-</v>
      </c>
      <c r="AV285" s="3">
        <f t="shared" si="179"/>
        <v>12</v>
      </c>
      <c r="AW285" s="3">
        <f t="shared" si="180"/>
        <v>6</v>
      </c>
      <c r="AX285" s="3">
        <f t="shared" si="181"/>
        <v>6</v>
      </c>
      <c r="AY285" s="3">
        <f t="shared" si="182"/>
        <v>5</v>
      </c>
      <c r="AZ285" s="3">
        <f t="shared" si="183"/>
        <v>1</v>
      </c>
      <c r="BA285" s="3">
        <f>IF(ISERROR(LEN(VLOOKUP(A285,Seqs!A:E,2,FALSE))-AL285),"-",LEN(VLOOKUP(A285,Seqs!A:E,2,FALSE))-AL285)</f>
        <v>0</v>
      </c>
      <c r="BB285" s="16">
        <f t="shared" si="184"/>
        <v>28</v>
      </c>
      <c r="BC285" s="9" t="str">
        <f t="shared" si="185"/>
        <v>-</v>
      </c>
      <c r="BD285" s="3">
        <f t="shared" si="186"/>
        <v>28</v>
      </c>
      <c r="BE285" s="3">
        <f t="shared" si="187"/>
        <v>51</v>
      </c>
      <c r="BF285" s="3">
        <f>AH285-AE285</f>
        <v>38</v>
      </c>
    </row>
    <row r="286" spans="1:58" s="3" customFormat="1" x14ac:dyDescent="0.2">
      <c r="A286" s="3" t="s">
        <v>322</v>
      </c>
      <c r="B286" s="3" t="str">
        <f>LOWER(VLOOKUP(A286,Xtal_Templ!A:B,2,FALSE))</f>
        <v>ox1r_human</v>
      </c>
      <c r="C286" s="3">
        <f>VLOOKUP($A286,'SegEnds_NonXtal_BW#'!$A:$Z,3,FALSE)+D286-50</f>
        <v>43</v>
      </c>
      <c r="D286" s="3">
        <v>61</v>
      </c>
      <c r="E286" s="3">
        <f>IF(ISERROR(VLOOKUP($A286,'SegEnds_NonXtal_BW#'!$A:$Z,4,FALSE)+VLOOKUP($A286,A:AL,4,FALSE)-50),"-",(VLOOKUP($A286,'SegEnds_NonXtal_BW#'!$A:$Z,4,FALSE)+VLOOKUP($A286,A:AL,4,FALSE)-50))</f>
        <v>71</v>
      </c>
      <c r="F286" s="3">
        <f t="shared" si="192"/>
        <v>72</v>
      </c>
      <c r="G286" s="3">
        <v>74</v>
      </c>
      <c r="H286" s="3">
        <f t="shared" si="193"/>
        <v>75</v>
      </c>
      <c r="I286" s="3">
        <f t="shared" si="193"/>
        <v>76</v>
      </c>
      <c r="J286" s="3">
        <v>89</v>
      </c>
      <c r="K286" s="3">
        <f>VLOOKUP($A286,'SegEnds_NonXtal_BW#'!$A:$Z,8,FALSE)+VLOOKUP($A286,A:AL,10,FALSE)-50</f>
        <v>107</v>
      </c>
      <c r="L286" s="3">
        <f t="shared" si="194"/>
        <v>108</v>
      </c>
      <c r="M286" s="3">
        <v>109</v>
      </c>
      <c r="N286" s="3">
        <f t="shared" si="195"/>
        <v>111</v>
      </c>
      <c r="O286" s="3">
        <f t="shared" si="196"/>
        <v>112</v>
      </c>
      <c r="P286" s="3">
        <v>141</v>
      </c>
      <c r="Q286" s="3">
        <f>VLOOKUP($A286,'SegEnds_NonXtal_BW#'!$A:$Z,12,FALSE)+VLOOKUP($A286,A:AL,16,FALSE)-50</f>
        <v>147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154</v>
      </c>
      <c r="V286" s="3">
        <v>166</v>
      </c>
      <c r="W286" s="3">
        <f>IF(ISERROR(VLOOKUP($A286,'SegEnds_NonXtal_BW#'!$A:$Z,16,FALSE)+VLOOKUP($A286,A:AL,22,FALSE)-50),"-",(VLOOKUP($A286,'SegEnds_NonXtal_BW#'!$A:$Z,16,FALSE)+VLOOKUP($A286,A:AL,22,FALSE)-50))</f>
        <v>180</v>
      </c>
      <c r="X286" s="3">
        <f>IF(ISERROR(VLOOKUP($A286,'SegEnds_NonXtal_BW#'!$A:$Z,17,FALSE)+VLOOKUP($A286,A:AL,25,FALSE)-50),"-",(VLOOKUP($A286,'SegEnds_NonXtal_BW#'!$A:$Z,17,FALSE)+VLOOKUP($A286,A:AL,25,FALSE)-50))</f>
        <v>203</v>
      </c>
      <c r="Y286" s="3">
        <v>203</v>
      </c>
      <c r="Z286" s="3">
        <f t="shared" si="190"/>
        <v>205</v>
      </c>
      <c r="AA286" s="3">
        <f>IF(ISERROR(VLOOKUP($A286,'SegEnds_NonXtal_BW#'!$A:$Z,19,FALSE)+VLOOKUP($A286,A:AL,28,FALSE)-50),"-",(VLOOKUP($A286,'SegEnds_NonXtal_BW#'!$A:$Z,19,FALSE)+VLOOKUP($A286,A:AL,28,FALSE)-50))</f>
        <v>211</v>
      </c>
      <c r="AB286" s="3">
        <v>228</v>
      </c>
      <c r="AC286" s="3">
        <f>IF(ISERROR((VLOOKUP($A286,'SegEnds_NonXtal_BW#'!$A:$Z,20,FALSE)+VLOOKUP($A286,A:AL,28,FALSE)-50)),"-",(VLOOKUP($A286,'SegEnds_NonXtal_BW#'!$A:$Z,20,FALSE)+VLOOKUP($A286,A:AL,28,FALSE)-50))</f>
        <v>251</v>
      </c>
      <c r="AD286" s="3">
        <f>IF(ISERROR(VLOOKUP($A286,'SegEnds_NonXtal_BW#'!$A:$Z,21,FALSE)+VLOOKUP($A286,A:AL,31,FALSE)-50),"-",(VLOOKUP($A286,'SegEnds_NonXtal_BW#'!$A:$Z,21,FALSE)+VLOOKUP($A286,A:AL,31,FALSE)-50))</f>
        <v>257</v>
      </c>
      <c r="AE286" s="3">
        <v>285</v>
      </c>
      <c r="AF286" s="3">
        <f>IF(ISERROR((VLOOKUP($A286,'SegEnds_NonXtal_BW#'!$A:$Z,22,FALSE)+VLOOKUP($A286,A:AL,31,FALSE)-50)),"-",(VLOOKUP($A286,'SegEnds_NonXtal_BW#'!$A:$Z,22,FALSE)+VLOOKUP($A286,A:AL,31,FALSE)-50))</f>
        <v>296</v>
      </c>
      <c r="AG286" s="3">
        <f>IF(ISERROR(VLOOKUP($A286,'SegEnds_NonXtal_BW#'!$A:$Z,23,FALSE)+VLOOKUP($A286,A:AL,34,FALSE)-50),"-",(VLOOKUP($A286,'SegEnds_NonXtal_BW#'!$A:$Z,23,FALSE)+VLOOKUP($A286,A:AL,34,FALSE)-50))</f>
        <v>304</v>
      </c>
      <c r="AH286" s="3">
        <v>326</v>
      </c>
      <c r="AI286" s="3">
        <f>IF(ISERROR((VLOOKUP($A286,'SegEnds_NonXtal_BW#'!$A:$Z,24,FALSE)+VLOOKUP($A286,A:AL,34,FALSE)-50)),"-",(VLOOKUP($A286,'SegEnds_NonXtal_BW#'!$A:$Z,24,FALSE)+VLOOKUP($A286,A:AL,34,FALSE)-50))</f>
        <v>332</v>
      </c>
      <c r="AJ286" s="3">
        <f>IF(ISERROR(VLOOKUP($A286,'SegEnds_NonXtal_BW#'!$A:$Z,25,FALSE)+VLOOKUP($A286,A:AL,37,FALSE)-50),"-",(VLOOKUP($A286,'SegEnds_NonXtal_BW#'!$A:$Z,25,FALSE)+VLOOKUP($A286,A:AL,37,FALSE)-50))</f>
        <v>333</v>
      </c>
      <c r="AK286" s="3">
        <v>336</v>
      </c>
      <c r="AL286" s="3">
        <f>IF(ISERROR((VLOOKUP($A286,'SegEnds_NonXtal_BW#'!$A:$Z,26,FALSE)+VLOOKUP($A286,A:AL,37,FALSE)-50)),"-",(VLOOKUP($A286,'SegEnds_NonXtal_BW#'!$A:$Z,26,FALSE)+VLOOKUP($A286,A:AL,37,FALSE)-50))</f>
        <v>349</v>
      </c>
      <c r="AM286" s="28" t="str">
        <f>VLOOKUP(A286,Classification!A:B,2,FALSE)</f>
        <v>A</v>
      </c>
      <c r="AN286" s="28" t="b">
        <f t="shared" si="188"/>
        <v>1</v>
      </c>
      <c r="AO286" s="3" t="str">
        <f>IF(ISERROR(MATCH(A286,'SegEnds_Xtal_Prot#'!B:B, 0)), "NoXtal", "Xtal")</f>
        <v>NoXtal</v>
      </c>
      <c r="AP286" s="3">
        <f t="shared" si="173"/>
        <v>1</v>
      </c>
      <c r="AQ286" s="3">
        <f t="shared" si="174"/>
        <v>1</v>
      </c>
      <c r="AR286" s="3">
        <f t="shared" si="175"/>
        <v>1</v>
      </c>
      <c r="AS286" s="3">
        <f t="shared" si="176"/>
        <v>1</v>
      </c>
      <c r="AT286" s="3" t="str">
        <f t="shared" si="177"/>
        <v>-</v>
      </c>
      <c r="AU286" s="3" t="str">
        <f t="shared" si="178"/>
        <v>-</v>
      </c>
      <c r="AV286" s="3">
        <f t="shared" si="179"/>
        <v>23</v>
      </c>
      <c r="AW286" s="3">
        <f t="shared" si="180"/>
        <v>6</v>
      </c>
      <c r="AX286" s="3">
        <f t="shared" si="181"/>
        <v>6</v>
      </c>
      <c r="AY286" s="3">
        <f t="shared" si="182"/>
        <v>8</v>
      </c>
      <c r="AZ286" s="3">
        <f t="shared" si="183"/>
        <v>1</v>
      </c>
      <c r="BA286" s="3">
        <f>IF(ISERROR(LEN(VLOOKUP(A286,Seqs!A:E,2,FALSE))-AL286),"-",LEN(VLOOKUP(A286,Seqs!A:E,2,FALSE))-AL286)</f>
        <v>81</v>
      </c>
      <c r="BB286" s="16">
        <f t="shared" si="184"/>
        <v>28</v>
      </c>
      <c r="BC286" s="9" t="str">
        <f t="shared" si="185"/>
        <v>-</v>
      </c>
      <c r="BD286" s="3">
        <f t="shared" si="186"/>
        <v>28</v>
      </c>
      <c r="BE286" s="3">
        <f t="shared" si="187"/>
        <v>57</v>
      </c>
    </row>
    <row r="287" spans="1:58" s="3" customFormat="1" x14ac:dyDescent="0.2">
      <c r="A287" s="3" t="s">
        <v>323</v>
      </c>
      <c r="B287" s="3" t="str">
        <f>LOWER(VLOOKUP(A287,Xtal_Templ!A:B,2,FALSE))</f>
        <v>ox1r_human</v>
      </c>
      <c r="C287" s="3">
        <f>VLOOKUP($A287,'SegEnds_NonXtal_BW#'!$A:$Z,3,FALSE)+D287-50</f>
        <v>147</v>
      </c>
      <c r="D287" s="3">
        <v>165</v>
      </c>
      <c r="E287" s="3">
        <f>IF(ISERROR(VLOOKUP($A287,'SegEnds_NonXtal_BW#'!$A:$Z,4,FALSE)+VLOOKUP($A287,A:AL,4,FALSE)-50),"-",(VLOOKUP($A287,'SegEnds_NonXtal_BW#'!$A:$Z,4,FALSE)+VLOOKUP($A287,A:AL,4,FALSE)-50))</f>
        <v>175</v>
      </c>
      <c r="F287" s="3">
        <f t="shared" si="192"/>
        <v>176</v>
      </c>
      <c r="G287" s="3">
        <v>178</v>
      </c>
      <c r="H287" s="3">
        <f t="shared" si="193"/>
        <v>179</v>
      </c>
      <c r="I287" s="3">
        <f t="shared" si="193"/>
        <v>180</v>
      </c>
      <c r="J287" s="3">
        <v>193</v>
      </c>
      <c r="K287" s="3">
        <f>VLOOKUP($A287,'SegEnds_NonXtal_BW#'!$A:$Z,8,FALSE)+VLOOKUP($A287,A:AL,10,FALSE)-50</f>
        <v>211</v>
      </c>
      <c r="L287" s="3">
        <f t="shared" si="194"/>
        <v>212</v>
      </c>
      <c r="M287" s="3">
        <v>213</v>
      </c>
      <c r="N287" s="3">
        <f t="shared" si="195"/>
        <v>215</v>
      </c>
      <c r="O287" s="3">
        <f t="shared" si="196"/>
        <v>216</v>
      </c>
      <c r="P287" s="3">
        <v>245</v>
      </c>
      <c r="Q287" s="3">
        <f>VLOOKUP($A287,'SegEnds_NonXtal_BW#'!$A:$Z,12,FALSE)+VLOOKUP($A287,A:AL,16,FALSE)-50</f>
        <v>251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258</v>
      </c>
      <c r="V287" s="3">
        <v>270</v>
      </c>
      <c r="W287" s="3">
        <f>IF(ISERROR(VLOOKUP($A287,'SegEnds_NonXtal_BW#'!$A:$Z,16,FALSE)+VLOOKUP($A287,A:AL,22,FALSE)-50),"-",(VLOOKUP($A287,'SegEnds_NonXtal_BW#'!$A:$Z,16,FALSE)+VLOOKUP($A287,A:AL,22,FALSE)-50))</f>
        <v>284</v>
      </c>
      <c r="X287" s="3">
        <f>IF(ISERROR(VLOOKUP($A287,'SegEnds_NonXtal_BW#'!$A:$Z,17,FALSE)+VLOOKUP($A287,A:AL,25,FALSE)-50),"-",(VLOOKUP($A287,'SegEnds_NonXtal_BW#'!$A:$Z,17,FALSE)+VLOOKUP($A287,A:AL,25,FALSE)-50))</f>
        <v>308</v>
      </c>
      <c r="Y287" s="3">
        <v>308</v>
      </c>
      <c r="Z287" s="3">
        <f t="shared" si="190"/>
        <v>310</v>
      </c>
      <c r="AA287" s="3">
        <f>IF(ISERROR(VLOOKUP($A287,'SegEnds_NonXtal_BW#'!$A:$Z,19,FALSE)+VLOOKUP($A287,A:AL,28,FALSE)-50),"-",(VLOOKUP($A287,'SegEnds_NonXtal_BW#'!$A:$Z,19,FALSE)+VLOOKUP($A287,A:AL,28,FALSE)-50))</f>
        <v>316</v>
      </c>
      <c r="AB287" s="3">
        <v>333</v>
      </c>
      <c r="AC287" s="3">
        <f>IF(ISERROR((VLOOKUP($A287,'SegEnds_NonXtal_BW#'!$A:$Z,20,FALSE)+VLOOKUP($A287,A:AL,28,FALSE)-50)),"-",(VLOOKUP($A287,'SegEnds_NonXtal_BW#'!$A:$Z,20,FALSE)+VLOOKUP($A287,A:AL,28,FALSE)-50))</f>
        <v>356</v>
      </c>
      <c r="AD287" s="3">
        <f>IF(ISERROR(VLOOKUP($A287,'SegEnds_NonXtal_BW#'!$A:$Z,21,FALSE)+VLOOKUP($A287,A:AL,31,FALSE)-50),"-",(VLOOKUP($A287,'SegEnds_NonXtal_BW#'!$A:$Z,21,FALSE)+VLOOKUP($A287,A:AL,31,FALSE)-50))</f>
        <v>365</v>
      </c>
      <c r="AE287" s="3">
        <v>391</v>
      </c>
      <c r="AF287" s="3">
        <f>IF(ISERROR((VLOOKUP($A287,'SegEnds_NonXtal_BW#'!$A:$Z,22,FALSE)+VLOOKUP($A287,A:AL,31,FALSE)-50)),"-",(VLOOKUP($A287,'SegEnds_NonXtal_BW#'!$A:$Z,22,FALSE)+VLOOKUP($A287,A:AL,31,FALSE)-50))</f>
        <v>402</v>
      </c>
      <c r="AG287" s="3">
        <f>IF(ISERROR(VLOOKUP($A287,'SegEnds_NonXtal_BW#'!$A:$Z,23,FALSE)+VLOOKUP($A287,A:AL,34,FALSE)-50),"-",(VLOOKUP($A287,'SegEnds_NonXtal_BW#'!$A:$Z,23,FALSE)+VLOOKUP($A287,A:AL,34,FALSE)-50))</f>
        <v>410</v>
      </c>
      <c r="AH287" s="3">
        <v>432</v>
      </c>
      <c r="AI287" s="3">
        <f>IF(ISERROR((VLOOKUP($A287,'SegEnds_NonXtal_BW#'!$A:$Z,24,FALSE)+VLOOKUP($A287,A:AL,34,FALSE)-50)),"-",(VLOOKUP($A287,'SegEnds_NonXtal_BW#'!$A:$Z,24,FALSE)+VLOOKUP($A287,A:AL,34,FALSE)-50))</f>
        <v>438</v>
      </c>
      <c r="AJ287" s="3">
        <f>IF(ISERROR(VLOOKUP($A287,'SegEnds_NonXtal_BW#'!$A:$Z,25,FALSE)+VLOOKUP($A287,A:AL,37,FALSE)-50),"-",(VLOOKUP($A287,'SegEnds_NonXtal_BW#'!$A:$Z,25,FALSE)+VLOOKUP($A287,A:AL,37,FALSE)-50))</f>
        <v>439</v>
      </c>
      <c r="AK287" s="3">
        <v>442</v>
      </c>
      <c r="AL287" s="3">
        <f>IF(ISERROR((VLOOKUP($A287,'SegEnds_NonXtal_BW#'!$A:$Z,26,FALSE)+VLOOKUP($A287,A:AL,37,FALSE)-50)),"-",(VLOOKUP($A287,'SegEnds_NonXtal_BW#'!$A:$Z,26,FALSE)+VLOOKUP($A287,A:AL,37,FALSE)-50))</f>
        <v>455</v>
      </c>
      <c r="AM287" s="28" t="str">
        <f>VLOOKUP(A287,Classification!A:B,2,FALSE)</f>
        <v>A</v>
      </c>
      <c r="AN287" s="28" t="b">
        <f t="shared" si="188"/>
        <v>1</v>
      </c>
      <c r="AO287" s="3" t="str">
        <f>IF(ISERROR(MATCH(A287,'SegEnds_Xtal_Prot#'!B:B, 0)), "NoXtal", "Xtal")</f>
        <v>NoXtal</v>
      </c>
      <c r="AP287" s="3">
        <f t="shared" si="173"/>
        <v>1</v>
      </c>
      <c r="AQ287" s="3">
        <f t="shared" si="174"/>
        <v>1</v>
      </c>
      <c r="AR287" s="3">
        <f t="shared" si="175"/>
        <v>1</v>
      </c>
      <c r="AS287" s="3">
        <f t="shared" si="176"/>
        <v>1</v>
      </c>
      <c r="AT287" s="3" t="str">
        <f t="shared" si="177"/>
        <v>-</v>
      </c>
      <c r="AU287" s="3" t="str">
        <f t="shared" si="178"/>
        <v>-</v>
      </c>
      <c r="AV287" s="3">
        <f t="shared" si="179"/>
        <v>24</v>
      </c>
      <c r="AW287" s="3">
        <f t="shared" si="180"/>
        <v>6</v>
      </c>
      <c r="AX287" s="3">
        <f t="shared" si="181"/>
        <v>9</v>
      </c>
      <c r="AY287" s="3">
        <f t="shared" si="182"/>
        <v>8</v>
      </c>
      <c r="AZ287" s="3">
        <f t="shared" si="183"/>
        <v>1</v>
      </c>
      <c r="BA287" s="3">
        <f>IF(ISERROR(LEN(VLOOKUP(A287,Seqs!A:E,2,FALSE))-AL287),"-",LEN(VLOOKUP(A287,Seqs!A:E,2,FALSE))-AL287)</f>
        <v>67</v>
      </c>
      <c r="BB287" s="16">
        <f t="shared" si="184"/>
        <v>28</v>
      </c>
      <c r="BC287" s="9" t="str">
        <f t="shared" si="185"/>
        <v>-</v>
      </c>
      <c r="BD287" s="3">
        <f t="shared" si="186"/>
        <v>28</v>
      </c>
      <c r="BE287" s="3">
        <f t="shared" si="187"/>
        <v>58</v>
      </c>
    </row>
    <row r="288" spans="1:58" s="3" customFormat="1" x14ac:dyDescent="0.2">
      <c r="A288" s="3" t="s">
        <v>325</v>
      </c>
      <c r="B288" s="3" t="str">
        <f>LOWER(VLOOKUP(A288,Xtal_Templ!A:B,2,FALSE))</f>
        <v>npy1r_human</v>
      </c>
      <c r="C288" s="3">
        <f>VLOOKUP($A288,'SegEnds_NonXtal_BW#'!$A:$Z,3,FALSE)+D288-50</f>
        <v>36</v>
      </c>
      <c r="D288" s="3">
        <v>58</v>
      </c>
      <c r="E288" s="3">
        <f>IF(ISERROR(VLOOKUP($A288,'SegEnds_NonXtal_BW#'!$A:$Z,4,FALSE)+VLOOKUP($A288,A:AL,4,FALSE)-50),"-",(VLOOKUP($A288,'SegEnds_NonXtal_BW#'!$A:$Z,4,FALSE)+VLOOKUP($A288,A:AL,4,FALSE)-50))</f>
        <v>68</v>
      </c>
      <c r="F288" s="3">
        <f t="shared" si="192"/>
        <v>69</v>
      </c>
      <c r="G288" s="3">
        <v>71</v>
      </c>
      <c r="H288" s="3">
        <f t="shared" si="193"/>
        <v>72</v>
      </c>
      <c r="I288" s="3">
        <f t="shared" si="193"/>
        <v>73</v>
      </c>
      <c r="J288" s="3">
        <v>86</v>
      </c>
      <c r="K288" s="3">
        <f>VLOOKUP($A288,'SegEnds_NonXtal_BW#'!$A:$Z,8,FALSE)+VLOOKUP($A288,A:AL,10,FALSE)-50</f>
        <v>104</v>
      </c>
      <c r="L288" s="3">
        <f t="shared" si="194"/>
        <v>105</v>
      </c>
      <c r="M288" s="3">
        <v>106</v>
      </c>
      <c r="N288" s="3">
        <f t="shared" si="195"/>
        <v>108</v>
      </c>
      <c r="O288" s="3">
        <f t="shared" si="196"/>
        <v>109</v>
      </c>
      <c r="P288" s="3">
        <v>138</v>
      </c>
      <c r="Q288" s="3">
        <f>VLOOKUP($A288,'SegEnds_NonXtal_BW#'!$A:$Z,12,FALSE)+VLOOKUP($A288,A:AL,16,FALSE)-50</f>
        <v>144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151</v>
      </c>
      <c r="V288" s="3">
        <v>163</v>
      </c>
      <c r="W288" s="3">
        <f>IF(ISERROR(VLOOKUP($A288,'SegEnds_NonXtal_BW#'!$A:$Z,16,FALSE)+VLOOKUP($A288,A:AL,22,FALSE)-50),"-",(VLOOKUP($A288,'SegEnds_NonXtal_BW#'!$A:$Z,16,FALSE)+VLOOKUP($A288,A:AL,22,FALSE)-50))</f>
        <v>177</v>
      </c>
      <c r="X288" s="3">
        <f>IF(ISERROR(VLOOKUP($A288,'SegEnds_NonXtal_BW#'!$A:$Z,17,FALSE)+VLOOKUP($A288,A:AL,25,FALSE)-50),"-",(VLOOKUP($A288,'SegEnds_NonXtal_BW#'!$A:$Z,17,FALSE)+VLOOKUP($A288,A:AL,25,FALSE)-50))</f>
        <v>198</v>
      </c>
      <c r="Y288" s="3">
        <v>198</v>
      </c>
      <c r="Z288" s="3">
        <f t="shared" si="190"/>
        <v>200</v>
      </c>
      <c r="AA288" s="3">
        <f>IF(ISERROR(VLOOKUP($A288,'SegEnds_NonXtal_BW#'!$A:$Z,19,FALSE)+VLOOKUP($A288,A:AL,28,FALSE)-50),"-",(VLOOKUP($A288,'SegEnds_NonXtal_BW#'!$A:$Z,19,FALSE)+VLOOKUP($A288,A:AL,28,FALSE)-50))</f>
        <v>204</v>
      </c>
      <c r="AB288" s="3">
        <v>223</v>
      </c>
      <c r="AC288" s="3">
        <f>IF(ISERROR((VLOOKUP($A288,'SegEnds_NonXtal_BW#'!$A:$Z,20,FALSE)+VLOOKUP($A288,A:AL,28,FALSE)-50)),"-",(VLOOKUP($A288,'SegEnds_NonXtal_BW#'!$A:$Z,20,FALSE)+VLOOKUP($A288,A:AL,28,FALSE)-50))</f>
        <v>246</v>
      </c>
      <c r="AD288" s="3">
        <f>IF(ISERROR(VLOOKUP($A288,'SegEnds_NonXtal_BW#'!$A:$Z,21,FALSE)+VLOOKUP($A288,A:AL,31,FALSE)-50),"-",(VLOOKUP($A288,'SegEnds_NonXtal_BW#'!$A:$Z,21,FALSE)+VLOOKUP($A288,A:AL,31,FALSE)-50))</f>
        <v>250</v>
      </c>
      <c r="AE288" s="3">
        <v>278</v>
      </c>
      <c r="AF288" s="3">
        <f>IF(ISERROR((VLOOKUP($A288,'SegEnds_NonXtal_BW#'!$A:$Z,22,FALSE)+VLOOKUP($A288,A:AL,31,FALSE)-50)),"-",(VLOOKUP($A288,'SegEnds_NonXtal_BW#'!$A:$Z,22,FALSE)+VLOOKUP($A288,A:AL,31,FALSE)-50))</f>
        <v>289</v>
      </c>
      <c r="AG288" s="3">
        <f>IF(ISERROR(VLOOKUP($A288,'SegEnds_NonXtal_BW#'!$A:$Z,23,FALSE)+VLOOKUP($A288,A:AL,34,FALSE)-50),"-",(VLOOKUP($A288,'SegEnds_NonXtal_BW#'!$A:$Z,23,FALSE)+VLOOKUP($A288,A:AL,34,FALSE)-50))</f>
        <v>295</v>
      </c>
      <c r="AH288" s="3">
        <v>317</v>
      </c>
      <c r="AI288" s="3">
        <f>IF(ISERROR((VLOOKUP($A288,'SegEnds_NonXtal_BW#'!$A:$Z,24,FALSE)+VLOOKUP($A288,A:AL,34,FALSE)-50)),"-",(VLOOKUP($A288,'SegEnds_NonXtal_BW#'!$A:$Z,24,FALSE)+VLOOKUP($A288,A:AL,34,FALSE)-50))</f>
        <v>323</v>
      </c>
      <c r="AJ288" s="3">
        <f>IF(ISERROR(VLOOKUP($A288,'SegEnds_NonXtal_BW#'!$A:$Z,25,FALSE)+VLOOKUP($A288,A:AL,37,FALSE)-50),"-",(VLOOKUP($A288,'SegEnds_NonXtal_BW#'!$A:$Z,25,FALSE)+VLOOKUP($A288,A:AL,37,FALSE)-50))</f>
        <v>324</v>
      </c>
      <c r="AK288" s="3">
        <v>327</v>
      </c>
      <c r="AL288" s="3">
        <f>IF(ISERROR((VLOOKUP($A288,'SegEnds_NonXtal_BW#'!$A:$Z,26,FALSE)+VLOOKUP($A288,A:AL,37,FALSE)-50)),"-",(VLOOKUP($A288,'SegEnds_NonXtal_BW#'!$A:$Z,26,FALSE)+VLOOKUP($A288,A:AL,37,FALSE)-50))</f>
        <v>335</v>
      </c>
      <c r="AM288" s="28" t="str">
        <f>VLOOKUP(A288,Classification!A:B,2,FALSE)</f>
        <v>A</v>
      </c>
      <c r="AN288" s="28" t="b">
        <f t="shared" si="188"/>
        <v>1</v>
      </c>
      <c r="AO288" s="3" t="str">
        <f>IF(ISERROR(MATCH(A288,'SegEnds_Xtal_Prot#'!B:B, 0)), "NoXtal", "Xtal")</f>
        <v>Xtal</v>
      </c>
      <c r="AP288" s="3">
        <f t="shared" si="173"/>
        <v>1</v>
      </c>
      <c r="AQ288" s="3">
        <f t="shared" si="174"/>
        <v>1</v>
      </c>
      <c r="AR288" s="3">
        <f t="shared" si="175"/>
        <v>1</v>
      </c>
      <c r="AS288" s="3">
        <f t="shared" si="176"/>
        <v>1</v>
      </c>
      <c r="AT288" s="3" t="str">
        <f t="shared" si="177"/>
        <v>-</v>
      </c>
      <c r="AU288" s="3" t="str">
        <f t="shared" si="178"/>
        <v>-</v>
      </c>
      <c r="AV288" s="3">
        <f t="shared" si="179"/>
        <v>21</v>
      </c>
      <c r="AW288" s="3">
        <f t="shared" si="180"/>
        <v>4</v>
      </c>
      <c r="AX288" s="3">
        <f t="shared" si="181"/>
        <v>4</v>
      </c>
      <c r="AY288" s="3">
        <f t="shared" si="182"/>
        <v>6</v>
      </c>
      <c r="AZ288" s="3">
        <f t="shared" si="183"/>
        <v>1</v>
      </c>
      <c r="BA288" s="3">
        <f>IF(ISERROR(LEN(VLOOKUP(A288,Seqs!A:E,2,FALSE))-AL288),"-",LEN(VLOOKUP(A288,Seqs!A:E,2,FALSE))-AL288)</f>
        <v>49</v>
      </c>
      <c r="BB288" s="16">
        <f t="shared" si="184"/>
        <v>28</v>
      </c>
      <c r="BC288" s="9" t="str">
        <f t="shared" si="185"/>
        <v>-</v>
      </c>
      <c r="BD288" s="3">
        <f t="shared" si="186"/>
        <v>28</v>
      </c>
      <c r="BE288" s="3">
        <f t="shared" si="187"/>
        <v>55</v>
      </c>
    </row>
    <row r="289" spans="1:59" s="3" customFormat="1" x14ac:dyDescent="0.2">
      <c r="A289" s="3" t="s">
        <v>326</v>
      </c>
      <c r="B289" s="3" t="str">
        <f>LOWER(VLOOKUP(A289,Xtal_Templ!A:B,2,FALSE))</f>
        <v>ox1r_human</v>
      </c>
      <c r="C289" s="3">
        <f>VLOOKUP($A289,'SegEnds_NonXtal_BW#'!$A:$Z,3,FALSE)+D289-50</f>
        <v>50</v>
      </c>
      <c r="D289" s="3">
        <v>68</v>
      </c>
      <c r="E289" s="3">
        <f>IF(ISERROR(VLOOKUP($A289,'SegEnds_NonXtal_BW#'!$A:$Z,4,FALSE)+VLOOKUP($A289,A:AL,4,FALSE)-50),"-",(VLOOKUP($A289,'SegEnds_NonXtal_BW#'!$A:$Z,4,FALSE)+VLOOKUP($A289,A:AL,4,FALSE)-50))</f>
        <v>78</v>
      </c>
      <c r="F289" s="3">
        <f t="shared" si="192"/>
        <v>79</v>
      </c>
      <c r="G289" s="3">
        <v>81</v>
      </c>
      <c r="H289" s="3">
        <f t="shared" si="193"/>
        <v>82</v>
      </c>
      <c r="I289" s="3">
        <f t="shared" si="193"/>
        <v>83</v>
      </c>
      <c r="J289" s="3">
        <v>96</v>
      </c>
      <c r="K289" s="3">
        <f>VLOOKUP($A289,'SegEnds_NonXtal_BW#'!$A:$Z,8,FALSE)+VLOOKUP($A289,A:AL,10,FALSE)-50</f>
        <v>114</v>
      </c>
      <c r="L289" s="3">
        <f t="shared" si="194"/>
        <v>115</v>
      </c>
      <c r="M289" s="3">
        <v>116</v>
      </c>
      <c r="N289" s="3">
        <f t="shared" si="195"/>
        <v>118</v>
      </c>
      <c r="O289" s="3">
        <f t="shared" si="196"/>
        <v>119</v>
      </c>
      <c r="P289" s="3">
        <v>148</v>
      </c>
      <c r="Q289" s="3">
        <f>VLOOKUP($A289,'SegEnds_NonXtal_BW#'!$A:$Z,12,FALSE)+VLOOKUP($A289,A:AL,16,FALSE)-50</f>
        <v>154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161</v>
      </c>
      <c r="V289" s="3">
        <v>173</v>
      </c>
      <c r="W289" s="3">
        <f>IF(ISERROR(VLOOKUP($A289,'SegEnds_NonXtal_BW#'!$A:$Z,16,FALSE)+VLOOKUP($A289,A:AL,22,FALSE)-50),"-",(VLOOKUP($A289,'SegEnds_NonXtal_BW#'!$A:$Z,16,FALSE)+VLOOKUP($A289,A:AL,22,FALSE)-50))</f>
        <v>187</v>
      </c>
      <c r="X289" s="3">
        <f>IF(ISERROR(VLOOKUP($A289,'SegEnds_NonXtal_BW#'!$A:$Z,17,FALSE)+VLOOKUP($A289,A:AL,25,FALSE)-50),"-",(VLOOKUP($A289,'SegEnds_NonXtal_BW#'!$A:$Z,17,FALSE)+VLOOKUP($A289,A:AL,25,FALSE)-50))</f>
        <v>203</v>
      </c>
      <c r="Y289" s="3">
        <v>203</v>
      </c>
      <c r="Z289" s="3">
        <f t="shared" si="190"/>
        <v>205</v>
      </c>
      <c r="AA289" s="3">
        <f>IF(ISERROR(VLOOKUP($A289,'SegEnds_NonXtal_BW#'!$A:$Z,19,FALSE)+VLOOKUP($A289,A:AL,28,FALSE)-50),"-",(VLOOKUP($A289,'SegEnds_NonXtal_BW#'!$A:$Z,19,FALSE)+VLOOKUP($A289,A:AL,28,FALSE)-50))</f>
        <v>214</v>
      </c>
      <c r="AB289" s="3">
        <v>231</v>
      </c>
      <c r="AC289" s="3">
        <f>IF(ISERROR((VLOOKUP($A289,'SegEnds_NonXtal_BW#'!$A:$Z,20,FALSE)+VLOOKUP($A289,A:AL,28,FALSE)-50)),"-",(VLOOKUP($A289,'SegEnds_NonXtal_BW#'!$A:$Z,20,FALSE)+VLOOKUP($A289,A:AL,28,FALSE)-50))</f>
        <v>253</v>
      </c>
      <c r="AD289" s="3">
        <f>IF(ISERROR(VLOOKUP($A289,'SegEnds_NonXtal_BW#'!$A:$Z,21,FALSE)+VLOOKUP($A289,A:AL,31,FALSE)-50),"-",(VLOOKUP($A289,'SegEnds_NonXtal_BW#'!$A:$Z,21,FALSE)+VLOOKUP($A289,A:AL,31,FALSE)-50))</f>
        <v>256</v>
      </c>
      <c r="AE289" s="3">
        <v>283</v>
      </c>
      <c r="AF289" s="3">
        <f>IF(ISERROR((VLOOKUP($A289,'SegEnds_NonXtal_BW#'!$A:$Z,22,FALSE)+VLOOKUP($A289,A:AL,31,FALSE)-50)),"-",(VLOOKUP($A289,'SegEnds_NonXtal_BW#'!$A:$Z,22,FALSE)+VLOOKUP($A289,A:AL,31,FALSE)-50))</f>
        <v>294</v>
      </c>
      <c r="AG289" s="3">
        <f>IF(ISERROR(VLOOKUP($A289,'SegEnds_NonXtal_BW#'!$A:$Z,23,FALSE)+VLOOKUP($A289,A:AL,34,FALSE)-50),"-",(VLOOKUP($A289,'SegEnds_NonXtal_BW#'!$A:$Z,23,FALSE)+VLOOKUP($A289,A:AL,34,FALSE)-50))</f>
        <v>299</v>
      </c>
      <c r="AH289" s="3">
        <v>322</v>
      </c>
      <c r="AI289" s="3">
        <f>IF(ISERROR((VLOOKUP($A289,'SegEnds_NonXtal_BW#'!$A:$Z,24,FALSE)+VLOOKUP($A289,A:AL,34,FALSE)-50)),"-",(VLOOKUP($A289,'SegEnds_NonXtal_BW#'!$A:$Z,24,FALSE)+VLOOKUP($A289,A:AL,34,FALSE)-50))</f>
        <v>328</v>
      </c>
      <c r="AJ289" s="3">
        <f>IF(ISERROR(VLOOKUP($A289,'SegEnds_NonXtal_BW#'!$A:$Z,25,FALSE)+VLOOKUP($A289,A:AL,37,FALSE)-50),"-",(VLOOKUP($A289,'SegEnds_NonXtal_BW#'!$A:$Z,25,FALSE)+VLOOKUP($A289,A:AL,37,FALSE)-50))</f>
        <v>329</v>
      </c>
      <c r="AK289" s="3">
        <v>332</v>
      </c>
      <c r="AL289" s="3">
        <f>IF(ISERROR((VLOOKUP($A289,'SegEnds_NonXtal_BW#'!$A:$Z,26,FALSE)+VLOOKUP($A289,A:AL,37,FALSE)-50)),"-",(VLOOKUP($A289,'SegEnds_NonXtal_BW#'!$A:$Z,26,FALSE)+VLOOKUP($A289,A:AL,37,FALSE)-50))</f>
        <v>345</v>
      </c>
      <c r="AM289" s="28" t="str">
        <f>VLOOKUP(A289,Classification!A:B,2,FALSE)</f>
        <v>A</v>
      </c>
      <c r="AN289" s="28" t="b">
        <f t="shared" si="188"/>
        <v>1</v>
      </c>
      <c r="AO289" s="3" t="str">
        <f>IF(ISERROR(MATCH(A289,'SegEnds_Xtal_Prot#'!B:B, 0)), "NoXtal", "Xtal")</f>
        <v>NoXtal</v>
      </c>
      <c r="AP289" s="3">
        <f t="shared" si="173"/>
        <v>1</v>
      </c>
      <c r="AQ289" s="3">
        <f t="shared" si="174"/>
        <v>1</v>
      </c>
      <c r="AR289" s="3">
        <f t="shared" si="175"/>
        <v>1</v>
      </c>
      <c r="AS289" s="3">
        <f t="shared" si="176"/>
        <v>1</v>
      </c>
      <c r="AT289" s="3" t="str">
        <f t="shared" si="177"/>
        <v>-</v>
      </c>
      <c r="AU289" s="3" t="str">
        <f t="shared" si="178"/>
        <v>-</v>
      </c>
      <c r="AV289" s="3">
        <f t="shared" si="179"/>
        <v>16</v>
      </c>
      <c r="AW289" s="3">
        <f t="shared" si="180"/>
        <v>9</v>
      </c>
      <c r="AX289" s="3">
        <f t="shared" si="181"/>
        <v>3</v>
      </c>
      <c r="AY289" s="3">
        <f t="shared" si="182"/>
        <v>5</v>
      </c>
      <c r="AZ289" s="3">
        <f t="shared" si="183"/>
        <v>1</v>
      </c>
      <c r="BA289" s="3">
        <f>IF(ISERROR(LEN(VLOOKUP(A289,Seqs!A:E,2,FALSE))-AL289),"-",LEN(VLOOKUP(A289,Seqs!A:E,2,FALSE))-AL289)</f>
        <v>36</v>
      </c>
      <c r="BB289" s="16">
        <f t="shared" si="184"/>
        <v>28</v>
      </c>
      <c r="BC289" s="9" t="str">
        <f t="shared" si="185"/>
        <v>-</v>
      </c>
      <c r="BD289" s="3">
        <f t="shared" si="186"/>
        <v>28</v>
      </c>
      <c r="BE289" s="3">
        <f t="shared" si="187"/>
        <v>52</v>
      </c>
    </row>
    <row r="290" spans="1:59" s="3" customFormat="1" x14ac:dyDescent="0.2">
      <c r="A290" s="3" t="s">
        <v>327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92"/>
        <v>70</v>
      </c>
      <c r="G290" s="3">
        <v>72</v>
      </c>
      <c r="H290" s="3">
        <f t="shared" si="193"/>
        <v>73</v>
      </c>
      <c r="I290" s="3">
        <f t="shared" si="193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94"/>
        <v>106</v>
      </c>
      <c r="M290" s="3">
        <v>107</v>
      </c>
      <c r="N290" s="3">
        <f t="shared" si="195"/>
        <v>109</v>
      </c>
      <c r="O290" s="3">
        <f t="shared" si="196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201</v>
      </c>
      <c r="Y290" s="3">
        <v>201</v>
      </c>
      <c r="Z290" s="3">
        <f t="shared" si="190"/>
        <v>203</v>
      </c>
      <c r="AA290" s="3">
        <f>IF(ISERROR(VLOOKUP($A290,'SegEnds_NonXtal_BW#'!$A:$Z,19,FALSE)+VLOOKUP($A290,A:AL,28,FALSE)-50),"-",(VLOOKUP($A290,'SegEnds_NonXtal_BW#'!$A:$Z,19,FALSE)+VLOOKUP($A290,A:AL,28,FALSE)-50))</f>
        <v>207</v>
      </c>
      <c r="AB290" s="3">
        <v>226</v>
      </c>
      <c r="AC290" s="3">
        <f>IF(ISERROR((VLOOKUP($A290,'SegEnds_NonXtal_BW#'!$A:$Z,20,FALSE)+VLOOKUP($A290,A:AL,28,FALSE)-50)),"-",(VLOOKUP($A290,'SegEnds_NonXtal_BW#'!$A:$Z,20,FALSE)+VLOOKUP($A290,A:AL,28,FALSE)-50))</f>
        <v>248</v>
      </c>
      <c r="AD290" s="3">
        <f>IF(ISERROR(VLOOKUP($A290,'SegEnds_NonXtal_BW#'!$A:$Z,21,FALSE)+VLOOKUP($A290,A:AL,31,FALSE)-50),"-",(VLOOKUP($A290,'SegEnds_NonXtal_BW#'!$A:$Z,21,FALSE)+VLOOKUP($A290,A:AL,31,FALSE)-50))</f>
        <v>254</v>
      </c>
      <c r="AE290" s="3">
        <v>280</v>
      </c>
      <c r="AF290" s="3">
        <f>IF(ISERROR((VLOOKUP($A290,'SegEnds_NonXtal_BW#'!$A:$Z,22,FALSE)+VLOOKUP($A290,A:AL,31,FALSE)-50)),"-",(VLOOKUP($A290,'SegEnds_NonXtal_BW#'!$A:$Z,22,FALSE)+VLOOKUP($A290,A:AL,31,FALSE)-50))</f>
        <v>291</v>
      </c>
      <c r="AG290" s="3">
        <f>IF(ISERROR(VLOOKUP($A290,'SegEnds_NonXtal_BW#'!$A:$Z,23,FALSE)+VLOOKUP($A290,A:AL,34,FALSE)-50),"-",(VLOOKUP($A290,'SegEnds_NonXtal_BW#'!$A:$Z,23,FALSE)+VLOOKUP($A290,A:AL,34,FALSE)-50))</f>
        <v>297</v>
      </c>
      <c r="AH290" s="3">
        <v>319</v>
      </c>
      <c r="AI290" s="3">
        <f>IF(ISERROR((VLOOKUP($A290,'SegEnds_NonXtal_BW#'!$A:$Z,24,FALSE)+VLOOKUP($A290,A:AL,34,FALSE)-50)),"-",(VLOOKUP($A290,'SegEnds_NonXtal_BW#'!$A:$Z,24,FALSE)+VLOOKUP($A290,A:AL,34,FALSE)-50))</f>
        <v>325</v>
      </c>
      <c r="AJ290" s="3">
        <f>IF(ISERROR(VLOOKUP($A290,'SegEnds_NonXtal_BW#'!$A:$Z,25,FALSE)+VLOOKUP($A290,A:AL,37,FALSE)-50),"-",(VLOOKUP($A290,'SegEnds_NonXtal_BW#'!$A:$Z,25,FALSE)+VLOOKUP($A290,A:AL,37,FALSE)-50))</f>
        <v>326</v>
      </c>
      <c r="AK290" s="3">
        <v>329</v>
      </c>
      <c r="AL290" s="3">
        <f>IF(ISERROR((VLOOKUP($A290,'SegEnds_NonXtal_BW#'!$A:$Z,26,FALSE)+VLOOKUP($A290,A:AL,37,FALSE)-50)),"-",(VLOOKUP($A290,'SegEnds_NonXtal_BW#'!$A:$Z,26,FALSE)+VLOOKUP($A290,A:AL,37,FALSE)-50))</f>
        <v>337</v>
      </c>
      <c r="AM290" s="28" t="str">
        <f>VLOOKUP(A290,Classification!A:B,2,FALSE)</f>
        <v>A</v>
      </c>
      <c r="AN290" s="28" t="b">
        <f t="shared" si="188"/>
        <v>1</v>
      </c>
      <c r="AO290" s="3" t="str">
        <f>IF(ISERROR(MATCH(A290,'SegEnds_Xtal_Prot#'!B:B, 0)), "NoXtal", "Xtal")</f>
        <v>NoXtal</v>
      </c>
      <c r="AP290" s="3">
        <f t="shared" si="173"/>
        <v>1</v>
      </c>
      <c r="AQ290" s="3">
        <f t="shared" si="174"/>
        <v>1</v>
      </c>
      <c r="AR290" s="3">
        <f t="shared" si="175"/>
        <v>1</v>
      </c>
      <c r="AS290" s="3">
        <f t="shared" si="176"/>
        <v>1</v>
      </c>
      <c r="AT290" s="3" t="str">
        <f t="shared" si="177"/>
        <v>-</v>
      </c>
      <c r="AU290" s="3" t="str">
        <f t="shared" si="178"/>
        <v>-</v>
      </c>
      <c r="AV290" s="3">
        <f t="shared" si="179"/>
        <v>23</v>
      </c>
      <c r="AW290" s="3">
        <f t="shared" si="180"/>
        <v>4</v>
      </c>
      <c r="AX290" s="3">
        <f t="shared" si="181"/>
        <v>6</v>
      </c>
      <c r="AY290" s="3">
        <f t="shared" si="182"/>
        <v>6</v>
      </c>
      <c r="AZ290" s="3">
        <f t="shared" si="183"/>
        <v>1</v>
      </c>
      <c r="BA290" s="3">
        <f>IF(ISERROR(LEN(VLOOKUP(A290,Seqs!A:E,2,FALSE))-AL290),"-",LEN(VLOOKUP(A290,Seqs!A:E,2,FALSE))-AL290)</f>
        <v>38</v>
      </c>
      <c r="BB290" s="16">
        <f t="shared" si="184"/>
        <v>28</v>
      </c>
      <c r="BC290" s="9" t="str">
        <f t="shared" si="185"/>
        <v>-</v>
      </c>
      <c r="BD290" s="3">
        <f t="shared" si="186"/>
        <v>28</v>
      </c>
      <c r="BE290" s="3">
        <f t="shared" si="187"/>
        <v>54</v>
      </c>
    </row>
    <row r="291" spans="1:59" s="3" customFormat="1" x14ac:dyDescent="0.2">
      <c r="A291" s="3" t="s">
        <v>328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192"/>
        <v>70</v>
      </c>
      <c r="G291" s="3">
        <v>72</v>
      </c>
      <c r="H291" s="3">
        <f t="shared" si="193"/>
        <v>73</v>
      </c>
      <c r="I291" s="3">
        <f t="shared" si="193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194"/>
        <v>106</v>
      </c>
      <c r="M291" s="3">
        <v>107</v>
      </c>
      <c r="N291" s="3">
        <f t="shared" si="195"/>
        <v>109</v>
      </c>
      <c r="O291" s="3">
        <f t="shared" si="196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198</v>
      </c>
      <c r="Y291" s="3">
        <v>198</v>
      </c>
      <c r="Z291" s="3">
        <f t="shared" si="190"/>
        <v>200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223</v>
      </c>
      <c r="AC291" s="3">
        <f>IF(ISERROR((VLOOKUP($A291,'SegEnds_NonXtal_BW#'!$A:$Z,20,FALSE)+VLOOKUP($A291,A:AL,28,FALSE)-50)),"-",(VLOOKUP($A291,'SegEnds_NonXtal_BW#'!$A:$Z,20,FALSE)+VLOOKUP($A291,A:AL,28,FALSE)-50))</f>
        <v>249</v>
      </c>
      <c r="AD291" s="3">
        <f>IF(ISERROR(VLOOKUP($A291,'SegEnds_NonXtal_BW#'!$A:$Z,21,FALSE)+VLOOKUP($A291,A:AL,31,FALSE)-50),"-",(VLOOKUP($A291,'SegEnds_NonXtal_BW#'!$A:$Z,21,FALSE)+VLOOKUP($A291,A:AL,31,FALSE)-50))</f>
        <v>357</v>
      </c>
      <c r="AE291" s="3">
        <v>383</v>
      </c>
      <c r="AF291" s="3">
        <f>IF(ISERROR((VLOOKUP($A291,'SegEnds_NonXtal_BW#'!$A:$Z,22,FALSE)+VLOOKUP($A291,A:AL,31,FALSE)-50)),"-",(VLOOKUP($A291,'SegEnds_NonXtal_BW#'!$A:$Z,22,FALSE)+VLOOKUP($A291,A:AL,31,FALSE)-50))</f>
        <v>394</v>
      </c>
      <c r="AG291" s="3">
        <f>IF(ISERROR(VLOOKUP($A291,'SegEnds_NonXtal_BW#'!$A:$Z,23,FALSE)+VLOOKUP($A291,A:AL,34,FALSE)-50),"-",(VLOOKUP($A291,'SegEnds_NonXtal_BW#'!$A:$Z,23,FALSE)+VLOOKUP($A291,A:AL,34,FALSE)-50))</f>
        <v>400</v>
      </c>
      <c r="AH291" s="3">
        <v>422</v>
      </c>
      <c r="AI291" s="3">
        <f>IF(ISERROR((VLOOKUP($A291,'SegEnds_NonXtal_BW#'!$A:$Z,24,FALSE)+VLOOKUP($A291,A:AL,34,FALSE)-50)),"-",(VLOOKUP($A291,'SegEnds_NonXtal_BW#'!$A:$Z,24,FALSE)+VLOOKUP($A291,A:AL,34,FALSE)-50))</f>
        <v>428</v>
      </c>
      <c r="AJ291" s="3">
        <f>IF(ISERROR(VLOOKUP($A291,'SegEnds_NonXtal_BW#'!$A:$Z,25,FALSE)+VLOOKUP($A291,A:AL,37,FALSE)-50),"-",(VLOOKUP($A291,'SegEnds_NonXtal_BW#'!$A:$Z,25,FALSE)+VLOOKUP($A291,A:AL,37,FALSE)-50))</f>
        <v>429</v>
      </c>
      <c r="AK291" s="3">
        <v>432</v>
      </c>
      <c r="AL291" s="3">
        <f>IF(ISERROR((VLOOKUP($A291,'SegEnds_NonXtal_BW#'!$A:$Z,26,FALSE)+VLOOKUP($A291,A:AL,37,FALSE)-50)),"-",(VLOOKUP($A291,'SegEnds_NonXtal_BW#'!$A:$Z,26,FALSE)+VLOOKUP($A291,A:AL,37,FALSE)-50))</f>
        <v>440</v>
      </c>
      <c r="AM291" s="28" t="str">
        <f>VLOOKUP(A291,Classification!A:B,2,FALSE)</f>
        <v>A</v>
      </c>
      <c r="AN291" s="28" t="b">
        <f t="shared" si="188"/>
        <v>1</v>
      </c>
      <c r="AO291" s="3" t="str">
        <f>IF(ISERROR(MATCH(A291,'SegEnds_Xtal_Prot#'!B:B, 0)), "NoXtal", "Xtal")</f>
        <v>NoXtal</v>
      </c>
      <c r="AP291" s="3">
        <f t="shared" si="173"/>
        <v>1</v>
      </c>
      <c r="AQ291" s="3">
        <f t="shared" si="174"/>
        <v>1</v>
      </c>
      <c r="AR291" s="3">
        <f t="shared" si="175"/>
        <v>1</v>
      </c>
      <c r="AS291" s="3">
        <f t="shared" si="176"/>
        <v>1</v>
      </c>
      <c r="AT291" s="3" t="str">
        <f t="shared" si="177"/>
        <v>-</v>
      </c>
      <c r="AU291" s="3" t="str">
        <f t="shared" si="178"/>
        <v>-</v>
      </c>
      <c r="AV291" s="3">
        <f t="shared" si="179"/>
        <v>20</v>
      </c>
      <c r="AW291" s="3">
        <f t="shared" si="180"/>
        <v>4</v>
      </c>
      <c r="AX291" s="3">
        <f t="shared" si="181"/>
        <v>108</v>
      </c>
      <c r="AY291" s="3">
        <f t="shared" si="182"/>
        <v>6</v>
      </c>
      <c r="AZ291" s="3">
        <f t="shared" si="183"/>
        <v>1</v>
      </c>
      <c r="BA291" s="3">
        <f>IF(ISERROR(LEN(VLOOKUP(A291,Seqs!A:E,2,FALSE))-AL291),"-",LEN(VLOOKUP(A291,Seqs!A:E,2,FALSE))-AL291)</f>
        <v>5</v>
      </c>
      <c r="BB291" s="16">
        <f t="shared" si="184"/>
        <v>28</v>
      </c>
      <c r="BC291" s="9" t="str">
        <f t="shared" si="185"/>
        <v>-</v>
      </c>
      <c r="BD291" s="3">
        <f t="shared" si="186"/>
        <v>28</v>
      </c>
      <c r="BE291" s="3">
        <f t="shared" si="187"/>
        <v>160</v>
      </c>
      <c r="BF291" s="3">
        <f>AH291-AE291</f>
        <v>39</v>
      </c>
    </row>
    <row r="292" spans="1:59" s="3" customFormat="1" x14ac:dyDescent="0.2">
      <c r="A292" s="3" t="s">
        <v>329</v>
      </c>
      <c r="B292" s="3" t="str">
        <f>LOWER(VLOOKUP(A292,Xtal_Templ!A:B,2,FALSE))</f>
        <v>npy1r_human</v>
      </c>
      <c r="C292" s="3">
        <f>VLOOKUP($A292,'SegEnds_NonXtal_BW#'!$A:$Z,3,FALSE)+D292-50</f>
        <v>31</v>
      </c>
      <c r="D292" s="3">
        <v>53</v>
      </c>
      <c r="E292" s="3">
        <f>IF(ISERROR(VLOOKUP($A292,'SegEnds_NonXtal_BW#'!$A:$Z,4,FALSE)+VLOOKUP($A292,A:AL,4,FALSE)-50),"-",(VLOOKUP($A292,'SegEnds_NonXtal_BW#'!$A:$Z,4,FALSE)+VLOOKUP($A292,A:AL,4,FALSE)-50))</f>
        <v>63</v>
      </c>
      <c r="F292" s="3">
        <f t="shared" si="192"/>
        <v>65</v>
      </c>
      <c r="G292" s="3">
        <v>67</v>
      </c>
      <c r="H292" s="3">
        <f t="shared" si="193"/>
        <v>68</v>
      </c>
      <c r="I292" s="3">
        <f t="shared" si="193"/>
        <v>69</v>
      </c>
      <c r="J292" s="3">
        <v>82</v>
      </c>
      <c r="K292" s="3">
        <f>VLOOKUP($A292,'SegEnds_NonXtal_BW#'!$A:$Z,8,FALSE)+VLOOKUP($A292,A:AL,10,FALSE)-50</f>
        <v>100</v>
      </c>
      <c r="L292" s="3">
        <f t="shared" si="194"/>
        <v>101</v>
      </c>
      <c r="M292" s="3">
        <v>102</v>
      </c>
      <c r="N292" s="3">
        <f t="shared" si="195"/>
        <v>104</v>
      </c>
      <c r="O292" s="3">
        <f t="shared" si="196"/>
        <v>105</v>
      </c>
      <c r="P292" s="3">
        <v>134</v>
      </c>
      <c r="Q292" s="3">
        <f>VLOOKUP($A292,'SegEnds_NonXtal_BW#'!$A:$Z,12,FALSE)+VLOOKUP($A292,A:AL,16,FALSE)-50</f>
        <v>140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147</v>
      </c>
      <c r="V292" s="3">
        <v>159</v>
      </c>
      <c r="W292" s="3">
        <f>IF(ISERROR(VLOOKUP($A292,'SegEnds_NonXtal_BW#'!$A:$Z,16,FALSE)+VLOOKUP($A292,A:AL,22,FALSE)-50),"-",(VLOOKUP($A292,'SegEnds_NonXtal_BW#'!$A:$Z,16,FALSE)+VLOOKUP($A292,A:AL,22,FALSE)-50))</f>
        <v>173</v>
      </c>
      <c r="X292" s="3" t="str">
        <f>IF(ISERROR(VLOOKUP($A292,'SegEnds_NonXtal_BW#'!$A:$Z,17,FALSE)+VLOOKUP($A292,A:AL,25,FALSE)-50),"-",(VLOOKUP($A292,'SegEnds_NonXtal_BW#'!$A:$Z,17,FALSE)+VLOOKUP($A292,A:AL,25,FALSE)-50))</f>
        <v>-</v>
      </c>
      <c r="Y292" s="3" t="s">
        <v>23</v>
      </c>
      <c r="Z292" s="3" t="str">
        <f>IF(ISERROR(VLOOKUP($A292,'SegEnds_NonXtal_BW#'!$A:$Z,18,FALSE)+VLOOKUP($A292,A:AL,25,FALSE)-50),"-",(VLOOKUP($A292,'SegEnds_NonXtal_BW#'!$A:$Z,18,FALSE)+VLOOKUP($A292,A:AL,25,FALSE)-50))</f>
        <v>-</v>
      </c>
      <c r="AA292" s="3">
        <f>IF(ISERROR(VLOOKUP($A292,'SegEnds_NonXtal_BW#'!$A:$Z,19,FALSE)+VLOOKUP($A292,A:AL,28,FALSE)-50),"-",(VLOOKUP($A292,'SegEnds_NonXtal_BW#'!$A:$Z,19,FALSE)+VLOOKUP($A292,A:AL,28,FALSE)-50))</f>
        <v>202</v>
      </c>
      <c r="AB292" s="3">
        <v>221</v>
      </c>
      <c r="AC292" s="3">
        <f>IF(ISERROR((VLOOKUP($A292,'SegEnds_NonXtal_BW#'!$A:$Z,20,FALSE)+VLOOKUP($A292,A:AL,28,FALSE)-50)),"-",(VLOOKUP($A292,'SegEnds_NonXtal_BW#'!$A:$Z,20,FALSE)+VLOOKUP($A292,A:AL,28,FALSE)-50))</f>
        <v>244</v>
      </c>
      <c r="AD292" s="3">
        <f>IF(ISERROR(VLOOKUP($A292,'SegEnds_NonXtal_BW#'!$A:$Z,21,FALSE)+VLOOKUP($A292,A:AL,31,FALSE)-50),"-",(VLOOKUP($A292,'SegEnds_NonXtal_BW#'!$A:$Z,21,FALSE)+VLOOKUP($A292,A:AL,31,FALSE)-50))</f>
        <v>248</v>
      </c>
      <c r="AE292" s="3">
        <v>276</v>
      </c>
      <c r="AF292" s="3">
        <f>IF(ISERROR((VLOOKUP($A292,'SegEnds_NonXtal_BW#'!$A:$Z,22,FALSE)+VLOOKUP($A292,A:AL,31,FALSE)-50)),"-",(VLOOKUP($A292,'SegEnds_NonXtal_BW#'!$A:$Z,22,FALSE)+VLOOKUP($A292,A:AL,31,FALSE)-50))</f>
        <v>287</v>
      </c>
      <c r="AG292" s="3" t="str">
        <f>IF(ISERROR(VLOOKUP($A292,'SegEnds_NonXtal_BW#'!$A:$Z,23,FALSE)+VLOOKUP($A292,A:AL,34,FALSE)-50),"-",(VLOOKUP($A292,'SegEnds_NonXtal_BW#'!$A:$Z,23,FALSE)+VLOOKUP($A292,A:AL,34,FALSE)-50))</f>
        <v>-</v>
      </c>
      <c r="AH292" s="3" t="s">
        <v>23</v>
      </c>
      <c r="AI292" s="3" t="str">
        <f>IF(ISERROR((VLOOKUP($A292,'SegEnds_NonXtal_BW#'!$A:$Z,24,FALSE)+VLOOKUP($A292,A:AL,34,FALSE)-50)),"-",(VLOOKUP($A292,'SegEnds_NonXtal_BW#'!$A:$Z,24,FALSE)+VLOOKUP($A292,A:AL,34,FALSE)-50))</f>
        <v>-</v>
      </c>
      <c r="AJ292" s="3" t="str">
        <f>IF(ISERROR(VLOOKUP($A292,'SegEnds_NonXtal_BW#'!$A:$Z,25,FALSE)+VLOOKUP($A292,A:AL,37,FALSE)-50),"-",(VLOOKUP($A292,'SegEnds_NonXtal_BW#'!$A:$Z,25,FALSE)+VLOOKUP($A292,A:AL,37,FALSE)-50))</f>
        <v>-</v>
      </c>
      <c r="AK292" s="3" t="s">
        <v>23</v>
      </c>
      <c r="AL292" s="3" t="str">
        <f>IF(ISERROR((VLOOKUP($A292,'SegEnds_NonXtal_BW#'!$A:$Z,26,FALSE)+VLOOKUP($A292,A:AL,37,FALSE)-50)),"-",(VLOOKUP($A292,'SegEnds_NonXtal_BW#'!$A:$Z,26,FALSE)+VLOOKUP($A292,A:AL,37,FALSE)-50))</f>
        <v>-</v>
      </c>
      <c r="AM292" s="28" t="str">
        <f>VLOOKUP(A292,Classification!A:B,2,FALSE)</f>
        <v>A</v>
      </c>
      <c r="AN292" s="28" t="e">
        <f t="shared" si="188"/>
        <v>#VALUE!</v>
      </c>
      <c r="AO292" s="3" t="str">
        <f>IF(ISERROR(MATCH(A292,'SegEnds_Xtal_Prot#'!B:B, 0)), "NoXtal", "Xtal")</f>
        <v>NoXtal</v>
      </c>
      <c r="AP292" s="3">
        <f t="shared" si="173"/>
        <v>2</v>
      </c>
      <c r="AQ292" s="3">
        <f t="shared" si="174"/>
        <v>1</v>
      </c>
      <c r="AR292" s="3">
        <f t="shared" si="175"/>
        <v>1</v>
      </c>
      <c r="AS292" s="3">
        <f t="shared" si="176"/>
        <v>1</v>
      </c>
      <c r="AT292" s="3" t="str">
        <f t="shared" si="177"/>
        <v>-</v>
      </c>
      <c r="AU292" s="3" t="str">
        <f t="shared" si="178"/>
        <v>-</v>
      </c>
      <c r="AV292" s="3" t="str">
        <f t="shared" si="179"/>
        <v>-</v>
      </c>
      <c r="AW292" s="3" t="str">
        <f t="shared" si="180"/>
        <v>-</v>
      </c>
      <c r="AX292" s="3">
        <f t="shared" si="181"/>
        <v>4</v>
      </c>
      <c r="AY292" s="3" t="str">
        <f t="shared" si="182"/>
        <v>-</v>
      </c>
      <c r="AZ292" s="3" t="str">
        <f t="shared" si="183"/>
        <v>-</v>
      </c>
      <c r="BA292" s="3" t="str">
        <f>IF(ISERROR(LEN(VLOOKUP(A292,Seqs!A:E,2,FALSE))-AL292),"-",LEN(VLOOKUP(A292,Seqs!A:E,2,FALSE))-AL292)</f>
        <v>-</v>
      </c>
      <c r="BB292" s="16">
        <f t="shared" si="184"/>
        <v>29</v>
      </c>
      <c r="BC292" s="9" t="str">
        <f t="shared" si="185"/>
        <v>-</v>
      </c>
      <c r="BD292" s="3">
        <f t="shared" si="186"/>
        <v>29</v>
      </c>
      <c r="BE292" s="3">
        <f t="shared" si="187"/>
        <v>55</v>
      </c>
      <c r="BG292" s="3" t="s">
        <v>1306</v>
      </c>
    </row>
    <row r="293" spans="1:59" s="3" customFormat="1" x14ac:dyDescent="0.2">
      <c r="A293" s="3" t="s">
        <v>332</v>
      </c>
      <c r="B293" s="3" t="str">
        <f>LOWER(VLOOKUP(A293,Xtal_Templ!A:B,2,FALSE))</f>
        <v>opsd_bovin</v>
      </c>
      <c r="C293" s="3">
        <f>VLOOKUP($A293,'SegEnds_NonXtal_BW#'!$A:$Z,3,FALSE)+D293-50</f>
        <v>37</v>
      </c>
      <c r="D293" s="3">
        <v>59</v>
      </c>
      <c r="E293" s="3">
        <f>IF(ISERROR(VLOOKUP($A293,'SegEnds_NonXtal_BW#'!$A:$Z,4,FALSE)+VLOOKUP($A293,A:AL,4,FALSE)-50),"-",(VLOOKUP($A293,'SegEnds_NonXtal_BW#'!$A:$Z,4,FALSE)+VLOOKUP($A293,A:AL,4,FALSE)-50))</f>
        <v>69</v>
      </c>
      <c r="F293" s="3">
        <f t="shared" si="192"/>
        <v>70</v>
      </c>
      <c r="G293" s="3">
        <v>72</v>
      </c>
      <c r="H293" s="3">
        <f t="shared" si="193"/>
        <v>73</v>
      </c>
      <c r="I293" s="3">
        <f t="shared" si="193"/>
        <v>74</v>
      </c>
      <c r="J293" s="3">
        <v>87</v>
      </c>
      <c r="K293" s="3">
        <f>VLOOKUP($A293,'SegEnds_NonXtal_BW#'!$A:$Z,8,FALSE)+VLOOKUP($A293,A:AL,10,FALSE)-50</f>
        <v>104</v>
      </c>
      <c r="L293" s="3">
        <f t="shared" si="194"/>
        <v>106</v>
      </c>
      <c r="M293" s="3">
        <v>107</v>
      </c>
      <c r="N293" s="3">
        <f t="shared" si="195"/>
        <v>109</v>
      </c>
      <c r="O293" s="3">
        <f t="shared" si="196"/>
        <v>110</v>
      </c>
      <c r="P293" s="3">
        <v>139</v>
      </c>
      <c r="Q293" s="3">
        <f>VLOOKUP($A293,'SegEnds_NonXtal_BW#'!$A:$Z,12,FALSE)+VLOOKUP($A293,A:AL,16,FALSE)-50</f>
        <v>145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150</v>
      </c>
      <c r="V293" s="3">
        <v>162</v>
      </c>
      <c r="W293" s="3">
        <f>IF(ISERROR(VLOOKUP($A293,'SegEnds_NonXtal_BW#'!$A:$Z,16,FALSE)+VLOOKUP($A293,A:AL,22,FALSE)-50),"-",(VLOOKUP($A293,'SegEnds_NonXtal_BW#'!$A:$Z,16,FALSE)+VLOOKUP($A293,A:AL,22,FALSE)-50))</f>
        <v>174</v>
      </c>
      <c r="X293" s="3">
        <f>IF(ISERROR(VLOOKUP($A293,'SegEnds_NonXtal_BW#'!$A:$Z,17,FALSE)+VLOOKUP($A293,A:AL,25,FALSE)-50),"-",(VLOOKUP($A293,'SegEnds_NonXtal_BW#'!$A:$Z,17,FALSE)+VLOOKUP($A293,A:AL,25,FALSE)-50))</f>
        <v>188</v>
      </c>
      <c r="Y293" s="3">
        <v>188</v>
      </c>
      <c r="Z293" s="3">
        <f t="shared" ref="Z293:Z328" si="197">Y293+2</f>
        <v>190</v>
      </c>
      <c r="AA293" s="3">
        <f>IF(ISERROR(VLOOKUP($A293,'SegEnds_NonXtal_BW#'!$A:$Z,19,FALSE)+VLOOKUP($A293,A:AL,28,FALSE)-50),"-",(VLOOKUP($A293,'SegEnds_NonXtal_BW#'!$A:$Z,19,FALSE)+VLOOKUP($A293,A:AL,28,FALSE)-50))</f>
        <v>198</v>
      </c>
      <c r="AB293" s="3">
        <v>214</v>
      </c>
      <c r="AC293" s="3">
        <f>IF(ISERROR((VLOOKUP($A293,'SegEnds_NonXtal_BW#'!$A:$Z,20,FALSE)+VLOOKUP($A293,A:AL,28,FALSE)-50)),"-",(VLOOKUP($A293,'SegEnds_NonXtal_BW#'!$A:$Z,20,FALSE)+VLOOKUP($A293,A:AL,28,FALSE)-50))</f>
        <v>237</v>
      </c>
      <c r="AD293" s="3">
        <f>IF(ISERROR(VLOOKUP($A293,'SegEnds_NonXtal_BW#'!$A:$Z,21,FALSE)+VLOOKUP($A293,A:AL,31,FALSE)-50),"-",(VLOOKUP($A293,'SegEnds_NonXtal_BW#'!$A:$Z,21,FALSE)+VLOOKUP($A293,A:AL,31,FALSE)-50))</f>
        <v>242</v>
      </c>
      <c r="AE293" s="3">
        <v>270</v>
      </c>
      <c r="AF293" s="3">
        <f>IF(ISERROR((VLOOKUP($A293,'SegEnds_NonXtal_BW#'!$A:$Z,22,FALSE)+VLOOKUP($A293,A:AL,31,FALSE)-50)),"-",(VLOOKUP($A293,'SegEnds_NonXtal_BW#'!$A:$Z,22,FALSE)+VLOOKUP($A293,A:AL,31,FALSE)-50))</f>
        <v>281</v>
      </c>
      <c r="AG293" s="3">
        <f>IF(ISERROR(VLOOKUP($A293,'SegEnds_NonXtal_BW#'!$A:$Z,23,FALSE)+VLOOKUP($A293,A:AL,34,FALSE)-50),"-",(VLOOKUP($A293,'SegEnds_NonXtal_BW#'!$A:$Z,23,FALSE)+VLOOKUP($A293,A:AL,34,FALSE)-50))</f>
        <v>287</v>
      </c>
      <c r="AH293" s="3">
        <v>306</v>
      </c>
      <c r="AI293" s="3">
        <f>IF(ISERROR((VLOOKUP($A293,'SegEnds_NonXtal_BW#'!$A:$Z,24,FALSE)+VLOOKUP($A293,A:AL,34,FALSE)-50)),"-",(VLOOKUP($A293,'SegEnds_NonXtal_BW#'!$A:$Z,24,FALSE)+VLOOKUP($A293,A:AL,34,FALSE)-50))</f>
        <v>312</v>
      </c>
      <c r="AJ293" s="3">
        <f>IF(ISERROR(VLOOKUP($A293,'SegEnds_NonXtal_BW#'!$A:$Z,25,FALSE)+VLOOKUP($A293,A:AL,37,FALSE)-50),"-",(VLOOKUP($A293,'SegEnds_NonXtal_BW#'!$A:$Z,25,FALSE)+VLOOKUP($A293,A:AL,37,FALSE)-50))</f>
        <v>313</v>
      </c>
      <c r="AK293" s="3">
        <v>316</v>
      </c>
      <c r="AL293" s="3">
        <f>IF(ISERROR((VLOOKUP($A293,'SegEnds_NonXtal_BW#'!$A:$Z,26,FALSE)+VLOOKUP($A293,A:AL,37,FALSE)-50)),"-",(VLOOKUP($A293,'SegEnds_NonXtal_BW#'!$A:$Z,26,FALSE)+VLOOKUP($A293,A:AL,37,FALSE)-50))</f>
        <v>325</v>
      </c>
      <c r="AM293" s="28" t="str">
        <f>VLOOKUP(A293,Classification!A:B,2,FALSE)</f>
        <v>A</v>
      </c>
      <c r="AN293" s="28" t="b">
        <f t="shared" si="188"/>
        <v>1</v>
      </c>
      <c r="AO293" s="3" t="str">
        <f>IF(ISERROR(MATCH(A293,'SegEnds_Xtal_Prot#'!B:B, 0)), "NoXtal", "Xtal")</f>
        <v>NoXtal</v>
      </c>
      <c r="AP293" s="3">
        <f t="shared" si="173"/>
        <v>1</v>
      </c>
      <c r="AQ293" s="3">
        <f t="shared" si="174"/>
        <v>1</v>
      </c>
      <c r="AR293" s="3">
        <f t="shared" si="175"/>
        <v>2</v>
      </c>
      <c r="AS293" s="3">
        <f t="shared" si="176"/>
        <v>1</v>
      </c>
      <c r="AT293" s="3" t="str">
        <f t="shared" si="177"/>
        <v>-</v>
      </c>
      <c r="AU293" s="3" t="str">
        <f t="shared" si="178"/>
        <v>-</v>
      </c>
      <c r="AV293" s="3">
        <f t="shared" si="179"/>
        <v>14</v>
      </c>
      <c r="AW293" s="3">
        <f t="shared" si="180"/>
        <v>8</v>
      </c>
      <c r="AX293" s="3">
        <f t="shared" si="181"/>
        <v>5</v>
      </c>
      <c r="AY293" s="3">
        <f t="shared" si="182"/>
        <v>6</v>
      </c>
      <c r="AZ293" s="3">
        <f t="shared" si="183"/>
        <v>1</v>
      </c>
      <c r="BA293" s="3">
        <f>IF(ISERROR(LEN(VLOOKUP(A293,Seqs!A:E,2,FALSE))-AL293),"-",LEN(VLOOKUP(A293,Seqs!A:E,2,FALSE))-AL293)</f>
        <v>77</v>
      </c>
      <c r="BB293" s="16">
        <f t="shared" si="184"/>
        <v>28</v>
      </c>
      <c r="BC293" s="9" t="str">
        <f t="shared" si="185"/>
        <v>-</v>
      </c>
      <c r="BD293" s="3">
        <f t="shared" si="186"/>
        <v>28</v>
      </c>
      <c r="BE293" s="3">
        <f t="shared" si="187"/>
        <v>56</v>
      </c>
    </row>
    <row r="294" spans="1:59" s="3" customFormat="1" x14ac:dyDescent="0.2">
      <c r="A294" s="3" t="s">
        <v>344</v>
      </c>
      <c r="B294" s="3" t="str">
        <f>LOWER(VLOOKUP(A294,Xtal_Templ!A:B,2,FALSE))</f>
        <v>ox1r_human</v>
      </c>
      <c r="C294" s="3">
        <f>VLOOKUP($A294,'SegEnds_NonXtal_BW#'!$A:$Z,3,FALSE)+D294-50</f>
        <v>39</v>
      </c>
      <c r="D294" s="3">
        <v>57</v>
      </c>
      <c r="E294" s="3">
        <f>IF(ISERROR(VLOOKUP($A294,'SegEnds_NonXtal_BW#'!$A:$Z,4,FALSE)+VLOOKUP($A294,A:AL,4,FALSE)-50),"-",(VLOOKUP($A294,'SegEnds_NonXtal_BW#'!$A:$Z,4,FALSE)+VLOOKUP($A294,A:AL,4,FALSE)-50))</f>
        <v>67</v>
      </c>
      <c r="F294" s="3">
        <f t="shared" si="192"/>
        <v>68</v>
      </c>
      <c r="G294" s="3">
        <v>70</v>
      </c>
      <c r="H294" s="3">
        <f t="shared" si="193"/>
        <v>71</v>
      </c>
      <c r="I294" s="3">
        <f t="shared" si="193"/>
        <v>72</v>
      </c>
      <c r="J294" s="3">
        <v>85</v>
      </c>
      <c r="K294" s="3">
        <f>VLOOKUP($A294,'SegEnds_NonXtal_BW#'!$A:$Z,8,FALSE)+VLOOKUP($A294,A:AL,10,FALSE)-50</f>
        <v>101</v>
      </c>
      <c r="L294" s="3">
        <f t="shared" si="194"/>
        <v>102</v>
      </c>
      <c r="M294" s="3">
        <v>103</v>
      </c>
      <c r="N294" s="3">
        <f t="shared" si="195"/>
        <v>105</v>
      </c>
      <c r="O294" s="3">
        <f t="shared" si="196"/>
        <v>106</v>
      </c>
      <c r="P294" s="3">
        <v>137</v>
      </c>
      <c r="Q294" s="3">
        <f>VLOOKUP($A294,'SegEnds_NonXtal_BW#'!$A:$Z,12,FALSE)+VLOOKUP($A294,A:AL,16,FALSE)-50</f>
        <v>143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149</v>
      </c>
      <c r="V294" s="3">
        <v>161</v>
      </c>
      <c r="W294" s="3">
        <f>IF(ISERROR(VLOOKUP($A294,'SegEnds_NonXtal_BW#'!$A:$Z,16,FALSE)+VLOOKUP($A294,A:AL,22,FALSE)-50),"-",(VLOOKUP($A294,'SegEnds_NonXtal_BW#'!$A:$Z,16,FALSE)+VLOOKUP($A294,A:AL,22,FALSE)-50))</f>
        <v>175</v>
      </c>
      <c r="X294" s="3">
        <f>IF(ISERROR(VLOOKUP($A294,'SegEnds_NonXtal_BW#'!$A:$Z,17,FALSE)+VLOOKUP($A294,A:AL,25,FALSE)-50),"-",(VLOOKUP($A294,'SegEnds_NonXtal_BW#'!$A:$Z,17,FALSE)+VLOOKUP($A294,A:AL,25,FALSE)-50))</f>
        <v>187</v>
      </c>
      <c r="Y294" s="3">
        <v>187</v>
      </c>
      <c r="Z294" s="3">
        <f t="shared" si="197"/>
        <v>189</v>
      </c>
      <c r="AA294" s="3">
        <f>IF(ISERROR(VLOOKUP($A294,'SegEnds_NonXtal_BW#'!$A:$Z,19,FALSE)+VLOOKUP($A294,A:AL,28,FALSE)-50),"-",(VLOOKUP($A294,'SegEnds_NonXtal_BW#'!$A:$Z,19,FALSE)+VLOOKUP($A294,A:AL,28,FALSE)-50))</f>
        <v>195</v>
      </c>
      <c r="AB294" s="3">
        <v>212</v>
      </c>
      <c r="AC294" s="3">
        <f>IF(ISERROR((VLOOKUP($A294,'SegEnds_NonXtal_BW#'!$A:$Z,20,FALSE)+VLOOKUP($A294,A:AL,28,FALSE)-50)),"-",(VLOOKUP($A294,'SegEnds_NonXtal_BW#'!$A:$Z,20,FALSE)+VLOOKUP($A294,A:AL,28,FALSE)-50))</f>
        <v>238</v>
      </c>
      <c r="AD294" s="3">
        <f>IF(ISERROR(VLOOKUP($A294,'SegEnds_NonXtal_BW#'!$A:$Z,21,FALSE)+VLOOKUP($A294,A:AL,31,FALSE)-50),"-",(VLOOKUP($A294,'SegEnds_NonXtal_BW#'!$A:$Z,21,FALSE)+VLOOKUP($A294,A:AL,31,FALSE)-50))</f>
        <v>264</v>
      </c>
      <c r="AE294" s="3">
        <v>290</v>
      </c>
      <c r="AF294" s="3">
        <f>IF(ISERROR((VLOOKUP($A294,'SegEnds_NonXtal_BW#'!$A:$Z,22,FALSE)+VLOOKUP($A294,A:AL,31,FALSE)-50)),"-",(VLOOKUP($A294,'SegEnds_NonXtal_BW#'!$A:$Z,22,FALSE)+VLOOKUP($A294,A:AL,31,FALSE)-50))</f>
        <v>301</v>
      </c>
      <c r="AG294" s="3">
        <f>IF(ISERROR(VLOOKUP($A294,'SegEnds_NonXtal_BW#'!$A:$Z,23,FALSE)+VLOOKUP($A294,A:AL,34,FALSE)-50),"-",(VLOOKUP($A294,'SegEnds_NonXtal_BW#'!$A:$Z,23,FALSE)+VLOOKUP($A294,A:AL,34,FALSE)-50))</f>
        <v>307</v>
      </c>
      <c r="AH294" s="3">
        <v>326</v>
      </c>
      <c r="AI294" s="3">
        <f>IF(ISERROR((VLOOKUP($A294,'SegEnds_NonXtal_BW#'!$A:$Z,24,FALSE)+VLOOKUP($A294,A:AL,34,FALSE)-50)),"-",(VLOOKUP($A294,'SegEnds_NonXtal_BW#'!$A:$Z,24,FALSE)+VLOOKUP($A294,A:AL,34,FALSE)-50))</f>
        <v>332</v>
      </c>
      <c r="AJ294" s="3">
        <f>IF(ISERROR(VLOOKUP($A294,'SegEnds_NonXtal_BW#'!$A:$Z,25,FALSE)+VLOOKUP($A294,A:AL,37,FALSE)-50),"-",(VLOOKUP($A294,'SegEnds_NonXtal_BW#'!$A:$Z,25,FALSE)+VLOOKUP($A294,A:AL,37,FALSE)-50))</f>
        <v>333</v>
      </c>
      <c r="AK294" s="3">
        <v>336</v>
      </c>
      <c r="AL294" s="3">
        <f>IF(ISERROR((VLOOKUP($A294,'SegEnds_NonXtal_BW#'!$A:$Z,26,FALSE)+VLOOKUP($A294,A:AL,37,FALSE)-50)),"-",(VLOOKUP($A294,'SegEnds_NonXtal_BW#'!$A:$Z,26,FALSE)+VLOOKUP($A294,A:AL,37,FALSE)-50))</f>
        <v>349</v>
      </c>
      <c r="AM294" s="28" t="str">
        <f>VLOOKUP(A294,Classification!A:B,2,FALSE)</f>
        <v>A</v>
      </c>
      <c r="AN294" s="28" t="b">
        <f t="shared" si="188"/>
        <v>1</v>
      </c>
      <c r="AO294" s="3" t="str">
        <f>IF(ISERROR(MATCH(A294,'SegEnds_Xtal_Prot#'!B:B, 0)), "NoXtal", "Xtal")</f>
        <v>NoXtal</v>
      </c>
      <c r="AP294" s="3">
        <f t="shared" si="173"/>
        <v>1</v>
      </c>
      <c r="AQ294" s="3">
        <f t="shared" si="174"/>
        <v>1</v>
      </c>
      <c r="AR294" s="3">
        <f t="shared" si="175"/>
        <v>1</v>
      </c>
      <c r="AS294" s="3">
        <f t="shared" si="176"/>
        <v>1</v>
      </c>
      <c r="AT294" s="3" t="str">
        <f t="shared" si="177"/>
        <v>-</v>
      </c>
      <c r="AU294" s="3" t="str">
        <f t="shared" si="178"/>
        <v>-</v>
      </c>
      <c r="AV294" s="3">
        <f t="shared" si="179"/>
        <v>12</v>
      </c>
      <c r="AW294" s="3">
        <f t="shared" si="180"/>
        <v>6</v>
      </c>
      <c r="AX294" s="3">
        <f t="shared" si="181"/>
        <v>26</v>
      </c>
      <c r="AY294" s="3">
        <f t="shared" si="182"/>
        <v>6</v>
      </c>
      <c r="AZ294" s="3">
        <f t="shared" si="183"/>
        <v>1</v>
      </c>
      <c r="BA294" s="3">
        <f>IF(ISERROR(LEN(VLOOKUP(A294,Seqs!A:E,2,FALSE))-AL294),"-",LEN(VLOOKUP(A294,Seqs!A:E,2,FALSE))-AL294)</f>
        <v>40</v>
      </c>
      <c r="BB294" s="16">
        <f t="shared" si="184"/>
        <v>28</v>
      </c>
      <c r="BC294" s="9" t="str">
        <f t="shared" si="185"/>
        <v>-</v>
      </c>
      <c r="BD294" s="3">
        <f t="shared" si="186"/>
        <v>28</v>
      </c>
      <c r="BE294" s="3">
        <f t="shared" si="187"/>
        <v>78</v>
      </c>
    </row>
    <row r="295" spans="1:59" s="3" customFormat="1" x14ac:dyDescent="0.2">
      <c r="A295" s="3" t="s">
        <v>367</v>
      </c>
      <c r="B295" s="3" t="str">
        <f>LOWER(VLOOKUP(A295,Xtal_Templ!A:B,2,FALSE))</f>
        <v>npy1r_human</v>
      </c>
      <c r="C295" s="3">
        <f>VLOOKUP($A295,'SegEnds_NonXtal_BW#'!$A:$Z,3,FALSE)+D295-50</f>
        <v>58</v>
      </c>
      <c r="D295" s="3">
        <v>80</v>
      </c>
      <c r="E295" s="3">
        <f>IF(ISERROR(VLOOKUP($A295,'SegEnds_NonXtal_BW#'!$A:$Z,4,FALSE)+VLOOKUP($A295,A:AL,4,FALSE)-50),"-",(VLOOKUP($A295,'SegEnds_NonXtal_BW#'!$A:$Z,4,FALSE)+VLOOKUP($A295,A:AL,4,FALSE)-50))</f>
        <v>90</v>
      </c>
      <c r="F295" s="3">
        <f t="shared" si="192"/>
        <v>91</v>
      </c>
      <c r="G295" s="3">
        <v>93</v>
      </c>
      <c r="H295" s="3">
        <f t="shared" si="193"/>
        <v>94</v>
      </c>
      <c r="I295" s="3">
        <f t="shared" si="193"/>
        <v>95</v>
      </c>
      <c r="J295" s="3">
        <v>108</v>
      </c>
      <c r="K295" s="3">
        <f>VLOOKUP($A295,'SegEnds_NonXtal_BW#'!$A:$Z,8,FALSE)+VLOOKUP($A295,A:AL,10,FALSE)-50</f>
        <v>126</v>
      </c>
      <c r="L295" s="3">
        <f t="shared" si="194"/>
        <v>129</v>
      </c>
      <c r="M295" s="3">
        <v>130</v>
      </c>
      <c r="N295" s="3">
        <f t="shared" si="195"/>
        <v>132</v>
      </c>
      <c r="O295" s="3">
        <f t="shared" si="196"/>
        <v>133</v>
      </c>
      <c r="P295" s="3">
        <v>162</v>
      </c>
      <c r="Q295" s="3">
        <f>VLOOKUP($A295,'SegEnds_NonXtal_BW#'!$A:$Z,12,FALSE)+VLOOKUP($A295,A:AL,16,FALSE)-50</f>
        <v>168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175</v>
      </c>
      <c r="V295" s="3">
        <v>187</v>
      </c>
      <c r="W295" s="3">
        <f>IF(ISERROR(VLOOKUP($A295,'SegEnds_NonXtal_BW#'!$A:$Z,16,FALSE)+VLOOKUP($A295,A:AL,22,FALSE)-50),"-",(VLOOKUP($A295,'SegEnds_NonXtal_BW#'!$A:$Z,16,FALSE)+VLOOKUP($A295,A:AL,22,FALSE)-50))</f>
        <v>201</v>
      </c>
      <c r="X295" s="3">
        <f>IF(ISERROR(VLOOKUP($A295,'SegEnds_NonXtal_BW#'!$A:$Z,17,FALSE)+VLOOKUP($A295,A:AL,25,FALSE)-50),"-",(VLOOKUP($A295,'SegEnds_NonXtal_BW#'!$A:$Z,17,FALSE)+VLOOKUP($A295,A:AL,25,FALSE)-50))</f>
        <v>217</v>
      </c>
      <c r="Y295" s="3">
        <v>217</v>
      </c>
      <c r="Z295" s="3">
        <f t="shared" si="197"/>
        <v>219</v>
      </c>
      <c r="AA295" s="3">
        <f>IF(ISERROR(VLOOKUP($A295,'SegEnds_NonXtal_BW#'!$A:$Z,19,FALSE)+VLOOKUP($A295,A:AL,28,FALSE)-50),"-",(VLOOKUP($A295,'SegEnds_NonXtal_BW#'!$A:$Z,19,FALSE)+VLOOKUP($A295,A:AL,28,FALSE)-50))</f>
        <v>225</v>
      </c>
      <c r="AB295" s="3">
        <v>244</v>
      </c>
      <c r="AC295" s="3">
        <f>IF(ISERROR((VLOOKUP($A295,'SegEnds_NonXtal_BW#'!$A:$Z,20,FALSE)+VLOOKUP($A295,A:AL,28,FALSE)-50)),"-",(VLOOKUP($A295,'SegEnds_NonXtal_BW#'!$A:$Z,20,FALSE)+VLOOKUP($A295,A:AL,28,FALSE)-50))</f>
        <v>267</v>
      </c>
      <c r="AD295" s="3">
        <f>IF(ISERROR(VLOOKUP($A295,'SegEnds_NonXtal_BW#'!$A:$Z,21,FALSE)+VLOOKUP($A295,A:AL,31,FALSE)-50),"-",(VLOOKUP($A295,'SegEnds_NonXtal_BW#'!$A:$Z,21,FALSE)+VLOOKUP($A295,A:AL,31,FALSE)-50))</f>
        <v>271</v>
      </c>
      <c r="AE295" s="3">
        <v>299</v>
      </c>
      <c r="AF295" s="3">
        <f>IF(ISERROR((VLOOKUP($A295,'SegEnds_NonXtal_BW#'!$A:$Z,22,FALSE)+VLOOKUP($A295,A:AL,31,FALSE)-50)),"-",(VLOOKUP($A295,'SegEnds_NonXtal_BW#'!$A:$Z,22,FALSE)+VLOOKUP($A295,A:AL,31,FALSE)-50))</f>
        <v>310</v>
      </c>
      <c r="AG295" s="3">
        <f>IF(ISERROR(VLOOKUP($A295,'SegEnds_NonXtal_BW#'!$A:$Z,23,FALSE)+VLOOKUP($A295,A:AL,34,FALSE)-50),"-",(VLOOKUP($A295,'SegEnds_NonXtal_BW#'!$A:$Z,23,FALSE)+VLOOKUP($A295,A:AL,34,FALSE)-50))</f>
        <v>317</v>
      </c>
      <c r="AH295" s="3">
        <v>339</v>
      </c>
      <c r="AI295" s="3">
        <f>IF(ISERROR((VLOOKUP($A295,'SegEnds_NonXtal_BW#'!$A:$Z,24,FALSE)+VLOOKUP($A295,A:AL,34,FALSE)-50)),"-",(VLOOKUP($A295,'SegEnds_NonXtal_BW#'!$A:$Z,24,FALSE)+VLOOKUP($A295,A:AL,34,FALSE)-50))</f>
        <v>345</v>
      </c>
      <c r="AJ295" s="3">
        <v>347</v>
      </c>
      <c r="AK295" s="3">
        <v>350</v>
      </c>
      <c r="AL295" s="3">
        <v>358</v>
      </c>
      <c r="AM295" s="28" t="str">
        <f>VLOOKUP(A295,Classification!A:B,2,FALSE)</f>
        <v>A</v>
      </c>
      <c r="AN295" s="28" t="b">
        <f t="shared" si="188"/>
        <v>1</v>
      </c>
      <c r="AO295" s="3" t="str">
        <f>IF(ISERROR(MATCH(A295,'SegEnds_Xtal_Prot#'!B:B, 0)), "NoXtal", "Xtal")</f>
        <v>NoXtal</v>
      </c>
      <c r="AP295" s="3">
        <f t="shared" si="173"/>
        <v>1</v>
      </c>
      <c r="AQ295" s="3">
        <f t="shared" si="174"/>
        <v>1</v>
      </c>
      <c r="AR295" s="3">
        <f t="shared" si="175"/>
        <v>3</v>
      </c>
      <c r="AS295" s="3">
        <f t="shared" si="176"/>
        <v>1</v>
      </c>
      <c r="AT295" s="3" t="str">
        <f t="shared" si="177"/>
        <v>-</v>
      </c>
      <c r="AU295" s="3" t="str">
        <f t="shared" si="178"/>
        <v>-</v>
      </c>
      <c r="AV295" s="3">
        <f t="shared" si="179"/>
        <v>16</v>
      </c>
      <c r="AW295" s="3">
        <f t="shared" si="180"/>
        <v>6</v>
      </c>
      <c r="AX295" s="3">
        <f t="shared" si="181"/>
        <v>4</v>
      </c>
      <c r="AY295" s="3">
        <f t="shared" si="182"/>
        <v>7</v>
      </c>
      <c r="AZ295" s="3">
        <f t="shared" si="183"/>
        <v>2</v>
      </c>
      <c r="BA295" s="3">
        <f>IF(ISERROR(LEN(VLOOKUP(A295,Seqs!A:E,2,FALSE))-AL295),"-",LEN(VLOOKUP(A295,Seqs!A:E,2,FALSE))-AL295)</f>
        <v>35</v>
      </c>
      <c r="BB295" s="16">
        <f t="shared" si="184"/>
        <v>28</v>
      </c>
      <c r="BC295" s="9" t="str">
        <f t="shared" si="185"/>
        <v>-</v>
      </c>
      <c r="BD295" s="3">
        <f t="shared" si="186"/>
        <v>28</v>
      </c>
      <c r="BE295" s="3">
        <f t="shared" si="187"/>
        <v>55</v>
      </c>
    </row>
    <row r="296" spans="1:59" s="3" customFormat="1" x14ac:dyDescent="0.2">
      <c r="A296" s="3" t="s">
        <v>368</v>
      </c>
      <c r="B296" s="3" t="str">
        <f>LOWER(VLOOKUP(A296,Xtal_Templ!A:B,2,FALSE))</f>
        <v>npy1r_human</v>
      </c>
      <c r="C296" s="3">
        <f>VLOOKUP($A296,'SegEnds_NonXtal_BW#'!$A:$Z,3,FALSE)+D296-50</f>
        <v>49</v>
      </c>
      <c r="D296" s="3">
        <v>71</v>
      </c>
      <c r="E296" s="3">
        <f>IF(ISERROR(VLOOKUP($A296,'SegEnds_NonXtal_BW#'!$A:$Z,4,FALSE)+VLOOKUP($A296,A:AL,4,FALSE)-50),"-",(VLOOKUP($A296,'SegEnds_NonXtal_BW#'!$A:$Z,4,FALSE)+VLOOKUP($A296,A:AL,4,FALSE)-50))</f>
        <v>81</v>
      </c>
      <c r="F296" s="3">
        <f t="shared" si="192"/>
        <v>82</v>
      </c>
      <c r="G296" s="3">
        <v>84</v>
      </c>
      <c r="H296" s="3">
        <f t="shared" si="193"/>
        <v>85</v>
      </c>
      <c r="I296" s="3">
        <f t="shared" si="193"/>
        <v>86</v>
      </c>
      <c r="J296" s="3">
        <v>99</v>
      </c>
      <c r="K296" s="3">
        <f>VLOOKUP($A296,'SegEnds_NonXtal_BW#'!$A:$Z,8,FALSE)+VLOOKUP($A296,A:AL,10,FALSE)-50</f>
        <v>117</v>
      </c>
      <c r="L296" s="3">
        <f t="shared" si="194"/>
        <v>120</v>
      </c>
      <c r="M296" s="3">
        <v>121</v>
      </c>
      <c r="N296" s="3">
        <f t="shared" si="195"/>
        <v>123</v>
      </c>
      <c r="O296" s="3">
        <f t="shared" si="196"/>
        <v>124</v>
      </c>
      <c r="P296" s="3">
        <v>153</v>
      </c>
      <c r="Q296" s="3">
        <f>VLOOKUP($A296,'SegEnds_NonXtal_BW#'!$A:$Z,12,FALSE)+VLOOKUP($A296,A:AL,16,FALSE)-50</f>
        <v>159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166</v>
      </c>
      <c r="V296" s="3">
        <v>178</v>
      </c>
      <c r="W296" s="3">
        <f>IF(ISERROR(VLOOKUP($A296,'SegEnds_NonXtal_BW#'!$A:$Z,16,FALSE)+VLOOKUP($A296,A:AL,22,FALSE)-50),"-",(VLOOKUP($A296,'SegEnds_NonXtal_BW#'!$A:$Z,16,FALSE)+VLOOKUP($A296,A:AL,22,FALSE)-50))</f>
        <v>192</v>
      </c>
      <c r="X296" s="3">
        <f>IF(ISERROR(VLOOKUP($A296,'SegEnds_NonXtal_BW#'!$A:$Z,17,FALSE)+VLOOKUP($A296,A:AL,25,FALSE)-50),"-",(VLOOKUP($A296,'SegEnds_NonXtal_BW#'!$A:$Z,17,FALSE)+VLOOKUP($A296,A:AL,25,FALSE)-50))</f>
        <v>208</v>
      </c>
      <c r="Y296" s="3">
        <v>208</v>
      </c>
      <c r="Z296" s="3">
        <f t="shared" si="197"/>
        <v>210</v>
      </c>
      <c r="AA296" s="3">
        <f>IF(ISERROR(VLOOKUP($A296,'SegEnds_NonXtal_BW#'!$A:$Z,19,FALSE)+VLOOKUP($A296,A:AL,28,FALSE)-50),"-",(VLOOKUP($A296,'SegEnds_NonXtal_BW#'!$A:$Z,19,FALSE)+VLOOKUP($A296,A:AL,28,FALSE)-50))</f>
        <v>216</v>
      </c>
      <c r="AB296" s="3">
        <v>235</v>
      </c>
      <c r="AC296" s="3">
        <f>IF(ISERROR((VLOOKUP($A296,'SegEnds_NonXtal_BW#'!$A:$Z,20,FALSE)+VLOOKUP($A296,A:AL,28,FALSE)-50)),"-",(VLOOKUP($A296,'SegEnds_NonXtal_BW#'!$A:$Z,20,FALSE)+VLOOKUP($A296,A:AL,28,FALSE)-50))</f>
        <v>258</v>
      </c>
      <c r="AD296" s="3">
        <f>IF(ISERROR(VLOOKUP($A296,'SegEnds_NonXtal_BW#'!$A:$Z,21,FALSE)+VLOOKUP($A296,A:AL,31,FALSE)-50),"-",(VLOOKUP($A296,'SegEnds_NonXtal_BW#'!$A:$Z,21,FALSE)+VLOOKUP($A296,A:AL,31,FALSE)-50))</f>
        <v>262</v>
      </c>
      <c r="AE296" s="3">
        <v>290</v>
      </c>
      <c r="AF296" s="3">
        <f>IF(ISERROR((VLOOKUP($A296,'SegEnds_NonXtal_BW#'!$A:$Z,22,FALSE)+VLOOKUP($A296,A:AL,31,FALSE)-50)),"-",(VLOOKUP($A296,'SegEnds_NonXtal_BW#'!$A:$Z,22,FALSE)+VLOOKUP($A296,A:AL,31,FALSE)-50))</f>
        <v>301</v>
      </c>
      <c r="AG296" s="3">
        <f>IF(ISERROR(VLOOKUP($A296,'SegEnds_NonXtal_BW#'!$A:$Z,23,FALSE)+VLOOKUP($A296,A:AL,34,FALSE)-50),"-",(VLOOKUP($A296,'SegEnds_NonXtal_BW#'!$A:$Z,23,FALSE)+VLOOKUP($A296,A:AL,34,FALSE)-50))</f>
        <v>308</v>
      </c>
      <c r="AH296" s="3">
        <v>330</v>
      </c>
      <c r="AI296" s="3">
        <f>IF(ISERROR((VLOOKUP($A296,'SegEnds_NonXtal_BW#'!$A:$Z,24,FALSE)+VLOOKUP($A296,A:AL,34,FALSE)-50)),"-",(VLOOKUP($A296,'SegEnds_NonXtal_BW#'!$A:$Z,24,FALSE)+VLOOKUP($A296,A:AL,34,FALSE)-50))</f>
        <v>336</v>
      </c>
      <c r="AJ296" s="3">
        <v>338</v>
      </c>
      <c r="AK296" s="3">
        <v>341</v>
      </c>
      <c r="AL296" s="3">
        <v>349</v>
      </c>
      <c r="AM296" s="28" t="str">
        <f>VLOOKUP(A296,Classification!A:B,2,FALSE)</f>
        <v>A</v>
      </c>
      <c r="AN296" s="28" t="b">
        <f t="shared" si="188"/>
        <v>1</v>
      </c>
      <c r="AO296" s="3" t="str">
        <f>IF(ISERROR(MATCH(A296,'SegEnds_Xtal_Prot#'!B:B, 0)), "NoXtal", "Xtal")</f>
        <v>NoXtal</v>
      </c>
      <c r="AP296" s="3">
        <f t="shared" si="173"/>
        <v>1</v>
      </c>
      <c r="AQ296" s="3">
        <f t="shared" si="174"/>
        <v>1</v>
      </c>
      <c r="AR296" s="3">
        <f t="shared" si="175"/>
        <v>3</v>
      </c>
      <c r="AS296" s="3">
        <f t="shared" si="176"/>
        <v>1</v>
      </c>
      <c r="AT296" s="3" t="str">
        <f t="shared" si="177"/>
        <v>-</v>
      </c>
      <c r="AU296" s="3" t="str">
        <f t="shared" si="178"/>
        <v>-</v>
      </c>
      <c r="AV296" s="3">
        <f t="shared" si="179"/>
        <v>16</v>
      </c>
      <c r="AW296" s="3">
        <f t="shared" si="180"/>
        <v>6</v>
      </c>
      <c r="AX296" s="3">
        <f t="shared" si="181"/>
        <v>4</v>
      </c>
      <c r="AY296" s="3">
        <f t="shared" si="182"/>
        <v>7</v>
      </c>
      <c r="AZ296" s="3">
        <f t="shared" si="183"/>
        <v>2</v>
      </c>
      <c r="BA296" s="3">
        <f>IF(ISERROR(LEN(VLOOKUP(A296,Seqs!A:E,2,FALSE))-AL296),"-",LEN(VLOOKUP(A296,Seqs!A:E,2,FALSE))-AL296)</f>
        <v>35</v>
      </c>
      <c r="BB296" s="16">
        <f t="shared" si="184"/>
        <v>28</v>
      </c>
      <c r="BC296" s="9" t="str">
        <f t="shared" si="185"/>
        <v>-</v>
      </c>
      <c r="BD296" s="3">
        <f t="shared" si="186"/>
        <v>28</v>
      </c>
      <c r="BE296" s="3">
        <f t="shared" si="187"/>
        <v>55</v>
      </c>
    </row>
    <row r="297" spans="1:59" s="3" customFormat="1" x14ac:dyDescent="0.2">
      <c r="A297" s="3" t="s">
        <v>373</v>
      </c>
      <c r="B297" s="3" t="str">
        <f>LOWER(VLOOKUP(A297,Xtal_Templ!A:B,2,FALSE))</f>
        <v>agtr1_human</v>
      </c>
      <c r="C297" s="3">
        <f>VLOOKUP($A297,'SegEnds_NonXtal_BW#'!$A:$Z,3,FALSE)+D297-50</f>
        <v>77</v>
      </c>
      <c r="D297" s="3">
        <v>99</v>
      </c>
      <c r="E297" s="3">
        <f>IF(ISERROR(VLOOKUP($A297,'SegEnds_NonXtal_BW#'!$A:$Z,4,FALSE)+VLOOKUP($A297,A:AL,4,FALSE)-50),"-",(VLOOKUP($A297,'SegEnds_NonXtal_BW#'!$A:$Z,4,FALSE)+VLOOKUP($A297,A:AL,4,FALSE)-50))</f>
        <v>109</v>
      </c>
      <c r="F297" s="3">
        <f t="shared" si="192"/>
        <v>110</v>
      </c>
      <c r="G297" s="3">
        <v>112</v>
      </c>
      <c r="H297" s="3">
        <f t="shared" si="193"/>
        <v>113</v>
      </c>
      <c r="I297" s="3">
        <f t="shared" si="193"/>
        <v>114</v>
      </c>
      <c r="J297" s="3">
        <v>128</v>
      </c>
      <c r="K297" s="3">
        <f>VLOOKUP($A297,'SegEnds_NonXtal_BW#'!$A:$Z,8,FALSE)+VLOOKUP($A297,A:AL,10,FALSE)-50</f>
        <v>145</v>
      </c>
      <c r="L297" s="3">
        <f t="shared" si="194"/>
        <v>147</v>
      </c>
      <c r="M297" s="3">
        <v>148</v>
      </c>
      <c r="N297" s="3">
        <f t="shared" si="195"/>
        <v>150</v>
      </c>
      <c r="O297" s="3">
        <f t="shared" si="196"/>
        <v>151</v>
      </c>
      <c r="P297" s="3">
        <v>180</v>
      </c>
      <c r="Q297" s="3">
        <f>VLOOKUP($A297,'SegEnds_NonXtal_BW#'!$A:$Z,12,FALSE)+VLOOKUP($A297,A:AL,16,FALSE)-50</f>
        <v>186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210</v>
      </c>
      <c r="V297" s="3">
        <v>222</v>
      </c>
      <c r="W297" s="3">
        <f>IF(ISERROR(VLOOKUP($A297,'SegEnds_NonXtal_BW#'!$A:$Z,16,FALSE)+VLOOKUP($A297,A:AL,22,FALSE)-50),"-",(VLOOKUP($A297,'SegEnds_NonXtal_BW#'!$A:$Z,16,FALSE)+VLOOKUP($A297,A:AL,22,FALSE)-50))</f>
        <v>236</v>
      </c>
      <c r="X297" s="3">
        <f>IF(ISERROR(VLOOKUP($A297,'SegEnds_NonXtal_BW#'!$A:$Z,17,FALSE)+VLOOKUP($A297,A:AL,25,FALSE)-50),"-",(VLOOKUP($A297,'SegEnds_NonXtal_BW#'!$A:$Z,17,FALSE)+VLOOKUP($A297,A:AL,25,FALSE)-50))</f>
        <v>247</v>
      </c>
      <c r="Y297" s="3">
        <v>247</v>
      </c>
      <c r="Z297" s="3">
        <f t="shared" si="197"/>
        <v>249</v>
      </c>
      <c r="AA297" s="3">
        <f>IF(ISERROR(VLOOKUP($A297,'SegEnds_NonXtal_BW#'!$A:$Z,19,FALSE)+VLOOKUP($A297,A:AL,28,FALSE)-50),"-",(VLOOKUP($A297,'SegEnds_NonXtal_BW#'!$A:$Z,19,FALSE)+VLOOKUP($A297,A:AL,28,FALSE)-50))</f>
        <v>263</v>
      </c>
      <c r="AB297" s="3">
        <v>279</v>
      </c>
      <c r="AC297" s="3">
        <f>IF(ISERROR((VLOOKUP($A297,'SegEnds_NonXtal_BW#'!$A:$Z,20,FALSE)+VLOOKUP($A297,A:AL,28,FALSE)-50)),"-",(VLOOKUP($A297,'SegEnds_NonXtal_BW#'!$A:$Z,20,FALSE)+VLOOKUP($A297,A:AL,28,FALSE)-50))</f>
        <v>303</v>
      </c>
      <c r="AD297" s="3">
        <f>IF(ISERROR(VLOOKUP($A297,'SegEnds_NonXtal_BW#'!$A:$Z,21,FALSE)+VLOOKUP($A297,A:AL,31,FALSE)-50),"-",(VLOOKUP($A297,'SegEnds_NonXtal_BW#'!$A:$Z,21,FALSE)+VLOOKUP($A297,A:AL,31,FALSE)-50))</f>
        <v>312</v>
      </c>
      <c r="AE297" s="3">
        <v>341</v>
      </c>
      <c r="AF297" s="3">
        <f>IF(ISERROR((VLOOKUP($A297,'SegEnds_NonXtal_BW#'!$A:$Z,22,FALSE)+VLOOKUP($A297,A:AL,31,FALSE)-50)),"-",(VLOOKUP($A297,'SegEnds_NonXtal_BW#'!$A:$Z,22,FALSE)+VLOOKUP($A297,A:AL,31,FALSE)-50))</f>
        <v>355</v>
      </c>
      <c r="AG297" s="3">
        <f>IF(ISERROR(VLOOKUP($A297,'SegEnds_NonXtal_BW#'!$A:$Z,23,FALSE)+VLOOKUP($A297,A:AL,34,FALSE)-50),"-",(VLOOKUP($A297,'SegEnds_NonXtal_BW#'!$A:$Z,23,FALSE)+VLOOKUP($A297,A:AL,34,FALSE)-50))</f>
        <v>360</v>
      </c>
      <c r="AH297" s="3">
        <v>386</v>
      </c>
      <c r="AI297" s="3">
        <f>IF(ISERROR((VLOOKUP($A297,'SegEnds_NonXtal_BW#'!$A:$Z,24,FALSE)+VLOOKUP($A297,A:AL,34,FALSE)-50)),"-",(VLOOKUP($A297,'SegEnds_NonXtal_BW#'!$A:$Z,24,FALSE)+VLOOKUP($A297,A:AL,34,FALSE)-50))</f>
        <v>392</v>
      </c>
      <c r="AJ297" s="3">
        <f>IF(ISERROR(VLOOKUP($A297,'SegEnds_NonXtal_BW#'!$A:$Z,25,FALSE)+VLOOKUP($A297,A:AL,37,FALSE)-50),"-",(VLOOKUP($A297,'SegEnds_NonXtal_BW#'!$A:$Z,25,FALSE)+VLOOKUP($A297,A:AL,37,FALSE)-50))</f>
        <v>393</v>
      </c>
      <c r="AK297" s="3">
        <v>396</v>
      </c>
      <c r="AL297" s="3">
        <f>IF(ISERROR((VLOOKUP($A297,'SegEnds_NonXtal_BW#'!$A:$Z,26,FALSE)+VLOOKUP($A297,A:AL,37,FALSE)-50)),"-",(VLOOKUP($A297,'SegEnds_NonXtal_BW#'!$A:$Z,26,FALSE)+VLOOKUP($A297,A:AL,37,FALSE)-50))</f>
        <v>407</v>
      </c>
      <c r="AM297" s="28" t="str">
        <f>VLOOKUP(A297,Classification!A:B,2,FALSE)</f>
        <v>A</v>
      </c>
      <c r="AN297" s="28" t="b">
        <f t="shared" si="188"/>
        <v>1</v>
      </c>
      <c r="AO297" s="3" t="str">
        <f>IF(ISERROR(MATCH(A297,'SegEnds_Xtal_Prot#'!B:B, 0)), "NoXtal", "Xtal")</f>
        <v>NoXtal</v>
      </c>
      <c r="AP297" s="3">
        <f t="shared" si="173"/>
        <v>1</v>
      </c>
      <c r="AQ297" s="3">
        <f t="shared" si="174"/>
        <v>1</v>
      </c>
      <c r="AR297" s="3">
        <f t="shared" si="175"/>
        <v>2</v>
      </c>
      <c r="AS297" s="3">
        <f t="shared" si="176"/>
        <v>1</v>
      </c>
      <c r="AT297" s="3" t="str">
        <f t="shared" si="177"/>
        <v>-</v>
      </c>
      <c r="AU297" s="3" t="str">
        <f t="shared" si="178"/>
        <v>-</v>
      </c>
      <c r="AV297" s="3">
        <f t="shared" si="179"/>
        <v>11</v>
      </c>
      <c r="AW297" s="3">
        <f t="shared" si="180"/>
        <v>14</v>
      </c>
      <c r="AX297" s="3">
        <f t="shared" si="181"/>
        <v>9</v>
      </c>
      <c r="AY297" s="3">
        <f t="shared" si="182"/>
        <v>5</v>
      </c>
      <c r="AZ297" s="3">
        <f t="shared" si="183"/>
        <v>1</v>
      </c>
      <c r="BA297" s="3">
        <f>IF(ISERROR(LEN(VLOOKUP(A297,Seqs!A:E,2,FALSE))-AL297),"-",LEN(VLOOKUP(A297,Seqs!A:E,2,FALSE))-AL297)</f>
        <v>62</v>
      </c>
      <c r="BB297" s="16">
        <f t="shared" si="184"/>
        <v>29</v>
      </c>
      <c r="BC297" s="9" t="str">
        <f t="shared" si="185"/>
        <v>-</v>
      </c>
      <c r="BD297" s="3">
        <f t="shared" si="186"/>
        <v>29</v>
      </c>
      <c r="BE297" s="3">
        <f t="shared" si="187"/>
        <v>62</v>
      </c>
    </row>
    <row r="298" spans="1:59" s="3" customFormat="1" x14ac:dyDescent="0.2">
      <c r="A298" s="3" t="s">
        <v>923</v>
      </c>
      <c r="B298" s="3" t="str">
        <f>LOWER(VLOOKUP(A298,Xtal_Templ!A:B,2,FALSE))</f>
        <v>us28_hcmva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92"/>
        <v>62</v>
      </c>
      <c r="G298" s="3">
        <v>64</v>
      </c>
      <c r="H298" s="3">
        <f t="shared" ref="H298:I318" si="198">G298+1</f>
        <v>65</v>
      </c>
      <c r="I298" s="3">
        <f t="shared" si="198"/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 t="shared" si="197"/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 t="shared" si="188"/>
        <v>1</v>
      </c>
      <c r="AO298" s="3" t="str">
        <f>IF(ISERROR(MATCH(A298,'SegEnds_Xtal_Prot#'!B:B, 0)), "NoXtal", "Xtal")</f>
        <v>Xtal</v>
      </c>
      <c r="AP298" s="3">
        <f t="shared" si="173"/>
        <v>1</v>
      </c>
      <c r="AQ298" s="3">
        <f t="shared" si="174"/>
        <v>1</v>
      </c>
      <c r="AR298" s="3" t="str">
        <f t="shared" si="175"/>
        <v>-</v>
      </c>
      <c r="AS298" s="3" t="str">
        <f t="shared" si="176"/>
        <v>-</v>
      </c>
      <c r="AT298" s="3" t="str">
        <f t="shared" si="177"/>
        <v>-</v>
      </c>
      <c r="AU298" s="3" t="str">
        <f t="shared" si="178"/>
        <v>-</v>
      </c>
      <c r="AV298" s="3">
        <f t="shared" si="179"/>
        <v>9</v>
      </c>
      <c r="AW298" s="3">
        <f t="shared" si="180"/>
        <v>8</v>
      </c>
      <c r="AX298" s="3">
        <f t="shared" si="181"/>
        <v>4</v>
      </c>
      <c r="AY298" s="3">
        <f t="shared" si="182"/>
        <v>5</v>
      </c>
      <c r="AZ298" s="3">
        <f t="shared" si="183"/>
        <v>1</v>
      </c>
      <c r="BA298" s="3">
        <f>IF(ISERROR(LEN(VLOOKUP(A298,Seqs!A:E,2,FALSE))-AL298),"-",LEN(VLOOKUP(A298,Seqs!A:E,2,FALSE))-AL298)</f>
        <v>44</v>
      </c>
      <c r="BB298" s="16">
        <f t="shared" si="184"/>
        <v>28</v>
      </c>
      <c r="BC298" s="9" t="str">
        <f t="shared" si="185"/>
        <v>-</v>
      </c>
      <c r="BD298" s="3">
        <f t="shared" si="186"/>
        <v>28</v>
      </c>
      <c r="BE298" s="3">
        <f t="shared" si="187"/>
        <v>43</v>
      </c>
    </row>
    <row r="299" spans="1:59" s="3" customFormat="1" x14ac:dyDescent="0.2">
      <c r="A299" s="3" t="s">
        <v>1507</v>
      </c>
      <c r="B299" s="3" t="str">
        <f>LOWER(VLOOKUP(A299,Xtal_Templ!A:B,2,FALSE))</f>
        <v>q80km9_hcmv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192"/>
        <v>62</v>
      </c>
      <c r="G299" s="3">
        <v>64</v>
      </c>
      <c r="H299" s="3">
        <f t="shared" ref="H299:I302" si="199">G299+1</f>
        <v>65</v>
      </c>
      <c r="I299" s="3">
        <f t="shared" si="199"/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>Y299+2</f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>AND(IF(Y299="-",IF(AA299-W299&gt;3,TRUE,FALSE),TRUE),IF(M299="-",IF(O299-K299&gt;3,TRUE,FALSE),TRUE),IF(AG299-AF299&gt;1,TRUE,FALSE),C299&lt;E299,OR(E299&lt;F299,F299="-"),OR(F299&lt;H299,F299="-"),OR(H299&lt;I299,H299="-"),I299&lt;K299,OR(K299&lt;L299,L299="-"),OR(L299&lt;N299,L299="-"),OR(N299&lt;O299,N299="-"),O299&lt;Q299,OR(Q299&lt;R299,R299="-"),OR(R299&lt;T299,R299="-"),OR(T299&lt;U299,T299="-"),U299&lt;W299,OR(W299&lt;X299,X299="-"),OR(X299&lt;Z299,X299="-"),OR(Z299&lt;AA299,Z299="-"),AA299&lt;AC299,AC299&lt;AD299,AD299&lt;AF299,AF299&lt;AG299,AG299&lt;AI299,OR(AI299&lt;AJ299,AJ299="-"),OR(AJ299&lt;AL299,AJ299="-"))</f>
        <v>1</v>
      </c>
      <c r="AO299" s="3" t="str">
        <f>IF(ISERROR(MATCH(A299,'SegEnds_Xtal_Prot#'!B:B, 0)), "NoXtal", "Xtal")</f>
        <v>Xtal</v>
      </c>
      <c r="AP299" s="3">
        <f>IF(ISERROR(F299-E299),"-",F299-E299)</f>
        <v>1</v>
      </c>
      <c r="AQ299" s="3">
        <f>IF(ISERROR(I299-H299),"-",I299-H299)</f>
        <v>1</v>
      </c>
      <c r="AR299" s="3" t="str">
        <f>IF(ISERROR(L299-K299),"-",L299-K299)</f>
        <v>-</v>
      </c>
      <c r="AS299" s="3" t="str">
        <f>IF(ISERROR(O299-N299),"-",O299-N299)</f>
        <v>-</v>
      </c>
      <c r="AT299" s="3" t="str">
        <f>IF(ISERROR(R299-Q299),"-",R299-Q299)</f>
        <v>-</v>
      </c>
      <c r="AU299" s="3" t="str">
        <f>IF(ISERROR(U299-T299),"-",U299-T299)</f>
        <v>-</v>
      </c>
      <c r="AV299" s="3">
        <f>IF(ISERROR(X299-W299),"-",X299-W299)</f>
        <v>9</v>
      </c>
      <c r="AW299" s="3">
        <f>IF(ISERROR(AA299-Z299),"-",AA299-Z299)</f>
        <v>8</v>
      </c>
      <c r="AX299" s="3">
        <f>IF(ISERROR(AD299-AC299),"-",AD299-AC299)</f>
        <v>4</v>
      </c>
      <c r="AY299" s="3">
        <f>IF(ISERROR(AG299-AF299),"-",AG299-AF299)</f>
        <v>5</v>
      </c>
      <c r="AZ299" s="3">
        <f>IF(ISERROR(AJ299-AI299),"-",AJ299-AI299)</f>
        <v>1</v>
      </c>
      <c r="BA299" s="3">
        <f>IF(ISERROR(LEN(VLOOKUP(A299,Seqs!A:E,2,FALSE))-AL299),"-",LEN(VLOOKUP(A299,Seqs!A:E,2,FALSE))-AL299)</f>
        <v>44</v>
      </c>
      <c r="BB299" s="16">
        <f>J299-D299</f>
        <v>28</v>
      </c>
      <c r="BC299" s="9" t="str">
        <f>IF(ISERROR(V299-S299),"-",V299-S299)</f>
        <v>-</v>
      </c>
      <c r="BD299" s="3">
        <f>J299-D299</f>
        <v>28</v>
      </c>
      <c r="BE299" s="3">
        <f>AE299-AB299</f>
        <v>43</v>
      </c>
    </row>
    <row r="300" spans="1:59" s="3" customFormat="1" x14ac:dyDescent="0.2">
      <c r="A300" s="3" t="s">
        <v>1637</v>
      </c>
      <c r="B300" s="3" t="str">
        <f>LOWER(VLOOKUP(A300,Xtal_Templ!A:B,2,FALSE))</f>
        <v>aa2ar_human</v>
      </c>
      <c r="C300" s="3">
        <f>VLOOKUP($A300,'SegEnds_NonXtal_BW#'!$A:$Z,3,FALSE)+D300-50</f>
        <v>19</v>
      </c>
      <c r="D300" s="3">
        <v>42</v>
      </c>
      <c r="E300" s="3">
        <f>IF(ISERROR(VLOOKUP($A300,'SegEnds_NonXtal_BW#'!$A:$Z,4,FALSE)+VLOOKUP($A300,A:AL,4,FALSE)-50),"-",(VLOOKUP($A300,'SegEnds_NonXtal_BW#'!$A:$Z,4,FALSE)+VLOOKUP($A300,A:AL,4,FALSE)-50))</f>
        <v>52</v>
      </c>
      <c r="F300" s="3">
        <f t="shared" ref="F300" si="200">G300-2</f>
        <v>53</v>
      </c>
      <c r="G300" s="3">
        <v>55</v>
      </c>
      <c r="H300" s="3">
        <f t="shared" si="199"/>
        <v>56</v>
      </c>
      <c r="I300" s="3">
        <f t="shared" si="199"/>
        <v>57</v>
      </c>
      <c r="J300" s="3">
        <v>70</v>
      </c>
      <c r="K300" s="3">
        <f>VLOOKUP($A300,'SegEnds_NonXtal_BW#'!$A:$Z,8,FALSE)+VLOOKUP($A300,A:AL,10,FALSE)-50</f>
        <v>86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93</v>
      </c>
      <c r="P300" s="3">
        <v>122</v>
      </c>
      <c r="Q300" s="3">
        <f>VLOOKUP($A300,'SegEnds_NonXtal_BW#'!$A:$Z,12,FALSE)+VLOOKUP($A300,A:AL,16,FALSE)-50</f>
        <v>128</v>
      </c>
      <c r="R300" s="3">
        <f>IF(ISERROR(VLOOKUP($A300,'SegEnds_NonXtal_BW#'!$A:$Z,13,FALSE)+VLOOKUP($A300,A:AL,19,FALSE)-50),"-",VLOOKUP($A300,'SegEnds_NonXtal_BW#'!$A:$Z,13,FALSE)+VLOOKUP($A300,A:AL,19,FALSE)-50)</f>
        <v>129</v>
      </c>
      <c r="S300" s="3">
        <v>129</v>
      </c>
      <c r="T300" s="100">
        <f>IF(ISERROR(VLOOKUP($A300,'SegEnds_NonXtal_BW#'!$A:$Z,14,FALSE)+VLOOKUP($A300,A:AL,19,FALSE)-50),"-",(VLOOKUP($A300,'SegEnds_NonXtal_BW#'!$A:$Z,14,FALSE)+VLOOKUP($A300,A:AL,19,FALSE)-50))</f>
        <v>136</v>
      </c>
      <c r="U300" s="9">
        <f>IF(ISERROR(VLOOKUP($A300,'SegEnds_NonXtal_BW#'!$A:$Z,15,FALSE)+VLOOKUP($A300,A:AL,22,FALSE)-50),"-",VLOOKUP($A300,'SegEnds_NonXtal_BW#'!$A:$Z,15,FALSE)+VLOOKUP($A300,A:AL,22,FALSE)-50)</f>
        <v>137</v>
      </c>
      <c r="V300" s="3">
        <v>149</v>
      </c>
      <c r="W300" s="3">
        <f>IF(ISERROR(VLOOKUP($A300,'SegEnds_NonXtal_BW#'!$A:$Z,16,FALSE)+VLOOKUP($A300,A:AL,22,FALSE)-50),"-",(VLOOKUP($A300,'SegEnds_NonXtal_BW#'!$A:$Z,16,FALSE)+VLOOKUP($A300,A:AL,22,FALSE)-50))</f>
        <v>163</v>
      </c>
      <c r="X300" s="3">
        <f>IF(ISERROR(VLOOKUP($A300,'SegEnds_NonXtal_BW#'!$A:$Z,17,FALSE)+VLOOKUP($A300,A:AL,25,FALSE)-50),"-",(VLOOKUP($A300,'SegEnds_NonXtal_BW#'!$A:$Z,17,FALSE)+VLOOKUP($A300,A:AL,25,FALSE)-50))</f>
        <v>189</v>
      </c>
      <c r="Y300" s="3">
        <v>189</v>
      </c>
      <c r="Z300" s="3">
        <f>Y300+2</f>
        <v>191</v>
      </c>
      <c r="AA300" s="3">
        <f>IF(ISERROR(VLOOKUP($A300,'SegEnds_NonXtal_BW#'!$A:$Z,19,FALSE)+VLOOKUP($A300,A:AL,28,FALSE)-50),"-",(VLOOKUP($A300,'SegEnds_NonXtal_BW#'!$A:$Z,19,FALSE)+VLOOKUP($A300,A:AL,28,FALSE)-50))</f>
        <v>194</v>
      </c>
      <c r="AB300" s="3">
        <v>209</v>
      </c>
      <c r="AC300" s="3">
        <f>IF(ISERROR((VLOOKUP($A300,'SegEnds_NonXtal_BW#'!$A:$Z,20,FALSE)+VLOOKUP($A300,A:AL,28,FALSE)-50)),"-",(VLOOKUP($A300,'SegEnds_NonXtal_BW#'!$A:$Z,20,FALSE)+VLOOKUP($A300,A:AL,28,FALSE)-50))</f>
        <v>231</v>
      </c>
      <c r="AD300" s="3">
        <f>IF(ISERROR(VLOOKUP($A300,'SegEnds_NonXtal_BW#'!$A:$Z,21,FALSE)+VLOOKUP($A300,A:AL,31,FALSE)-50),"-",(VLOOKUP($A300,'SegEnds_NonXtal_BW#'!$A:$Z,21,FALSE)+VLOOKUP($A300,A:AL,31,FALSE)-50))</f>
        <v>234</v>
      </c>
      <c r="AE300" s="3">
        <v>261</v>
      </c>
      <c r="AF300" s="3">
        <f>IF(ISERROR((VLOOKUP($A300,'SegEnds_NonXtal_BW#'!$A:$Z,22,FALSE)+VLOOKUP($A300,A:AL,31,FALSE)-50)),"-",(VLOOKUP($A300,'SegEnds_NonXtal_BW#'!$A:$Z,22,FALSE)+VLOOKUP($A300,A:AL,31,FALSE)-50))</f>
        <v>265</v>
      </c>
      <c r="AG300" s="3">
        <f>IF(ISERROR(VLOOKUP($A300,'SegEnds_NonXtal_BW#'!$A:$Z,23,FALSE)+VLOOKUP($A300,A:AL,34,FALSE)-50),"-",(VLOOKUP($A300,'SegEnds_NonXtal_BW#'!$A:$Z,23,FALSE)+VLOOKUP($A300,A:AL,34,FALSE)-50))</f>
        <v>267</v>
      </c>
      <c r="AH300" s="3">
        <v>285</v>
      </c>
      <c r="AI300" s="3">
        <f>IF(ISERROR((VLOOKUP($A300,'SegEnds_NonXtal_BW#'!$A:$Z,24,FALSE)+VLOOKUP($A300,A:AL,34,FALSE)-50)),"-",(VLOOKUP($A300,'SegEnds_NonXtal_BW#'!$A:$Z,24,FALSE)+VLOOKUP($A300,A:AL,34,FALSE)-50))</f>
        <v>291</v>
      </c>
      <c r="AJ300" s="3">
        <f>IF(ISERROR(VLOOKUP($A300,'SegEnds_NonXtal_BW#'!$A:$Z,25,FALSE)+VLOOKUP($A300,A:AL,37,FALSE)-50),"-",(VLOOKUP($A300,'SegEnds_NonXtal_BW#'!$A:$Z,25,FALSE)+VLOOKUP($A300,A:AL,37,FALSE)-50))</f>
        <v>292</v>
      </c>
      <c r="AK300" s="3">
        <v>295</v>
      </c>
      <c r="AL300" s="3">
        <f>IF(ISERROR((VLOOKUP($A300,'SegEnds_NonXtal_BW#'!$A:$Z,26,FALSE)+VLOOKUP($A300,A:AL,37,FALSE)-50)),"-",(VLOOKUP($A300,'SegEnds_NonXtal_BW#'!$A:$Z,26,FALSE)+VLOOKUP($A300,A:AL,37,FALSE)-50))</f>
        <v>314</v>
      </c>
      <c r="AM300" s="28" t="str">
        <f>VLOOKUP(A300,Classification!A:B,2,FALSE)</f>
        <v>A</v>
      </c>
      <c r="AN300" s="28" t="b">
        <f>AND(IF(Y300="-",IF(AA300-W300&gt;3,TRUE,FALSE),TRUE),IF(M300="-",IF(O300-K300&gt;3,TRUE,FALSE),TRUE),IF(AG300-AF300&gt;1,TRUE,FALS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NoXtal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>
        <f>IF(ISERROR(R300-Q300),"-",R300-Q300)</f>
        <v>1</v>
      </c>
      <c r="AU300" s="3">
        <f>IF(ISERROR(U300-T300),"-",U300-T300)</f>
        <v>1</v>
      </c>
      <c r="AV300" s="3">
        <f>IF(ISERROR(X300-W300),"-",X300-W300)</f>
        <v>26</v>
      </c>
      <c r="AW300" s="3">
        <f>IF(ISERROR(AA300-Z300),"-",AA300-Z300)</f>
        <v>3</v>
      </c>
      <c r="AX300" s="3">
        <f>IF(ISERROR(AD300-AC300),"-",AD300-AC300)</f>
        <v>3</v>
      </c>
      <c r="AY300" s="3">
        <f>IF(ISERROR(AG300-AF300),"-",AG300-AF300)</f>
        <v>2</v>
      </c>
      <c r="AZ300" s="3">
        <f>IF(ISERROR(AJ300-AI300),"-",AJ300-AI300)</f>
        <v>1</v>
      </c>
      <c r="BA300" s="3">
        <f>IF(ISERROR(LEN(VLOOKUP(A300,Seqs!A:E,2,FALSE))-AL300),"-",LEN(VLOOKUP(A300,Seqs!A:E,2,FALSE))-AL300)</f>
        <v>-5</v>
      </c>
      <c r="BB300" s="16">
        <f>J300-D300</f>
        <v>28</v>
      </c>
      <c r="BC300" s="9">
        <f>IF(ISERROR(V300-S300),"-",V300-S300)</f>
        <v>20</v>
      </c>
      <c r="BD300" s="3">
        <f>J300-D300</f>
        <v>28</v>
      </c>
      <c r="BE300" s="3">
        <f>AE300-AB300</f>
        <v>52</v>
      </c>
    </row>
    <row r="301" spans="1:59" s="3" customFormat="1" x14ac:dyDescent="0.2">
      <c r="A301" s="3" t="s">
        <v>1640</v>
      </c>
      <c r="B301" s="3" t="str">
        <f>LOWER(VLOOKUP(A301,Xtal_Templ!A:B,2,FALSE))</f>
        <v>ccr2_human</v>
      </c>
      <c r="C301" s="3">
        <f>VLOOKUP($A301,'SegEnds_NonXtal_BW#'!$A:$Z,3,FALSE)+D301-50</f>
        <v>19</v>
      </c>
      <c r="D301" s="3">
        <v>42</v>
      </c>
      <c r="E301" s="3">
        <f>IF(ISERROR(VLOOKUP($A301,'SegEnds_NonXtal_BW#'!$A:$Z,4,FALSE)+VLOOKUP($A301,A:AL,4,FALSE)-50),"-",(VLOOKUP($A301,'SegEnds_NonXtal_BW#'!$A:$Z,4,FALSE)+VLOOKUP($A301,A:AL,4,FALSE)-50))</f>
        <v>52</v>
      </c>
      <c r="F301" s="3">
        <f t="shared" ref="F301" si="201">G301-2</f>
        <v>53</v>
      </c>
      <c r="G301" s="3">
        <v>55</v>
      </c>
      <c r="H301" s="3">
        <f t="shared" si="199"/>
        <v>56</v>
      </c>
      <c r="I301" s="3">
        <f t="shared" si="199"/>
        <v>57</v>
      </c>
      <c r="J301" s="3">
        <v>70</v>
      </c>
      <c r="K301" s="3">
        <f>VLOOKUP($A301,'SegEnds_NonXtal_BW#'!$A:$Z,8,FALSE)+VLOOKUP($A301,A:AL,10,FALSE)-50</f>
        <v>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93</v>
      </c>
      <c r="P301" s="3">
        <v>122</v>
      </c>
      <c r="Q301" s="3">
        <f>VLOOKUP($A301,'SegEnds_NonXtal_BW#'!$A:$Z,12,FALSE)+VLOOKUP($A301,A:AL,16,FALSE)-50</f>
        <v>128</v>
      </c>
      <c r="R301" s="3">
        <f>IF(ISERROR(VLOOKUP($A301,'SegEnds_NonXtal_BW#'!$A:$Z,13,FALSE)+VLOOKUP($A301,A:AL,19,FALSE)-50),"-",VLOOKUP($A301,'SegEnds_NonXtal_BW#'!$A:$Z,13,FALSE)+VLOOKUP($A301,A:AL,19,FALSE)-50)</f>
        <v>129</v>
      </c>
      <c r="S301" s="3">
        <v>129</v>
      </c>
      <c r="T301" s="100">
        <f>IF(ISERROR(VLOOKUP($A301,'SegEnds_NonXtal_BW#'!$A:$Z,14,FALSE)+VLOOKUP($A301,A:AL,19,FALSE)-50),"-",(VLOOKUP($A301,'SegEnds_NonXtal_BW#'!$A:$Z,14,FALSE)+VLOOKUP($A301,A:AL,19,FALSE)-50))</f>
        <v>136</v>
      </c>
      <c r="U301" s="9">
        <f>IF(ISERROR(VLOOKUP($A301,'SegEnds_NonXtal_BW#'!$A:$Z,15,FALSE)+VLOOKUP($A301,A:AL,22,FALSE)-50),"-",VLOOKUP($A301,'SegEnds_NonXtal_BW#'!$A:$Z,15,FALSE)+VLOOKUP($A301,A:AL,22,FALSE)-50)</f>
        <v>137</v>
      </c>
      <c r="V301" s="3">
        <v>149</v>
      </c>
      <c r="W301" s="3">
        <f>IF(ISERROR(VLOOKUP($A301,'SegEnds_NonXtal_BW#'!$A:$Z,16,FALSE)+VLOOKUP($A301,A:AL,22,FALSE)-50),"-",(VLOOKUP($A301,'SegEnds_NonXtal_BW#'!$A:$Z,16,FALSE)+VLOOKUP($A301,A:AL,22,FALSE)-50))</f>
        <v>163</v>
      </c>
      <c r="X301" s="3">
        <f>IF(ISERROR(VLOOKUP($A301,'SegEnds_NonXtal_BW#'!$A:$Z,17,FALSE)+VLOOKUP($A301,A:AL,25,FALSE)-50),"-",(VLOOKUP($A301,'SegEnds_NonXtal_BW#'!$A:$Z,17,FALSE)+VLOOKUP($A301,A:AL,25,FALSE)-50))</f>
        <v>189</v>
      </c>
      <c r="Y301" s="3">
        <v>189</v>
      </c>
      <c r="Z301" s="3">
        <f>Y301+2</f>
        <v>191</v>
      </c>
      <c r="AA301" s="3">
        <f>IF(ISERROR(VLOOKUP($A301,'SegEnds_NonXtal_BW#'!$A:$Z,19,FALSE)+VLOOKUP($A301,A:AL,28,FALSE)-50),"-",(VLOOKUP($A301,'SegEnds_NonXtal_BW#'!$A:$Z,19,FALSE)+VLOOKUP($A301,A:AL,28,FALSE)-50))</f>
        <v>195</v>
      </c>
      <c r="AB301" s="3">
        <v>210</v>
      </c>
      <c r="AC301" s="3">
        <f>IF(ISERROR((VLOOKUP($A301,'SegEnds_NonXtal_BW#'!$A:$Z,20,FALSE)+VLOOKUP($A301,A:AL,28,FALSE)-50)),"-",(VLOOKUP($A301,'SegEnds_NonXtal_BW#'!$A:$Z,20,FALSE)+VLOOKUP($A301,A:AL,28,FALSE)-50))</f>
        <v>232</v>
      </c>
      <c r="AD301" s="3">
        <f>IF(ISERROR(VLOOKUP($A301,'SegEnds_NonXtal_BW#'!$A:$Z,21,FALSE)+VLOOKUP($A301,A:AL,31,FALSE)-50),"-",(VLOOKUP($A301,'SegEnds_NonXtal_BW#'!$A:$Z,21,FALSE)+VLOOKUP($A301,A:AL,31,FALSE)-50))</f>
        <v>237</v>
      </c>
      <c r="AE301" s="3">
        <v>263</v>
      </c>
      <c r="AF301" s="3">
        <f>IF(ISERROR((VLOOKUP($A301,'SegEnds_NonXtal_BW#'!$A:$Z,22,FALSE)+VLOOKUP($A301,A:AL,31,FALSE)-50)),"-",(VLOOKUP($A301,'SegEnds_NonXtal_BW#'!$A:$Z,22,FALSE)+VLOOKUP($A301,A:AL,31,FALSE)-50))</f>
        <v>267</v>
      </c>
      <c r="AG301" s="3">
        <f>IF(ISERROR(VLOOKUP($A301,'SegEnds_NonXtal_BW#'!$A:$Z,23,FALSE)+VLOOKUP($A301,A:AL,34,FALSE)-50),"-",(VLOOKUP($A301,'SegEnds_NonXtal_BW#'!$A:$Z,23,FALSE)+VLOOKUP($A301,A:AL,34,FALSE)-50))</f>
        <v>269</v>
      </c>
      <c r="AH301" s="3">
        <v>287</v>
      </c>
      <c r="AI301" s="3">
        <f>IF(ISERROR((VLOOKUP($A301,'SegEnds_NonXtal_BW#'!$A:$Z,24,FALSE)+VLOOKUP($A301,A:AL,34,FALSE)-50)),"-",(VLOOKUP($A301,'SegEnds_NonXtal_BW#'!$A:$Z,24,FALSE)+VLOOKUP($A301,A:AL,34,FALSE)-50))</f>
        <v>293</v>
      </c>
      <c r="AJ301" s="3">
        <f>IF(ISERROR(VLOOKUP($A301,'SegEnds_NonXtal_BW#'!$A:$Z,25,FALSE)+VLOOKUP($A301,A:AL,37,FALSE)-50),"-",(VLOOKUP($A301,'SegEnds_NonXtal_BW#'!$A:$Z,25,FALSE)+VLOOKUP($A301,A:AL,37,FALSE)-50))</f>
        <v>294</v>
      </c>
      <c r="AK301" s="3">
        <v>297</v>
      </c>
      <c r="AL301" s="3">
        <f>IF(ISERROR((VLOOKUP($A301,'SegEnds_NonXtal_BW#'!$A:$Z,26,FALSE)+VLOOKUP($A301,A:AL,37,FALSE)-50)),"-",(VLOOKUP($A301,'SegEnds_NonXtal_BW#'!$A:$Z,26,FALSE)+VLOOKUP($A301,A:AL,37,FALSE)-50))</f>
        <v>305</v>
      </c>
      <c r="AM301" s="28" t="str">
        <f>VLOOKUP(A301,Classification!A:B,2,FALSE)</f>
        <v>A</v>
      </c>
      <c r="AN301" s="28" t="b">
        <f>AND(IF(Y301="-",IF(AA301-W301&gt;3,TRUE,FALSE),TRUE),IF(M301="-",IF(O301-K301&gt;3,TRUE,FALSE),TRUE),IF(AG301-AF301&gt;1,TRUE,FALS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>
        <f>IF(ISERROR(R301-Q301),"-",R301-Q301)</f>
        <v>1</v>
      </c>
      <c r="AU301" s="3">
        <f>IF(ISERROR(U301-T301),"-",U301-T301)</f>
        <v>1</v>
      </c>
      <c r="AV301" s="3">
        <f>IF(ISERROR(X301-W301),"-",X301-W301)</f>
        <v>26</v>
      </c>
      <c r="AW301" s="3">
        <f>IF(ISERROR(AA301-Z301),"-",AA301-Z301)</f>
        <v>4</v>
      </c>
      <c r="AX301" s="3">
        <f>IF(ISERROR(AD301-AC301),"-",AD301-AC301)</f>
        <v>5</v>
      </c>
      <c r="AY301" s="3">
        <f>IF(ISERROR(AG301-AF301),"-",AG301-AF301)</f>
        <v>2</v>
      </c>
      <c r="AZ301" s="3">
        <f>IF(ISERROR(AJ301-AI301),"-",AJ301-AI301)</f>
        <v>1</v>
      </c>
      <c r="BA301" s="3">
        <f>IF(ISERROR(LEN(VLOOKUP(A301,Seqs!A:E,2,FALSE))-AL301),"-",LEN(VLOOKUP(A301,Seqs!A:E,2,FALSE))-AL301)</f>
        <v>8</v>
      </c>
      <c r="BB301" s="16">
        <f>J301-D301</f>
        <v>28</v>
      </c>
      <c r="BC301" s="9">
        <f>IF(ISERROR(V301-S301),"-",V301-S301)</f>
        <v>20</v>
      </c>
      <c r="BD301" s="3">
        <f>J301-D301</f>
        <v>28</v>
      </c>
      <c r="BE301" s="3">
        <f>AE301-AB301</f>
        <v>53</v>
      </c>
    </row>
    <row r="302" spans="1:59" s="3" customFormat="1" x14ac:dyDescent="0.2">
      <c r="A302" s="3" t="s">
        <v>1642</v>
      </c>
      <c r="B302" s="3" t="str">
        <f>LOWER(VLOOKUP(A302,Xtal_Templ!A:B,2,FALSE))</f>
        <v>c5ar1_human</v>
      </c>
      <c r="C302" s="3">
        <f>VLOOKUP($A302,'SegEnds_NonXtal_BW#'!$A:$Z,3,FALSE)+D302-50</f>
        <v>18</v>
      </c>
      <c r="D302" s="3">
        <v>39</v>
      </c>
      <c r="E302" s="3">
        <f>IF(ISERROR(VLOOKUP($A302,'SegEnds_NonXtal_BW#'!$A:$Z,4,FALSE)+VLOOKUP($A302,A:AL,4,FALSE)-50),"-",(VLOOKUP($A302,'SegEnds_NonXtal_BW#'!$A:$Z,4,FALSE)+VLOOKUP($A302,A:AL,4,FALSE)-50))</f>
        <v>49</v>
      </c>
      <c r="F302" s="3">
        <f t="shared" ref="F302" si="202">G302-2</f>
        <v>50</v>
      </c>
      <c r="G302" s="3">
        <v>52</v>
      </c>
      <c r="H302" s="3">
        <f t="shared" si="199"/>
        <v>53</v>
      </c>
      <c r="I302" s="3">
        <f t="shared" si="199"/>
        <v>54</v>
      </c>
      <c r="J302" s="3">
        <v>67</v>
      </c>
      <c r="K302" s="3">
        <f>VLOOKUP($A302,'SegEnds_NonXtal_BW#'!$A:$Z,8,FALSE)+VLOOKUP($A302,A:AL,10,FALSE)-50</f>
        <v>83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90</v>
      </c>
      <c r="P302" s="3">
        <v>119</v>
      </c>
      <c r="Q302" s="3">
        <f>VLOOKUP($A302,'SegEnds_NonXtal_BW#'!$A:$Z,12,FALSE)+VLOOKUP($A302,A:AL,16,FALSE)-50</f>
        <v>125</v>
      </c>
      <c r="R302" s="3">
        <f>IF(ISERROR(VLOOKUP($A302,'SegEnds_NonXtal_BW#'!$A:$Z,13,FALSE)+VLOOKUP($A302,A:AL,19,FALSE)-50),"-",VLOOKUP($A302,'SegEnds_NonXtal_BW#'!$A:$Z,13,FALSE)+VLOOKUP($A302,A:AL,19,FALSE)-50)</f>
        <v>126</v>
      </c>
      <c r="S302" s="3">
        <v>126</v>
      </c>
      <c r="T302" s="100">
        <f>IF(ISERROR(VLOOKUP($A302,'SegEnds_NonXtal_BW#'!$A:$Z,14,FALSE)+VLOOKUP($A302,A:AL,19,FALSE)-50),"-",(VLOOKUP($A302,'SegEnds_NonXtal_BW#'!$A:$Z,14,FALSE)+VLOOKUP($A302,A:AL,19,FALSE)-50))</f>
        <v>133</v>
      </c>
      <c r="U302" s="9">
        <f>IF(ISERROR(VLOOKUP($A302,'SegEnds_NonXtal_BW#'!$A:$Z,15,FALSE)+VLOOKUP($A302,A:AL,22,FALSE)-50),"-",VLOOKUP($A302,'SegEnds_NonXtal_BW#'!$A:$Z,15,FALSE)+VLOOKUP($A302,A:AL,22,FALSE)-50)</f>
        <v>134</v>
      </c>
      <c r="V302" s="3">
        <v>146</v>
      </c>
      <c r="W302" s="3">
        <f>IF(ISERROR(VLOOKUP($A302,'SegEnds_NonXtal_BW#'!$A:$Z,16,FALSE)+VLOOKUP($A302,A:AL,22,FALSE)-50),"-",(VLOOKUP($A302,'SegEnds_NonXtal_BW#'!$A:$Z,16,FALSE)+VLOOKUP($A302,A:AL,22,FALSE)-50))</f>
        <v>160</v>
      </c>
      <c r="X302" s="3">
        <f>IF(ISERROR(VLOOKUP($A302,'SegEnds_NonXtal_BW#'!$A:$Z,17,FALSE)+VLOOKUP($A302,A:AL,25,FALSE)-50),"-",(VLOOKUP($A302,'SegEnds_NonXtal_BW#'!$A:$Z,17,FALSE)+VLOOKUP($A302,A:AL,25,FALSE)-50))</f>
        <v>186</v>
      </c>
      <c r="Y302" s="3">
        <v>186</v>
      </c>
      <c r="Z302" s="3">
        <f>Y302+2</f>
        <v>188</v>
      </c>
      <c r="AA302" s="3">
        <f>IF(ISERROR(VLOOKUP($A302,'SegEnds_NonXtal_BW#'!$A:$Z,19,FALSE)+VLOOKUP($A302,A:AL,28,FALSE)-50),"-",(VLOOKUP($A302,'SegEnds_NonXtal_BW#'!$A:$Z,19,FALSE)+VLOOKUP($A302,A:AL,28,FALSE)-50))</f>
        <v>192</v>
      </c>
      <c r="AB302" s="3">
        <v>207</v>
      </c>
      <c r="AC302" s="3">
        <f>IF(ISERROR((VLOOKUP($A302,'SegEnds_NonXtal_BW#'!$A:$Z,20,FALSE)+VLOOKUP($A302,A:AL,28,FALSE)-50)),"-",(VLOOKUP($A302,'SegEnds_NonXtal_BW#'!$A:$Z,20,FALSE)+VLOOKUP($A302,A:AL,28,FALSE)-50))</f>
        <v>229</v>
      </c>
      <c r="AD302" s="3">
        <f>IF(ISERROR(VLOOKUP($A302,'SegEnds_NonXtal_BW#'!$A:$Z,21,FALSE)+VLOOKUP($A302,A:AL,31,FALSE)-50),"-",(VLOOKUP($A302,'SegEnds_NonXtal_BW#'!$A:$Z,21,FALSE)+VLOOKUP($A302,A:AL,31,FALSE)-50))</f>
        <v>232</v>
      </c>
      <c r="AE302" s="3">
        <v>259</v>
      </c>
      <c r="AF302" s="3">
        <f>IF(ISERROR((VLOOKUP($A302,'SegEnds_NonXtal_BW#'!$A:$Z,22,FALSE)+VLOOKUP($A302,A:AL,31,FALSE)-50)),"-",(VLOOKUP($A302,'SegEnds_NonXtal_BW#'!$A:$Z,22,FALSE)+VLOOKUP($A302,A:AL,31,FALSE)-50))</f>
        <v>263</v>
      </c>
      <c r="AG302" s="3">
        <f>IF(ISERROR(VLOOKUP($A302,'SegEnds_NonXtal_BW#'!$A:$Z,23,FALSE)+VLOOKUP($A302,A:AL,34,FALSE)-50),"-",(VLOOKUP($A302,'SegEnds_NonXtal_BW#'!$A:$Z,23,FALSE)+VLOOKUP($A302,A:AL,34,FALSE)-50))</f>
        <v>266</v>
      </c>
      <c r="AH302" s="3">
        <v>284</v>
      </c>
      <c r="AI302" s="3">
        <f>IF(ISERROR((VLOOKUP($A302,'SegEnds_NonXtal_BW#'!$A:$Z,24,FALSE)+VLOOKUP($A302,A:AL,34,FALSE)-50)),"-",(VLOOKUP($A302,'SegEnds_NonXtal_BW#'!$A:$Z,24,FALSE)+VLOOKUP($A302,A:AL,34,FALSE)-50))</f>
        <v>290</v>
      </c>
      <c r="AJ302" s="3">
        <f>IF(ISERROR(VLOOKUP($A302,'SegEnds_NonXtal_BW#'!$A:$Z,25,FALSE)+VLOOKUP($A302,A:AL,37,FALSE)-50),"-",(VLOOKUP($A302,'SegEnds_NonXtal_BW#'!$A:$Z,25,FALSE)+VLOOKUP($A302,A:AL,37,FALSE)-50))</f>
        <v>291</v>
      </c>
      <c r="AK302" s="3">
        <v>294</v>
      </c>
      <c r="AL302" s="3">
        <f>IF(ISERROR((VLOOKUP($A302,'SegEnds_NonXtal_BW#'!$A:$Z,26,FALSE)+VLOOKUP($A302,A:AL,37,FALSE)-50)),"-",(VLOOKUP($A302,'SegEnds_NonXtal_BW#'!$A:$Z,26,FALSE)+VLOOKUP($A302,A:AL,37,FALSE)-50))</f>
        <v>300</v>
      </c>
      <c r="AM302" s="28" t="str">
        <f>VLOOKUP(A302,Classification!A:B,2,FALSE)</f>
        <v>A</v>
      </c>
      <c r="AN302" s="28" t="b">
        <f>AND(IF(Y302="-",IF(AA302-W302&gt;3,TRUE,FALSE),TRUE),IF(M302="-",IF(O302-K302&gt;3,TRUE,FALSE),TRUE),IF(AG302-AF302&gt;1,TRUE,FALS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>
        <f>IF(ISERROR(R302-Q302),"-",R302-Q302)</f>
        <v>1</v>
      </c>
      <c r="AU302" s="3">
        <f>IF(ISERROR(U302-T302),"-",U302-T302)</f>
        <v>1</v>
      </c>
      <c r="AV302" s="3">
        <f>IF(ISERROR(X302-W302),"-",X302-W302)</f>
        <v>26</v>
      </c>
      <c r="AW302" s="3">
        <f>IF(ISERROR(AA302-Z302),"-",AA302-Z302)</f>
        <v>4</v>
      </c>
      <c r="AX302" s="3">
        <f>IF(ISERROR(AD302-AC302),"-",AD302-AC302)</f>
        <v>3</v>
      </c>
      <c r="AY302" s="3">
        <f>IF(ISERROR(AG302-AF302),"-",AG302-AF302)</f>
        <v>3</v>
      </c>
      <c r="AZ302" s="3">
        <f>IF(ISERROR(AJ302-AI302),"-",AJ302-AI302)</f>
        <v>1</v>
      </c>
      <c r="BA302" s="3">
        <f>IF(ISERROR(LEN(VLOOKUP(A302,Seqs!A:E,2,FALSE))-AL302),"-",LEN(VLOOKUP(A302,Seqs!A:E,2,FALSE))-AL302)</f>
        <v>16</v>
      </c>
      <c r="BB302" s="16">
        <f>J302-D302</f>
        <v>28</v>
      </c>
      <c r="BC302" s="9">
        <f>IF(ISERROR(V302-S302),"-",V302-S302)</f>
        <v>20</v>
      </c>
      <c r="BD302" s="3">
        <f>J302-D302</f>
        <v>28</v>
      </c>
      <c r="BE302" s="3">
        <f>AE302-AB302</f>
        <v>52</v>
      </c>
    </row>
    <row r="303" spans="1:59" s="3" customFormat="1" x14ac:dyDescent="0.2">
      <c r="A303" s="3" t="s">
        <v>401</v>
      </c>
      <c r="B303" s="3" t="str">
        <f>LOWER(VLOOKUP(A303,Xtal_Templ!A:B,2,FALSE))</f>
        <v>calcr_human</v>
      </c>
      <c r="C303" s="3">
        <f>VLOOKUP($A303,'SegEnds_NonXtal_BW#'!$A:$Z,3,FALSE)+D303-50</f>
        <v>132</v>
      </c>
      <c r="D303" s="3">
        <v>163</v>
      </c>
      <c r="E303" s="3">
        <f>IF(ISERROR(VLOOKUP($A303,'SegEnds_NonXtal_BW#'!$A:$Z,4,FALSE)+VLOOKUP($A303,A:AL,4,FALSE)-50),"-",(VLOOKUP($A303,'SegEnds_NonXtal_BW#'!$A:$Z,4,FALSE)+VLOOKUP($A303,A:AL,4,FALSE)-50))</f>
        <v>173</v>
      </c>
      <c r="F303" s="3">
        <f t="shared" si="192"/>
        <v>174</v>
      </c>
      <c r="G303" s="3">
        <v>176</v>
      </c>
      <c r="H303" s="3">
        <f t="shared" si="198"/>
        <v>177</v>
      </c>
      <c r="I303" s="3">
        <f t="shared" si="198"/>
        <v>178</v>
      </c>
      <c r="J303" s="3">
        <v>191</v>
      </c>
      <c r="K303" s="3">
        <f>VLOOKUP($A303,'SegEnds_NonXtal_BW#'!$A:$Z,8,FALSE)+VLOOKUP($A303,A:AL,10,FALSE)-50</f>
        <v>205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217</v>
      </c>
      <c r="P303" s="3">
        <v>244</v>
      </c>
      <c r="Q303" s="3">
        <f>VLOOKUP($A303,'SegEnds_NonXtal_BW#'!$A:$Z,12,FALSE)+VLOOKUP($A303,A:AL,16,FALSE)-50</f>
        <v>250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258</v>
      </c>
      <c r="V303" s="3">
        <v>267</v>
      </c>
      <c r="W303" s="3">
        <f>IF(ISERROR(VLOOKUP($A303,'SegEnds_NonXtal_BW#'!$A:$Z,16,FALSE)+VLOOKUP($A303,A:AL,22,FALSE)-50),"-",(VLOOKUP($A303,'SegEnds_NonXtal_BW#'!$A:$Z,16,FALSE)+VLOOKUP($A303,A:AL,22,FALSE)-50))</f>
        <v>285</v>
      </c>
      <c r="X303" s="3">
        <f>IF(ISERROR(VLOOKUP($A303,'SegEnds_NonXtal_BW#'!$A:$Z,17,FALSE)+VLOOKUP($A303,A:AL,25,FALSE)-50),"-",(VLOOKUP($A303,'SegEnds_NonXtal_BW#'!$A:$Z,17,FALSE)+VLOOKUP($A303,A:AL,25,FALSE)-50))</f>
        <v>289</v>
      </c>
      <c r="Y303" s="3">
        <v>289</v>
      </c>
      <c r="Z303" s="3">
        <f t="shared" si="197"/>
        <v>291</v>
      </c>
      <c r="AA303" s="3">
        <f>IF(ISERROR(VLOOKUP($A303,'SegEnds_NonXtal_BW#'!$A:$Z,19,FALSE)+VLOOKUP($A303,A:AL,28,FALSE)-50),"-",(VLOOKUP($A303,'SegEnds_NonXtal_BW#'!$A:$Z,19,FALSE)+VLOOKUP($A303,A:AL,28,FALSE)-50))</f>
        <v>298</v>
      </c>
      <c r="AB303" s="3">
        <v>308</v>
      </c>
      <c r="AC303" s="3">
        <f>IF(ISERROR((VLOOKUP($A303,'SegEnds_NonXtal_BW#'!$A:$Z,20,FALSE)+VLOOKUP($A303,A:AL,28,FALSE)-50)),"-",(VLOOKUP($A303,'SegEnds_NonXtal_BW#'!$A:$Z,20,FALSE)+VLOOKUP($A303,A:AL,28,FALSE)-50))</f>
        <v>328</v>
      </c>
      <c r="AD303" s="3">
        <f>IF(ISERROR(VLOOKUP($A303,'SegEnds_NonXtal_BW#'!$A:$Z,21,FALSE)+VLOOKUP($A303,A:AL,31,FALSE)-50),"-",(VLOOKUP($A303,'SegEnds_NonXtal_BW#'!$A:$Z,21,FALSE)+VLOOKUP($A303,A:AL,31,FALSE)-50))</f>
        <v>338</v>
      </c>
      <c r="AE303" s="3">
        <v>358</v>
      </c>
      <c r="AF303" s="3">
        <f>IF(ISERROR((VLOOKUP($A303,'SegEnds_NonXtal_BW#'!$A:$Z,22,FALSE)+VLOOKUP($A303,A:AL,31,FALSE)-50)),"-",(VLOOKUP($A303,'SegEnds_NonXtal_BW#'!$A:$Z,22,FALSE)+VLOOKUP($A303,A:AL,31,FALSE)-50))</f>
        <v>361</v>
      </c>
      <c r="AG303" s="3">
        <f>IF(ISERROR(VLOOKUP($A303,'SegEnds_NonXtal_BW#'!$A:$Z,23,FALSE)+VLOOKUP($A303,A:AL,34,FALSE)-50),"-",(VLOOKUP($A303,'SegEnds_NonXtal_BW#'!$A:$Z,23,FALSE)+VLOOKUP($A303,A:AL,34,FALSE)-50))</f>
        <v>366</v>
      </c>
      <c r="AH303" s="3">
        <v>388</v>
      </c>
      <c r="AI303" s="3">
        <f>IF(ISERROR((VLOOKUP($A303,'SegEnds_NonXtal_BW#'!$A:$Z,24,FALSE)+VLOOKUP($A303,A:AL,34,FALSE)-50)),"-",(VLOOKUP($A303,'SegEnds_NonXtal_BW#'!$A:$Z,24,FALSE)+VLOOKUP($A303,A:AL,34,FALSE)-50))</f>
        <v>394</v>
      </c>
      <c r="AJ303" s="3">
        <f>IF(ISERROR(VLOOKUP($A303,'SegEnds_NonXtal_BW#'!$A:$Z,25,FALSE)+VLOOKUP($A303,A:AL,37,FALSE)-50),"-",(VLOOKUP($A303,'SegEnds_NonXtal_BW#'!$A:$Z,25,FALSE)+VLOOKUP($A303,A:AL,37,FALSE)-50))</f>
        <v>395</v>
      </c>
      <c r="AK303" s="3">
        <v>398</v>
      </c>
      <c r="AL303" s="3">
        <f>IF(ISERROR((VLOOKUP($A303,'SegEnds_NonXtal_BW#'!$A:$Z,26,FALSE)+VLOOKUP($A303,A:AL,37,FALSE)-50)),"-",(VLOOKUP($A303,'SegEnds_NonXtal_BW#'!$A:$Z,26,FALSE)+VLOOKUP($A303,A:AL,37,FALSE)-50))</f>
        <v>420</v>
      </c>
      <c r="AM303" s="28" t="str">
        <f>VLOOKUP(A303,Classification!A:B,2,FALSE)</f>
        <v>B1</v>
      </c>
      <c r="AN303" s="28" t="b">
        <f t="shared" si="188"/>
        <v>1</v>
      </c>
      <c r="AO303" s="3" t="str">
        <f>IF(ISERROR(MATCH(A303,'SegEnds_Xtal_Prot#'!B:B, 0)), "NoXtal", "Xtal")</f>
        <v>Xtal</v>
      </c>
      <c r="AP303" s="3">
        <f t="shared" si="173"/>
        <v>1</v>
      </c>
      <c r="AQ303" s="3">
        <f t="shared" si="174"/>
        <v>1</v>
      </c>
      <c r="AR303" s="3" t="str">
        <f t="shared" si="175"/>
        <v>-</v>
      </c>
      <c r="AS303" s="3" t="str">
        <f t="shared" si="176"/>
        <v>-</v>
      </c>
      <c r="AT303" s="3" t="str">
        <f t="shared" si="177"/>
        <v>-</v>
      </c>
      <c r="AU303" s="3" t="str">
        <f t="shared" si="178"/>
        <v>-</v>
      </c>
      <c r="AV303" s="3">
        <f t="shared" si="179"/>
        <v>4</v>
      </c>
      <c r="AW303" s="3">
        <f t="shared" si="180"/>
        <v>7</v>
      </c>
      <c r="AX303" s="3">
        <f t="shared" si="181"/>
        <v>10</v>
      </c>
      <c r="AY303" s="3">
        <f t="shared" si="182"/>
        <v>5</v>
      </c>
      <c r="AZ303" s="3">
        <f t="shared" si="183"/>
        <v>1</v>
      </c>
      <c r="BA303" s="3">
        <f>IF(ISERROR(LEN(VLOOKUP(A303,Seqs!A:E,2,FALSE))-AL303),"-",LEN(VLOOKUP(A303,Seqs!A:E,2,FALSE))-AL303)</f>
        <v>54</v>
      </c>
      <c r="BB303" s="16">
        <f t="shared" si="184"/>
        <v>28</v>
      </c>
      <c r="BC303" s="9" t="str">
        <f t="shared" si="185"/>
        <v>-</v>
      </c>
      <c r="BD303" s="3">
        <f t="shared" si="186"/>
        <v>28</v>
      </c>
      <c r="BE303" s="3">
        <f t="shared" si="187"/>
        <v>50</v>
      </c>
    </row>
    <row r="304" spans="1:59" s="3" customFormat="1" ht="17" customHeight="1" x14ac:dyDescent="0.2">
      <c r="A304" s="3" t="s">
        <v>402</v>
      </c>
      <c r="B304" s="3" t="str">
        <f>LOWER(VLOOKUP(A304,Xtal_Templ!A:B,2,FALSE))</f>
        <v>calrl_human</v>
      </c>
      <c r="C304" s="3">
        <f>VLOOKUP($A304,'SegEnds_NonXtal_BW#'!$A:$Z,3,FALSE)+D304-50</f>
        <v>130</v>
      </c>
      <c r="D304" s="3">
        <v>156</v>
      </c>
      <c r="E304" s="3">
        <f>IF(ISERROR(VLOOKUP($A304,'SegEnds_NonXtal_BW#'!$A:$Z,4,FALSE)+VLOOKUP($A304,A:AL,4,FALSE)-50),"-",(VLOOKUP($A304,'SegEnds_NonXtal_BW#'!$A:$Z,4,FALSE)+VLOOKUP($A304,A:AL,4,FALSE)-50))</f>
        <v>166</v>
      </c>
      <c r="F304" s="3">
        <f t="shared" si="192"/>
        <v>167</v>
      </c>
      <c r="G304" s="3">
        <v>169</v>
      </c>
      <c r="H304" s="3">
        <f t="shared" si="198"/>
        <v>170</v>
      </c>
      <c r="I304" s="3">
        <f t="shared" si="198"/>
        <v>171</v>
      </c>
      <c r="J304" s="3">
        <v>184</v>
      </c>
      <c r="K304" s="3">
        <f>VLOOKUP($A304,'SegEnds_NonXtal_BW#'!$A:$Z,8,FALSE)+VLOOKUP($A304,A:AL,10,FALSE)-50</f>
        <v>198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210</v>
      </c>
      <c r="P304" s="3">
        <v>237</v>
      </c>
      <c r="Q304" s="3">
        <f>VLOOKUP($A304,'SegEnds_NonXtal_BW#'!$A:$Z,12,FALSE)+VLOOKUP($A304,A:AL,16,FALSE)-50</f>
        <v>243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251</v>
      </c>
      <c r="V304" s="3">
        <v>260</v>
      </c>
      <c r="W304" s="3">
        <f>IF(ISERROR(VLOOKUP($A304,'SegEnds_NonXtal_BW#'!$A:$Z,16,FALSE)+VLOOKUP($A304,A:AL,22,FALSE)-50),"-",(VLOOKUP($A304,'SegEnds_NonXtal_BW#'!$A:$Z,16,FALSE)+VLOOKUP($A304,A:AL,22,FALSE)-50))</f>
        <v>277</v>
      </c>
      <c r="X304" s="3">
        <f>IF(ISERROR(VLOOKUP($A304,'SegEnds_NonXtal_BW#'!$A:$Z,17,FALSE)+VLOOKUP($A304,A:AL,25,FALSE)-50),"-",(VLOOKUP($A304,'SegEnds_NonXtal_BW#'!$A:$Z,17,FALSE)+VLOOKUP($A304,A:AL,25,FALSE)-50))</f>
        <v>282</v>
      </c>
      <c r="Y304" s="3">
        <v>282</v>
      </c>
      <c r="Z304" s="3">
        <f t="shared" si="197"/>
        <v>284</v>
      </c>
      <c r="AA304" s="3">
        <f>IF(ISERROR(VLOOKUP($A304,'SegEnds_NonXtal_BW#'!$A:$Z,19,FALSE)+VLOOKUP($A304,A:AL,28,FALSE)-50),"-",(VLOOKUP($A304,'SegEnds_NonXtal_BW#'!$A:$Z,19,FALSE)+VLOOKUP($A304,A:AL,28,FALSE)-50))</f>
        <v>290</v>
      </c>
      <c r="AB304" s="3">
        <v>301</v>
      </c>
      <c r="AC304" s="3">
        <f>IF(ISERROR((VLOOKUP($A304,'SegEnds_NonXtal_BW#'!$A:$Z,20,FALSE)+VLOOKUP($A304,A:AL,28,FALSE)-50)),"-",(VLOOKUP($A304,'SegEnds_NonXtal_BW#'!$A:$Z,20,FALSE)+VLOOKUP($A304,A:AL,28,FALSE)-50))</f>
        <v>321</v>
      </c>
      <c r="AD304" s="3">
        <f>IF(ISERROR(VLOOKUP($A304,'SegEnds_NonXtal_BW#'!$A:$Z,21,FALSE)+VLOOKUP($A304,A:AL,31,FALSE)-50),"-",(VLOOKUP($A304,'SegEnds_NonXtal_BW#'!$A:$Z,21,FALSE)+VLOOKUP($A304,A:AL,31,FALSE)-50))</f>
        <v>331</v>
      </c>
      <c r="AE304" s="3">
        <v>351</v>
      </c>
      <c r="AF304" s="3">
        <f>IF(ISERROR((VLOOKUP($A304,'SegEnds_NonXtal_BW#'!$A:$Z,22,FALSE)+VLOOKUP($A304,A:AL,31,FALSE)-50)),"-",(VLOOKUP($A304,'SegEnds_NonXtal_BW#'!$A:$Z,22,FALSE)+VLOOKUP($A304,A:AL,31,FALSE)-50))</f>
        <v>354</v>
      </c>
      <c r="AG304" s="3">
        <f>IF(ISERROR(VLOOKUP($A304,'SegEnds_NonXtal_BW#'!$A:$Z,23,FALSE)+VLOOKUP($A304,A:AL,34,FALSE)-50),"-",(VLOOKUP($A304,'SegEnds_NonXtal_BW#'!$A:$Z,23,FALSE)+VLOOKUP($A304,A:AL,34,FALSE)-50))</f>
        <v>359</v>
      </c>
      <c r="AH304" s="3">
        <v>381</v>
      </c>
      <c r="AI304" s="3">
        <f>IF(ISERROR((VLOOKUP($A304,'SegEnds_NonXtal_BW#'!$A:$Z,24,FALSE)+VLOOKUP($A304,A:AL,34,FALSE)-50)),"-",(VLOOKUP($A304,'SegEnds_NonXtal_BW#'!$A:$Z,24,FALSE)+VLOOKUP($A304,A:AL,34,FALSE)-50))</f>
        <v>387</v>
      </c>
      <c r="AJ304" s="3">
        <f>IF(ISERROR(VLOOKUP($A304,'SegEnds_NonXtal_BW#'!$A:$Z,25,FALSE)+VLOOKUP($A304,A:AL,37,FALSE)-50),"-",(VLOOKUP($A304,'SegEnds_NonXtal_BW#'!$A:$Z,25,FALSE)+VLOOKUP($A304,A:AL,37,FALSE)-50))</f>
        <v>388</v>
      </c>
      <c r="AK304" s="3">
        <v>391</v>
      </c>
      <c r="AL304" s="3">
        <f>IF(ISERROR((VLOOKUP($A304,'SegEnds_NonXtal_BW#'!$A:$Z,26,FALSE)+VLOOKUP($A304,A:AL,37,FALSE)-50)),"-",(VLOOKUP($A304,'SegEnds_NonXtal_BW#'!$A:$Z,26,FALSE)+VLOOKUP($A304,A:AL,37,FALSE)-50))</f>
        <v>413</v>
      </c>
      <c r="AM304" s="28" t="str">
        <f>VLOOKUP(A304,Classification!A:B,2,FALSE)</f>
        <v>B1</v>
      </c>
      <c r="AN304" s="28" t="b">
        <f t="shared" si="188"/>
        <v>1</v>
      </c>
      <c r="AO304" s="3" t="str">
        <f>IF(ISERROR(MATCH(A304,'SegEnds_Xtal_Prot#'!B:B, 0)), "NoXtal", "Xtal")</f>
        <v>Xtal</v>
      </c>
      <c r="AP304" s="3">
        <f t="shared" si="173"/>
        <v>1</v>
      </c>
      <c r="AQ304" s="3">
        <f t="shared" si="174"/>
        <v>1</v>
      </c>
      <c r="AR304" s="3" t="str">
        <f t="shared" si="175"/>
        <v>-</v>
      </c>
      <c r="AS304" s="3" t="str">
        <f t="shared" si="176"/>
        <v>-</v>
      </c>
      <c r="AT304" s="3" t="str">
        <f t="shared" si="177"/>
        <v>-</v>
      </c>
      <c r="AU304" s="3" t="str">
        <f t="shared" si="178"/>
        <v>-</v>
      </c>
      <c r="AV304" s="3">
        <f t="shared" si="179"/>
        <v>5</v>
      </c>
      <c r="AW304" s="3">
        <f t="shared" si="180"/>
        <v>6</v>
      </c>
      <c r="AX304" s="3">
        <f t="shared" si="181"/>
        <v>10</v>
      </c>
      <c r="AY304" s="3">
        <f t="shared" si="182"/>
        <v>5</v>
      </c>
      <c r="AZ304" s="3">
        <f t="shared" si="183"/>
        <v>1</v>
      </c>
      <c r="BA304" s="3">
        <f>IF(ISERROR(LEN(VLOOKUP(A304,Seqs!A:E,2,FALSE))-AL304),"-",LEN(VLOOKUP(A304,Seqs!A:E,2,FALSE))-AL304)</f>
        <v>48</v>
      </c>
      <c r="BB304" s="16">
        <f t="shared" si="184"/>
        <v>28</v>
      </c>
      <c r="BC304" s="9" t="str">
        <f t="shared" si="185"/>
        <v>-</v>
      </c>
      <c r="BD304" s="3">
        <f t="shared" si="186"/>
        <v>28</v>
      </c>
      <c r="BE304" s="3">
        <f t="shared" si="187"/>
        <v>50</v>
      </c>
    </row>
    <row r="305" spans="1:58" s="3" customFormat="1" x14ac:dyDescent="0.2">
      <c r="A305" s="3" t="s">
        <v>38</v>
      </c>
      <c r="B305" s="3" t="str">
        <f>LOWER(VLOOKUP(A305,Xtal_Templ!A:B,2,FALSE))</f>
        <v>crfr1_human</v>
      </c>
      <c r="C305" s="3">
        <f>VLOOKUP($A305,'SegEnds_NonXtal_BW#'!$A:$Z,3,FALSE)+D305-50</f>
        <v>103</v>
      </c>
      <c r="D305" s="3">
        <v>134</v>
      </c>
      <c r="E305" s="3">
        <f>IF(ISERROR(VLOOKUP($A305,'SegEnds_NonXtal_BW#'!$A:$Z,4,FALSE)+VLOOKUP($A305,A:AL,4,FALSE)-50),"-",(VLOOKUP($A305,'SegEnds_NonXtal_BW#'!$A:$Z,4,FALSE)+VLOOKUP($A305,A:AL,4,FALSE)-50))</f>
        <v>144</v>
      </c>
      <c r="F305" s="3">
        <f t="shared" si="192"/>
        <v>145</v>
      </c>
      <c r="G305" s="3">
        <v>147</v>
      </c>
      <c r="H305" s="3">
        <f t="shared" si="198"/>
        <v>148</v>
      </c>
      <c r="I305" s="3">
        <f t="shared" si="198"/>
        <v>149</v>
      </c>
      <c r="J305" s="3">
        <v>162</v>
      </c>
      <c r="K305" s="3">
        <f>VLOOKUP($A305,'SegEnds_NonXtal_BW#'!$A:$Z,8,FALSE)+VLOOKUP($A305,A:AL,10,FALSE)-50</f>
        <v>175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185</v>
      </c>
      <c r="P305" s="3">
        <v>213</v>
      </c>
      <c r="Q305" s="3">
        <f>VLOOKUP($A305,'SegEnds_NonXtal_BW#'!$A:$Z,12,FALSE)+VLOOKUP($A305,A:AL,16,FALSE)-50</f>
        <v>219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226</v>
      </c>
      <c r="V305" s="3">
        <v>236</v>
      </c>
      <c r="W305" s="3">
        <f>IF(ISERROR(VLOOKUP($A305,'SegEnds_NonXtal_BW#'!$A:$Z,16,FALSE)+VLOOKUP($A305,A:AL,22,FALSE)-50),"-",(VLOOKUP($A305,'SegEnds_NonXtal_BW#'!$A:$Z,16,FALSE)+VLOOKUP($A305,A:AL,22,FALSE)-50))</f>
        <v>254</v>
      </c>
      <c r="X305" s="3">
        <f>IF(ISERROR(VLOOKUP($A305,'SegEnds_NonXtal_BW#'!$A:$Z,17,FALSE)+VLOOKUP($A305,A:AL,25,FALSE)-50),"-",(VLOOKUP($A305,'SegEnds_NonXtal_BW#'!$A:$Z,17,FALSE)+VLOOKUP($A305,A:AL,25,FALSE)-50))</f>
        <v>258</v>
      </c>
      <c r="Y305" s="3">
        <v>258</v>
      </c>
      <c r="Z305" s="3">
        <f t="shared" si="197"/>
        <v>260</v>
      </c>
      <c r="AA305" s="3">
        <f>IF(ISERROR(VLOOKUP($A305,'SegEnds_NonXtal_BW#'!$A:$Z,19,FALSE)+AB305-50),"-",(VLOOKUP($A305,'SegEnds_NonXtal_BW#'!$A:$Z,19,FALSE)+AB305-50))</f>
        <v>268</v>
      </c>
      <c r="AB305" s="3">
        <v>279</v>
      </c>
      <c r="AC305" s="3">
        <f>IF(ISERROR((VLOOKUP($A305,'SegEnds_NonXtal_BW#'!$A:$Z,20,FALSE)+VLOOKUP($A305,A:AL,28,FALSE)-50)),"-",(VLOOKUP($A305,'SegEnds_NonXtal_BW#'!$A:$Z,20,FALSE)+VLOOKUP($A305,A:AL,28,FALSE)-50))</f>
        <v>298</v>
      </c>
      <c r="AD305" s="3">
        <f>IF(ISERROR(VLOOKUP($A305,'SegEnds_NonXtal_BW#'!$A:$Z,21,FALSE)+AE305-50),"-",(VLOOKUP($A305,'SegEnds_NonXtal_BW#'!$A:$Z,21,FALSE)+AE305-50))</f>
        <v>304</v>
      </c>
      <c r="AE305" s="3">
        <v>329</v>
      </c>
      <c r="AF305" s="3">
        <f>IF(ISERROR((VLOOKUP($A305,'SegEnds_NonXtal_BW#'!$A:$Z,22,FALSE)+AE305-50)),"-",(VLOOKUP($A305,'SegEnds_NonXtal_BW#'!$A:$Z,22,FALSE)+AE305-50))</f>
        <v>332</v>
      </c>
      <c r="AG305" s="3">
        <f>IF(ISERROR(VLOOKUP($A305,'SegEnds_NonXtal_BW#'!$A:$Z,23,FALSE)+VLOOKUP($A305,A:AL,34,FALSE)-50),"-",(VLOOKUP($A305,'SegEnds_NonXtal_BW#'!$A:$Z,23,FALSE)+VLOOKUP($A305,A:AL,34,FALSE)-50))</f>
        <v>338</v>
      </c>
      <c r="AH305" s="3">
        <v>360</v>
      </c>
      <c r="AI305" s="3">
        <f>IF(ISERROR((VLOOKUP($A305,'SegEnds_NonXtal_BW#'!$A:$Z,24,FALSE)+VLOOKUP($A305,A:AL,34,FALSE)-50)),"-",(VLOOKUP($A305,'SegEnds_NonXtal_BW#'!$A:$Z,24,FALSE)+VLOOKUP($A305,A:AL,34,FALSE)-50))</f>
        <v>366</v>
      </c>
      <c r="AJ305" s="3">
        <f>IF(ISERROR(VLOOKUP($A305,'SegEnds_NonXtal_BW#'!$A:$Z,25,FALSE)+VLOOKUP($A305,A:AL,37,FALSE)-50),"-",(VLOOKUP($A305,'SegEnds_NonXtal_BW#'!$A:$Z,25,FALSE)+VLOOKUP($A305,A:AL,37,FALSE)-50))</f>
        <v>367</v>
      </c>
      <c r="AK305" s="3">
        <v>370</v>
      </c>
      <c r="AL305" s="3">
        <f>IF(ISERROR((VLOOKUP($A305,'SegEnds_NonXtal_BW#'!$A:$Z,26,FALSE)+VLOOKUP($A305,A:AL,37,FALSE)-50)),"-",(VLOOKUP($A305,'SegEnds_NonXtal_BW#'!$A:$Z,26,FALSE)+VLOOKUP($A305,A:AL,37,FALSE)-50))</f>
        <v>392</v>
      </c>
      <c r="AM305" s="28" t="str">
        <f>VLOOKUP(A305,Classification!A:B,2,FALSE)</f>
        <v>B1</v>
      </c>
      <c r="AN305" s="28" t="b">
        <f t="shared" si="188"/>
        <v>1</v>
      </c>
      <c r="AO305" s="3" t="str">
        <f>IF(ISERROR(MATCH(A305,'SegEnds_Xtal_Prot#'!B:B, 0)), "NoXtal", "Xtal")</f>
        <v>Xtal</v>
      </c>
      <c r="AP305" s="3">
        <f t="shared" si="173"/>
        <v>1</v>
      </c>
      <c r="AQ305" s="3">
        <f t="shared" si="174"/>
        <v>1</v>
      </c>
      <c r="AR305" s="3" t="str">
        <f t="shared" si="175"/>
        <v>-</v>
      </c>
      <c r="AS305" s="3" t="str">
        <f t="shared" si="176"/>
        <v>-</v>
      </c>
      <c r="AT305" s="3" t="str">
        <f t="shared" si="177"/>
        <v>-</v>
      </c>
      <c r="AU305" s="3" t="str">
        <f t="shared" si="178"/>
        <v>-</v>
      </c>
      <c r="AV305" s="3">
        <f t="shared" si="179"/>
        <v>4</v>
      </c>
      <c r="AW305" s="3">
        <f t="shared" si="180"/>
        <v>8</v>
      </c>
      <c r="AX305" s="3">
        <f t="shared" si="181"/>
        <v>6</v>
      </c>
      <c r="AY305" s="3">
        <f t="shared" si="182"/>
        <v>6</v>
      </c>
      <c r="AZ305" s="3">
        <f t="shared" si="183"/>
        <v>1</v>
      </c>
      <c r="BA305" s="3">
        <f>IF(ISERROR(LEN(VLOOKUP(A305,Seqs!A:E,2,FALSE))-AL305),"-",LEN(VLOOKUP(A305,Seqs!A:E,2,FALSE))-AL305)</f>
        <v>23</v>
      </c>
      <c r="BB305" s="16">
        <f t="shared" si="184"/>
        <v>28</v>
      </c>
      <c r="BC305" s="9" t="str">
        <f t="shared" si="185"/>
        <v>-</v>
      </c>
      <c r="BD305" s="3">
        <f t="shared" si="186"/>
        <v>28</v>
      </c>
      <c r="BE305" s="3">
        <f t="shared" si="187"/>
        <v>50</v>
      </c>
      <c r="BF305" s="3">
        <f>AH305-AE305</f>
        <v>31</v>
      </c>
    </row>
    <row r="306" spans="1:58" s="3" customFormat="1" x14ac:dyDescent="0.2">
      <c r="A306" s="3" t="s">
        <v>403</v>
      </c>
      <c r="B306" s="3" t="str">
        <f>LOWER(VLOOKUP(A306,Xtal_Templ!A:B,2,FALSE))</f>
        <v>crfr2_human</v>
      </c>
      <c r="C306" s="3">
        <f>VLOOKUP($A306,'SegEnds_NonXtal_BW#'!$A:$Z,3,FALSE)+D306-50</f>
        <v>100</v>
      </c>
      <c r="D306" s="3">
        <v>131</v>
      </c>
      <c r="E306" s="3">
        <f>IF(ISERROR(VLOOKUP($A306,'SegEnds_NonXtal_BW#'!$A:$Z,4,FALSE)+VLOOKUP($A306,A:AL,4,FALSE)-50),"-",(VLOOKUP($A306,'SegEnds_NonXtal_BW#'!$A:$Z,4,FALSE)+VLOOKUP($A306,A:AL,4,FALSE)-50))</f>
        <v>141</v>
      </c>
      <c r="F306" s="3">
        <f t="shared" si="192"/>
        <v>142</v>
      </c>
      <c r="G306" s="3">
        <v>144</v>
      </c>
      <c r="H306" s="3">
        <f t="shared" si="198"/>
        <v>145</v>
      </c>
      <c r="I306" s="3">
        <f t="shared" si="198"/>
        <v>146</v>
      </c>
      <c r="J306" s="3">
        <v>159</v>
      </c>
      <c r="K306" s="3">
        <f>VLOOKUP($A306,'SegEnds_NonXtal_BW#'!$A:$Z,8,FALSE)+VLOOKUP($A306,A:AL,10,FALSE)-50</f>
        <v>172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181</v>
      </c>
      <c r="P306" s="3">
        <v>209</v>
      </c>
      <c r="Q306" s="3">
        <f>VLOOKUP($A306,'SegEnds_NonXtal_BW#'!$A:$Z,12,FALSE)+VLOOKUP($A306,A:AL,16,FALSE)-50</f>
        <v>215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223</v>
      </c>
      <c r="V306" s="3">
        <v>232</v>
      </c>
      <c r="W306" s="3">
        <f>IF(ISERROR(VLOOKUP($A306,'SegEnds_NonXtal_BW#'!$A:$Z,16,FALSE)+VLOOKUP($A306,A:AL,22,FALSE)-50),"-",(VLOOKUP($A306,'SegEnds_NonXtal_BW#'!$A:$Z,16,FALSE)+VLOOKUP($A306,A:AL,22,FALSE)-50))</f>
        <v>250</v>
      </c>
      <c r="X306" s="3">
        <f>IF(ISERROR(VLOOKUP($A306,'SegEnds_NonXtal_BW#'!$A:$Z,17,FALSE)+VLOOKUP($A306,A:AL,25,FALSE)-50),"-",(VLOOKUP($A306,'SegEnds_NonXtal_BW#'!$A:$Z,17,FALSE)+VLOOKUP($A306,A:AL,25,FALSE)-50))</f>
        <v>254</v>
      </c>
      <c r="Y306" s="3">
        <v>254</v>
      </c>
      <c r="Z306" s="3">
        <f t="shared" si="197"/>
        <v>256</v>
      </c>
      <c r="AA306" s="3">
        <f>IF(ISERROR(VLOOKUP($A306,'SegEnds_NonXtal_BW#'!$A:$Z,19,FALSE)+VLOOKUP($A306,A:AL,28,FALSE)-50),"-",(VLOOKUP($A306,'SegEnds_NonXtal_BW#'!$A:$Z,19,FALSE)+VLOOKUP($A306,A:AL,28,FALSE)-50))</f>
        <v>264</v>
      </c>
      <c r="AB306" s="3">
        <v>275</v>
      </c>
      <c r="AC306" s="3">
        <f>IF(ISERROR((VLOOKUP($A306,'SegEnds_NonXtal_BW#'!$A:$Z,20,FALSE)+VLOOKUP($A306,A:AL,28,FALSE)-50)),"-",(VLOOKUP($A306,'SegEnds_NonXtal_BW#'!$A:$Z,20,FALSE)+VLOOKUP($A306,A:AL,28,FALSE)-50))</f>
        <v>296</v>
      </c>
      <c r="AD306" s="3">
        <f>IF(ISERROR(VLOOKUP($A306,'SegEnds_NonXtal_BW#'!$A:$Z,21,FALSE)+VLOOKUP($A306,A:AL,31,FALSE)-50),"-",(VLOOKUP($A306,'SegEnds_NonXtal_BW#'!$A:$Z,21,FALSE)+VLOOKUP($A306,A:AL,31,FALSE)-50))</f>
        <v>300</v>
      </c>
      <c r="AE306" s="3">
        <v>325</v>
      </c>
      <c r="AF306" s="3">
        <f>IF(ISERROR((VLOOKUP($A306,'SegEnds_NonXtal_BW#'!$A:$Z,22,FALSE)+VLOOKUP($A306,A:AL,31,FALSE)-50)),"-",(VLOOKUP($A306,'SegEnds_NonXtal_BW#'!$A:$Z,22,FALSE)+VLOOKUP($A306,A:AL,31,FALSE)-50))</f>
        <v>328</v>
      </c>
      <c r="AG306" s="3">
        <f>IF(ISERROR(VLOOKUP($A306,'SegEnds_NonXtal_BW#'!$A:$Z,23,FALSE)+VLOOKUP($A306,A:AL,34,FALSE)-50),"-",(VLOOKUP($A306,'SegEnds_NonXtal_BW#'!$A:$Z,23,FALSE)+VLOOKUP($A306,A:AL,34,FALSE)-50))</f>
        <v>334</v>
      </c>
      <c r="AH306" s="3">
        <v>356</v>
      </c>
      <c r="AI306" s="3">
        <f>IF(ISERROR((VLOOKUP($A306,'SegEnds_NonXtal_BW#'!$A:$Z,24,FALSE)+VLOOKUP($A306,A:AL,34,FALSE)-50)),"-",(VLOOKUP($A306,'SegEnds_NonXtal_BW#'!$A:$Z,24,FALSE)+VLOOKUP($A306,A:AL,34,FALSE)-50))</f>
        <v>362</v>
      </c>
      <c r="AJ306" s="3">
        <f>IF(ISERROR(VLOOKUP($A306,'SegEnds_NonXtal_BW#'!$A:$Z,25,FALSE)+VLOOKUP($A306,A:AL,37,FALSE)-50),"-",(VLOOKUP($A306,'SegEnds_NonXtal_BW#'!$A:$Z,25,FALSE)+VLOOKUP($A306,A:AL,37,FALSE)-50))</f>
        <v>363</v>
      </c>
      <c r="AK306" s="3">
        <v>366</v>
      </c>
      <c r="AL306" s="3">
        <f>IF(ISERROR((VLOOKUP($A306,'SegEnds_NonXtal_BW#'!$A:$Z,26,FALSE)+VLOOKUP($A306,A:AL,37,FALSE)-50)),"-",(VLOOKUP($A306,'SegEnds_NonXtal_BW#'!$A:$Z,26,FALSE)+VLOOKUP($A306,A:AL,37,FALSE)-50))</f>
        <v>388</v>
      </c>
      <c r="AM306" s="28" t="str">
        <f>VLOOKUP(A306,Classification!A:B,2,FALSE)</f>
        <v>B1</v>
      </c>
      <c r="AN306" s="28" t="b">
        <f t="shared" si="188"/>
        <v>1</v>
      </c>
      <c r="AO306" s="3" t="str">
        <f>IF(ISERROR(MATCH(A306,'SegEnds_Xtal_Prot#'!B:B, 0)), "NoXtal", "Xtal")</f>
        <v>Xtal</v>
      </c>
      <c r="AP306" s="3">
        <f t="shared" si="173"/>
        <v>1</v>
      </c>
      <c r="AQ306" s="3">
        <f t="shared" si="174"/>
        <v>1</v>
      </c>
      <c r="AR306" s="3" t="str">
        <f t="shared" si="175"/>
        <v>-</v>
      </c>
      <c r="AS306" s="3" t="str">
        <f t="shared" si="176"/>
        <v>-</v>
      </c>
      <c r="AT306" s="3" t="str">
        <f t="shared" si="177"/>
        <v>-</v>
      </c>
      <c r="AU306" s="3" t="str">
        <f t="shared" si="178"/>
        <v>-</v>
      </c>
      <c r="AV306" s="3">
        <f t="shared" si="179"/>
        <v>4</v>
      </c>
      <c r="AW306" s="3">
        <f t="shared" si="180"/>
        <v>8</v>
      </c>
      <c r="AX306" s="3">
        <f t="shared" si="181"/>
        <v>4</v>
      </c>
      <c r="AY306" s="3">
        <f t="shared" si="182"/>
        <v>6</v>
      </c>
      <c r="AZ306" s="3">
        <f t="shared" si="183"/>
        <v>1</v>
      </c>
      <c r="BA306" s="3">
        <f>IF(ISERROR(LEN(VLOOKUP(A306,Seqs!A:E,2,FALSE))-AL306),"-",LEN(VLOOKUP(A306,Seqs!A:E,2,FALSE))-AL306)</f>
        <v>23</v>
      </c>
      <c r="BB306" s="16">
        <f t="shared" si="184"/>
        <v>28</v>
      </c>
      <c r="BC306" s="9" t="str">
        <f t="shared" si="185"/>
        <v>-</v>
      </c>
      <c r="BD306" s="3">
        <f t="shared" si="186"/>
        <v>28</v>
      </c>
      <c r="BE306" s="3">
        <f t="shared" si="187"/>
        <v>50</v>
      </c>
      <c r="BF306" s="3">
        <f>AH306-AE306</f>
        <v>31</v>
      </c>
    </row>
    <row r="307" spans="1:58" s="3" customFormat="1" x14ac:dyDescent="0.2">
      <c r="A307" s="3" t="s">
        <v>1420</v>
      </c>
      <c r="B307" s="3" t="str">
        <f>LOWER(VLOOKUP(A307,Xtal_Templ!A:B,2,FALSE))</f>
        <v>g1sgd4_rabit</v>
      </c>
      <c r="C307" s="3">
        <f>VLOOKUP($A307,'SegEnds_NonXtal_BW#'!$A:$Z,3,FALSE)+D307-50</f>
        <v>137</v>
      </c>
      <c r="D307" s="3">
        <v>159</v>
      </c>
      <c r="E307" s="3">
        <f>IF(ISERROR(VLOOKUP($A307,'SegEnds_NonXtal_BW#'!$A:$Z,4,FALSE)+VLOOKUP($A307,A:AL,4,FALSE)-50),"-",(VLOOKUP($A307,'SegEnds_NonXtal_BW#'!$A:$Z,4,FALSE)+VLOOKUP($A307,A:AL,4,FALSE)-50))</f>
        <v>169</v>
      </c>
      <c r="F307" s="3">
        <f t="shared" si="192"/>
        <v>170</v>
      </c>
      <c r="G307" s="3">
        <v>172</v>
      </c>
      <c r="H307" s="3">
        <f t="shared" si="198"/>
        <v>173</v>
      </c>
      <c r="I307" s="3">
        <f t="shared" si="198"/>
        <v>174</v>
      </c>
      <c r="J307" s="3">
        <v>187</v>
      </c>
      <c r="K307" s="3">
        <f>VLOOKUP($A307,'SegEnds_NonXtal_BW#'!$A:$Z,8,FALSE)+VLOOKUP($A307,A:AL,10,FALSE)-50</f>
        <v>211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224</v>
      </c>
      <c r="P307" s="3">
        <v>251</v>
      </c>
      <c r="Q307" s="3">
        <f>VLOOKUP($A307,'SegEnds_NonXtal_BW#'!$A:$Z,12,FALSE)+VLOOKUP($A307,A:AL,16,FALSE)-50</f>
        <v>257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261</v>
      </c>
      <c r="V307" s="3">
        <v>274</v>
      </c>
      <c r="W307" s="3">
        <f>IF(ISERROR(VLOOKUP($A307,'SegEnds_NonXtal_BW#'!$A:$Z,16,FALSE)+VLOOKUP($A307,A:AL,22,FALSE)-50),"-",(VLOOKUP($A307,'SegEnds_NonXtal_BW#'!$A:$Z,16,FALSE)+VLOOKUP($A307,A:AL,22,FALSE)-50))</f>
        <v>292</v>
      </c>
      <c r="X307" s="3">
        <f>IF(ISERROR(VLOOKUP($A307,'SegEnds_NonXtal_BW#'!$A:$Z,17,FALSE)+VLOOKUP($A307,A:AL,25,FALSE)-50),"-",(VLOOKUP($A307,'SegEnds_NonXtal_BW#'!$A:$Z,17,FALSE)+VLOOKUP($A307,A:AL,25,FALSE)-50))</f>
        <v>296</v>
      </c>
      <c r="Y307" s="3">
        <v>296</v>
      </c>
      <c r="Z307" s="3">
        <f t="shared" si="197"/>
        <v>298</v>
      </c>
      <c r="AA307" s="3">
        <f>IF(ISERROR(VLOOKUP($A307,'SegEnds_NonXtal_BW#'!$A:$Z,19,FALSE)+VLOOKUP($A307,A:AL,28,FALSE)-50),"-",(VLOOKUP($A307,'SegEnds_NonXtal_BW#'!$A:$Z,19,FALSE)+VLOOKUP($A307,A:AL,28,FALSE)-50))</f>
        <v>302</v>
      </c>
      <c r="AB307" s="3">
        <v>316</v>
      </c>
      <c r="AC307" s="3">
        <f>IF(ISERROR((VLOOKUP($A307,'SegEnds_NonXtal_BW#'!$A:$Z,20,FALSE)+VLOOKUP($A307,A:AL,28,FALSE)-50)),"-",(VLOOKUP($A307,'SegEnds_NonXtal_BW#'!$A:$Z,20,FALSE)+VLOOKUP($A307,A:AL,28,FALSE)-50))</f>
        <v>337</v>
      </c>
      <c r="AD307" s="3">
        <f>IF(ISERROR(VLOOKUP($A307,'SegEnds_NonXtal_BW#'!$A:$Z,21,FALSE)+VLOOKUP($A307,A:AL,31,FALSE)-50),"-",(VLOOKUP($A307,'SegEnds_NonXtal_BW#'!$A:$Z,21,FALSE)+VLOOKUP($A307,A:AL,31,FALSE)-50))</f>
        <v>346</v>
      </c>
      <c r="AE307" s="3">
        <v>366</v>
      </c>
      <c r="AF307" s="3">
        <f>IF(ISERROR((VLOOKUP($A307,'SegEnds_NonXtal_BW#'!$A:$Z,22,FALSE)+VLOOKUP($A307,A:AL,31,FALSE)-50)),"-",(VLOOKUP($A307,'SegEnds_NonXtal_BW#'!$A:$Z,22,FALSE)+VLOOKUP($A307,A:AL,31,FALSE)-50))</f>
        <v>369</v>
      </c>
      <c r="AG307" s="3">
        <f>IF(ISERROR(VLOOKUP($A307,'SegEnds_NonXtal_BW#'!$A:$Z,23,FALSE)+VLOOKUP($A307,A:AL,34,FALSE)-50),"-",(VLOOKUP($A307,'SegEnds_NonXtal_BW#'!$A:$Z,23,FALSE)+VLOOKUP($A307,A:AL,34,FALSE)-50))</f>
        <v>379</v>
      </c>
      <c r="AH307" s="3">
        <v>399</v>
      </c>
      <c r="AI307" s="3">
        <f>IF(ISERROR((VLOOKUP($A307,'SegEnds_NonXtal_BW#'!$A:$Z,24,FALSE)+VLOOKUP($A307,A:AL,34,FALSE)-50)),"-",(VLOOKUP($A307,'SegEnds_NonXtal_BW#'!$A:$Z,24,FALSE)+VLOOKUP($A307,A:AL,34,FALSE)-50))</f>
        <v>405</v>
      </c>
      <c r="AJ307" s="3">
        <f>IF(ISERROR(VLOOKUP($A307,'SegEnds_NonXtal_BW#'!$A:$Z,25,FALSE)+VLOOKUP($A307,A:AL,37,FALSE)-50),"-",(VLOOKUP($A307,'SegEnds_NonXtal_BW#'!$A:$Z,25,FALSE)+VLOOKUP($A307,A:AL,37,FALSE)-50))</f>
        <v>406</v>
      </c>
      <c r="AK307" s="3">
        <v>409</v>
      </c>
      <c r="AL307" s="3">
        <f>IF(ISERROR((VLOOKUP($A307,'SegEnds_NonXtal_BW#'!$A:$Z,26,FALSE)+VLOOKUP($A307,A:AL,37,FALSE)-50)),"-",(VLOOKUP($A307,'SegEnds_NonXtal_BW#'!$A:$Z,26,FALSE)+VLOOKUP($A307,A:AL,37,FALSE)-50))</f>
        <v>431</v>
      </c>
      <c r="AM307" s="28" t="str">
        <f>VLOOKUP(A307,Classification!A:B,2,FALSE)</f>
        <v>B1</v>
      </c>
      <c r="AN307" s="28" t="b">
        <f t="shared" si="188"/>
        <v>1</v>
      </c>
      <c r="AO307" s="3" t="str">
        <f>IF(ISERROR(MATCH(A307,'SegEnds_Xtal_Prot#'!B:B, 0)), "NoXtal", "Xtal")</f>
        <v>Xtal</v>
      </c>
      <c r="AP307" s="3">
        <f t="shared" si="173"/>
        <v>1</v>
      </c>
      <c r="AQ307" s="3">
        <f t="shared" si="174"/>
        <v>1</v>
      </c>
      <c r="AR307" s="3" t="str">
        <f t="shared" si="175"/>
        <v>-</v>
      </c>
      <c r="AS307" s="3" t="str">
        <f t="shared" si="176"/>
        <v>-</v>
      </c>
      <c r="AT307" s="3" t="str">
        <f t="shared" si="177"/>
        <v>-</v>
      </c>
      <c r="AU307" s="3" t="str">
        <f t="shared" si="178"/>
        <v>-</v>
      </c>
      <c r="AV307" s="3">
        <f t="shared" si="179"/>
        <v>4</v>
      </c>
      <c r="AW307" s="3">
        <f t="shared" si="180"/>
        <v>4</v>
      </c>
      <c r="AX307" s="3">
        <f t="shared" si="181"/>
        <v>9</v>
      </c>
      <c r="AY307" s="3">
        <f t="shared" si="182"/>
        <v>10</v>
      </c>
      <c r="AZ307" s="3">
        <f t="shared" si="183"/>
        <v>1</v>
      </c>
      <c r="BA307" s="3">
        <f>IF(ISERROR(LEN(VLOOKUP(A307,Seqs!A:E,2,FALSE))-AL307),"-",LEN(VLOOKUP(A307,Seqs!A:E,2,FALSE))-AL307)</f>
        <v>31</v>
      </c>
      <c r="BB307" s="16">
        <f t="shared" si="184"/>
        <v>28</v>
      </c>
      <c r="BC307" s="9" t="str">
        <f t="shared" si="185"/>
        <v>-</v>
      </c>
      <c r="BD307" s="3">
        <f t="shared" si="186"/>
        <v>28</v>
      </c>
      <c r="BE307" s="3">
        <f t="shared" si="187"/>
        <v>50</v>
      </c>
    </row>
    <row r="308" spans="1:58" s="3" customFormat="1" x14ac:dyDescent="0.2">
      <c r="A308" s="3" t="s">
        <v>404</v>
      </c>
      <c r="B308" s="3" t="str">
        <f>LOWER(VLOOKUP(A308,Xtal_Templ!A:B,2,FALSE))</f>
        <v>pacr_human</v>
      </c>
      <c r="C308" s="3">
        <f>VLOOKUP($A308,'SegEnds_NonXtal_BW#'!$A:$Z,3,FALSE)+D308-50</f>
        <v>115</v>
      </c>
      <c r="D308" s="3">
        <v>144</v>
      </c>
      <c r="E308" s="3">
        <f>IF(ISERROR(VLOOKUP($A308,'SegEnds_NonXtal_BW#'!$A:$Z,4,FALSE)+VLOOKUP($A308,A:AL,4,FALSE)-50),"-",(VLOOKUP($A308,'SegEnds_NonXtal_BW#'!$A:$Z,4,FALSE)+VLOOKUP($A308,A:AL,4,FALSE)-50))</f>
        <v>154</v>
      </c>
      <c r="F308" s="3">
        <f t="shared" si="192"/>
        <v>155</v>
      </c>
      <c r="G308" s="3">
        <v>157</v>
      </c>
      <c r="H308" s="3">
        <f t="shared" si="198"/>
        <v>158</v>
      </c>
      <c r="I308" s="3">
        <f t="shared" si="198"/>
        <v>159</v>
      </c>
      <c r="J308" s="3">
        <v>172</v>
      </c>
      <c r="K308" s="3">
        <f>VLOOKUP($A308,'SegEnds_NonXtal_BW#'!$A:$Z,8,FALSE)+VLOOKUP($A308,A:AL,10,FALSE)-50</f>
        <v>186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199</v>
      </c>
      <c r="P308" s="3">
        <v>227</v>
      </c>
      <c r="Q308" s="3">
        <f>VLOOKUP($A308,'SegEnds_NonXtal_BW#'!$A:$Z,12,FALSE)+VLOOKUP($A308,A:AL,16,FALSE)-50</f>
        <v>233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240</v>
      </c>
      <c r="V308" s="3">
        <v>250</v>
      </c>
      <c r="W308" s="3">
        <f>IF(ISERROR(VLOOKUP($A308,'SegEnds_NonXtal_BW#'!$A:$Z,16,FALSE)+VLOOKUP($A308,A:AL,22,FALSE)-50),"-",(VLOOKUP($A308,'SegEnds_NonXtal_BW#'!$A:$Z,16,FALSE)+VLOOKUP($A308,A:AL,22,FALSE)-50))</f>
        <v>268</v>
      </c>
      <c r="X308" s="3">
        <f>IF(ISERROR(VLOOKUP($A308,'SegEnds_NonXtal_BW#'!$A:$Z,17,FALSE)+VLOOKUP($A308,A:AL,25,FALSE)-50),"-",(VLOOKUP($A308,'SegEnds_NonXtal_BW#'!$A:$Z,17,FALSE)+VLOOKUP($A308,A:AL,25,FALSE)-50))</f>
        <v>272</v>
      </c>
      <c r="Y308" s="3">
        <v>272</v>
      </c>
      <c r="Z308" s="3">
        <f t="shared" si="197"/>
        <v>274</v>
      </c>
      <c r="AA308" s="3">
        <f>IF(ISERROR(VLOOKUP($A308,'SegEnds_NonXtal_BW#'!$A:$Z,19,FALSE)+VLOOKUP($A308,A:AL,28,FALSE)-50),"-",(VLOOKUP($A308,'SegEnds_NonXtal_BW#'!$A:$Z,19,FALSE)+VLOOKUP($A308,A:AL,28,FALSE)-50))</f>
        <v>278</v>
      </c>
      <c r="AB308" s="3">
        <v>292</v>
      </c>
      <c r="AC308" s="3">
        <f>IF(ISERROR((VLOOKUP($A308,'SegEnds_NonXtal_BW#'!$A:$Z,20,FALSE)+VLOOKUP($A308,A:AL,28,FALSE)-50)),"-",(VLOOKUP($A308,'SegEnds_NonXtal_BW#'!$A:$Z,20,FALSE)+VLOOKUP($A308,A:AL,28,FALSE)-50))</f>
        <v>311</v>
      </c>
      <c r="AD308" s="3">
        <f>IF(ISERROR(VLOOKUP($A308,'SegEnds_NonXtal_BW#'!$A:$Z,21,FALSE)+VLOOKUP($A308,A:AL,31,FALSE)-50),"-",(VLOOKUP($A308,'SegEnds_NonXtal_BW#'!$A:$Z,21,FALSE)+VLOOKUP($A308,A:AL,31,FALSE)-50))</f>
        <v>319</v>
      </c>
      <c r="AE308" s="3">
        <v>344</v>
      </c>
      <c r="AF308" s="3">
        <f>IF(ISERROR((VLOOKUP($A308,'SegEnds_NonXtal_BW#'!$A:$Z,22,FALSE)+VLOOKUP($A308,A:AL,31,FALSE)-50)),"-",(VLOOKUP($A308,'SegEnds_NonXtal_BW#'!$A:$Z,22,FALSE)+VLOOKUP($A308,A:AL,31,FALSE)-50))</f>
        <v>348</v>
      </c>
      <c r="AG308" s="3">
        <f>IF(ISERROR(VLOOKUP($A308,'SegEnds_NonXtal_BW#'!$A:$Z,23,FALSE)+VLOOKUP($A308,A:AL,34,FALSE)-50),"-",(VLOOKUP($A308,'SegEnds_NonXtal_BW#'!$A:$Z,23,FALSE)+VLOOKUP($A308,A:AL,34,FALSE)-50))</f>
        <v>354</v>
      </c>
      <c r="AH308" s="3">
        <v>373</v>
      </c>
      <c r="AI308" s="3">
        <f>IF(ISERROR((VLOOKUP($A308,'SegEnds_NonXtal_BW#'!$A:$Z,24,FALSE)+VLOOKUP($A308,A:AL,34,FALSE)-50)),"-",(VLOOKUP($A308,'SegEnds_NonXtal_BW#'!$A:$Z,24,FALSE)+VLOOKUP($A308,A:AL,34,FALSE)-50))</f>
        <v>379</v>
      </c>
      <c r="AJ308" s="3">
        <f>IF(ISERROR(VLOOKUP($A308,'SegEnds_NonXtal_BW#'!$A:$Z,25,FALSE)+VLOOKUP($A308,A:AL,37,FALSE)-50),"-",(VLOOKUP($A308,'SegEnds_NonXtal_BW#'!$A:$Z,25,FALSE)+VLOOKUP($A308,A:AL,37,FALSE)-50))</f>
        <v>380</v>
      </c>
      <c r="AK308" s="3">
        <v>383</v>
      </c>
      <c r="AL308" s="3">
        <f>IF(ISERROR((VLOOKUP($A308,'SegEnds_NonXtal_BW#'!$A:$Z,26,FALSE)+VLOOKUP($A308,A:AL,37,FALSE)-50)),"-",(VLOOKUP($A308,'SegEnds_NonXtal_BW#'!$A:$Z,26,FALSE)+VLOOKUP($A308,A:AL,37,FALSE)-50))</f>
        <v>405</v>
      </c>
      <c r="AM308" s="28" t="str">
        <f>VLOOKUP(A308,Classification!A:B,2,FALSE)</f>
        <v>B1</v>
      </c>
      <c r="AN308" s="28" t="b">
        <f t="shared" si="188"/>
        <v>1</v>
      </c>
      <c r="AO308" s="3" t="str">
        <f>IF(ISERROR(MATCH(A308,'SegEnds_Xtal_Prot#'!B:B, 0)), "NoXtal", "Xtal")</f>
        <v>NoXtal</v>
      </c>
      <c r="AP308" s="3">
        <f t="shared" si="173"/>
        <v>1</v>
      </c>
      <c r="AQ308" s="3">
        <f t="shared" si="174"/>
        <v>1</v>
      </c>
      <c r="AR308" s="3" t="str">
        <f t="shared" si="175"/>
        <v>-</v>
      </c>
      <c r="AS308" s="3" t="str">
        <f t="shared" si="176"/>
        <v>-</v>
      </c>
      <c r="AT308" s="3" t="str">
        <f t="shared" si="177"/>
        <v>-</v>
      </c>
      <c r="AU308" s="3" t="str">
        <f t="shared" si="178"/>
        <v>-</v>
      </c>
      <c r="AV308" s="3">
        <f t="shared" si="179"/>
        <v>4</v>
      </c>
      <c r="AW308" s="3">
        <f t="shared" si="180"/>
        <v>4</v>
      </c>
      <c r="AX308" s="3">
        <f t="shared" si="181"/>
        <v>8</v>
      </c>
      <c r="AY308" s="3">
        <f t="shared" si="182"/>
        <v>6</v>
      </c>
      <c r="AZ308" s="3">
        <f t="shared" si="183"/>
        <v>1</v>
      </c>
      <c r="BA308" s="3">
        <f>IF(ISERROR(LEN(VLOOKUP(A308,Seqs!A:E,2,FALSE))-AL308),"-",LEN(VLOOKUP(A308,Seqs!A:E,2,FALSE))-AL308)</f>
        <v>18</v>
      </c>
      <c r="BB308" s="16">
        <f t="shared" si="184"/>
        <v>28</v>
      </c>
      <c r="BC308" s="9" t="str">
        <f t="shared" si="185"/>
        <v>-</v>
      </c>
      <c r="BD308" s="3">
        <f t="shared" si="186"/>
        <v>28</v>
      </c>
      <c r="BE308" s="3">
        <f t="shared" si="187"/>
        <v>52</v>
      </c>
      <c r="BF308" s="3">
        <f>AH308-AE308</f>
        <v>29</v>
      </c>
    </row>
    <row r="309" spans="1:58" s="3" customFormat="1" x14ac:dyDescent="0.2">
      <c r="A309" s="3" t="s">
        <v>405</v>
      </c>
      <c r="B309" s="3" t="str">
        <f>LOWER(VLOOKUP(A309,Xtal_Templ!A:B,2,FALSE))</f>
        <v>glr_human</v>
      </c>
      <c r="C309" s="3">
        <f>VLOOKUP($A309,'SegEnds_NonXtal_BW#'!$A:$Z,3,FALSE)+D309-50</f>
        <v>127</v>
      </c>
      <c r="D309" s="3">
        <v>152</v>
      </c>
      <c r="E309" s="3">
        <f>IF(ISERROR(VLOOKUP($A309,'SegEnds_NonXtal_BW#'!$A:$Z,4,FALSE)+VLOOKUP($A309,A:AL,4,FALSE)-50),"-",(VLOOKUP($A309,'SegEnds_NonXtal_BW#'!$A:$Z,4,FALSE)+VLOOKUP($A309,A:AL,4,FALSE)-50))</f>
        <v>162</v>
      </c>
      <c r="F309" s="3">
        <f t="shared" si="192"/>
        <v>163</v>
      </c>
      <c r="G309" s="3">
        <v>165</v>
      </c>
      <c r="H309" s="3">
        <f t="shared" si="198"/>
        <v>166</v>
      </c>
      <c r="I309" s="3">
        <f t="shared" si="198"/>
        <v>167</v>
      </c>
      <c r="J309" s="3">
        <v>180</v>
      </c>
      <c r="K309" s="3">
        <f>VLOOKUP($A309,'SegEnds_NonXtal_BW#'!$A:$Z,8,FALSE)+VLOOKUP($A309,A:AL,10,FALSE)-50</f>
        <v>194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214</v>
      </c>
      <c r="P309" s="3">
        <v>241</v>
      </c>
      <c r="Q309" s="3">
        <f>VLOOKUP($A309,'SegEnds_NonXtal_BW#'!$A:$Z,12,FALSE)+VLOOKUP($A309,A:AL,16,FALSE)-50</f>
        <v>247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254</v>
      </c>
      <c r="V309" s="3">
        <v>264</v>
      </c>
      <c r="W309" s="3">
        <f>IF(ISERROR(VLOOKUP($A309,'SegEnds_NonXtal_BW#'!$A:$Z,16,FALSE)+VLOOKUP($A309,A:AL,22,FALSE)-50),"-",(VLOOKUP($A309,'SegEnds_NonXtal_BW#'!$A:$Z,16,FALSE)+VLOOKUP($A309,A:AL,22,FALSE)-50))</f>
        <v>282</v>
      </c>
      <c r="X309" s="3">
        <f>IF(ISERROR(VLOOKUP($A309,'SegEnds_NonXtal_BW#'!$A:$Z,17,FALSE)+VLOOKUP($A309,A:AL,25,FALSE)-50),"-",(VLOOKUP($A309,'SegEnds_NonXtal_BW#'!$A:$Z,17,FALSE)+VLOOKUP($A309,A:AL,25,FALSE)-50))</f>
        <v>286</v>
      </c>
      <c r="Y309" s="3">
        <v>286</v>
      </c>
      <c r="Z309" s="3">
        <f t="shared" si="197"/>
        <v>288</v>
      </c>
      <c r="AA309" s="3">
        <f>IF(ISERROR(VLOOKUP($A309,'SegEnds_NonXtal_BW#'!$A:$Z,19,FALSE)+VLOOKUP($A309,A:AL,28,FALSE)-50),"-",(VLOOKUP($A309,'SegEnds_NonXtal_BW#'!$A:$Z,19,FALSE)+VLOOKUP($A309,A:AL,28,FALSE)-50))</f>
        <v>291</v>
      </c>
      <c r="AB309" s="3">
        <v>306</v>
      </c>
      <c r="AC309" s="3">
        <f>IF(ISERROR((VLOOKUP($A309,'SegEnds_NonXtal_BW#'!$A:$Z,20,FALSE)+VLOOKUP($A309,A:AL,28,FALSE)-50)),"-",(VLOOKUP($A309,'SegEnds_NonXtal_BW#'!$A:$Z,20,FALSE)+VLOOKUP($A309,A:AL,28,FALSE)-50))</f>
        <v>327</v>
      </c>
      <c r="AD309" s="3">
        <f>IF(ISERROR(VLOOKUP($A309,'SegEnds_NonXtal_BW#'!$A:$Z,21,FALSE)+VLOOKUP($A309,A:AL,31,FALSE)-50),"-",(VLOOKUP($A309,'SegEnds_NonXtal_BW#'!$A:$Z,21,FALSE)+VLOOKUP($A309,A:AL,31,FALSE)-50))</f>
        <v>334</v>
      </c>
      <c r="AE309" s="3">
        <v>356</v>
      </c>
      <c r="AF309" s="3">
        <f>IF(ISERROR((VLOOKUP($A309,'SegEnds_NonXtal_BW#'!$A:$Z,22,FALSE)+VLOOKUP($A309,A:AL,31,FALSE)-50)),"-",(VLOOKUP($A309,'SegEnds_NonXtal_BW#'!$A:$Z,22,FALSE)+VLOOKUP($A309,A:AL,31,FALSE)-50))</f>
        <v>359</v>
      </c>
      <c r="AG309" s="3">
        <f>IF(ISERROR(VLOOKUP($A309,'SegEnds_NonXtal_BW#'!$A:$Z,23,FALSE)+VLOOKUP($A309,A:AL,34,FALSE)-50),"-",(VLOOKUP($A309,'SegEnds_NonXtal_BW#'!$A:$Z,23,FALSE)+VLOOKUP($A309,A:AL,34,FALSE)-50))</f>
        <v>367</v>
      </c>
      <c r="AH309" s="3">
        <v>389</v>
      </c>
      <c r="AI309" s="3">
        <f>IF(ISERROR((VLOOKUP($A309,'SegEnds_NonXtal_BW#'!$A:$Z,24,FALSE)+VLOOKUP($A309,A:AL,34,FALSE)-50)),"-",(VLOOKUP($A309,'SegEnds_NonXtal_BW#'!$A:$Z,24,FALSE)+VLOOKUP($A309,A:AL,34,FALSE)-50))</f>
        <v>395</v>
      </c>
      <c r="AJ309" s="3">
        <f>IF(ISERROR(VLOOKUP($A309,'SegEnds_NonXtal_BW#'!$A:$Z,25,FALSE)+VLOOKUP($A309,A:AL,37,FALSE)-50),"-",(VLOOKUP($A309,'SegEnds_NonXtal_BW#'!$A:$Z,25,FALSE)+VLOOKUP($A309,A:AL,37,FALSE)-50))</f>
        <v>396</v>
      </c>
      <c r="AK309" s="3">
        <v>399</v>
      </c>
      <c r="AL309" s="3">
        <f>IF(ISERROR((VLOOKUP($A309,'SegEnds_NonXtal_BW#'!$A:$Z,26,FALSE)+VLOOKUP($A309,A:AL,37,FALSE)-50)),"-",(VLOOKUP($A309,'SegEnds_NonXtal_BW#'!$A:$Z,26,FALSE)+VLOOKUP($A309,A:AL,37,FALSE)-50))</f>
        <v>421</v>
      </c>
      <c r="AM309" s="28" t="str">
        <f>VLOOKUP(A309,Classification!A:B,2,FALSE)</f>
        <v>B1</v>
      </c>
      <c r="AN309" s="28" t="b">
        <f t="shared" si="188"/>
        <v>1</v>
      </c>
      <c r="AO309" s="3" t="str">
        <f>IF(ISERROR(MATCH(A309,'SegEnds_Xtal_Prot#'!B:B, 0)), "NoXtal", "Xtal")</f>
        <v>NoXtal</v>
      </c>
      <c r="AP309" s="3">
        <f t="shared" si="173"/>
        <v>1</v>
      </c>
      <c r="AQ309" s="3">
        <f t="shared" si="174"/>
        <v>1</v>
      </c>
      <c r="AR309" s="3" t="str">
        <f t="shared" si="175"/>
        <v>-</v>
      </c>
      <c r="AS309" s="3" t="str">
        <f t="shared" si="176"/>
        <v>-</v>
      </c>
      <c r="AT309" s="3" t="str">
        <f t="shared" si="177"/>
        <v>-</v>
      </c>
      <c r="AU309" s="3" t="str">
        <f t="shared" si="178"/>
        <v>-</v>
      </c>
      <c r="AV309" s="3">
        <f t="shared" si="179"/>
        <v>4</v>
      </c>
      <c r="AW309" s="3">
        <f t="shared" si="180"/>
        <v>3</v>
      </c>
      <c r="AX309" s="3">
        <f t="shared" si="181"/>
        <v>7</v>
      </c>
      <c r="AY309" s="3">
        <f t="shared" si="182"/>
        <v>8</v>
      </c>
      <c r="AZ309" s="3">
        <f t="shared" si="183"/>
        <v>1</v>
      </c>
      <c r="BA309" s="3">
        <f>IF(ISERROR(LEN(VLOOKUP(A309,Seqs!A:E,2,FALSE))-AL309),"-",LEN(VLOOKUP(A309,Seqs!A:E,2,FALSE))-AL309)</f>
        <v>45</v>
      </c>
      <c r="BB309" s="16">
        <f t="shared" si="184"/>
        <v>28</v>
      </c>
      <c r="BC309" s="9" t="str">
        <f t="shared" si="185"/>
        <v>-</v>
      </c>
      <c r="BD309" s="3">
        <f t="shared" si="186"/>
        <v>28</v>
      </c>
      <c r="BE309" s="3">
        <f t="shared" si="187"/>
        <v>50</v>
      </c>
    </row>
    <row r="310" spans="1:58" s="3" customFormat="1" x14ac:dyDescent="0.2">
      <c r="A310" s="3" t="s">
        <v>406</v>
      </c>
      <c r="B310" s="3" t="str">
        <f>LOWER(VLOOKUP(A310,Xtal_Templ!A:B,2,FALSE))</f>
        <v>glp1r_human</v>
      </c>
      <c r="C310" s="3">
        <f>VLOOKUP($A310,'SegEnds_NonXtal_BW#'!$A:$Z,3,FALSE)+D310-50</f>
        <v>138</v>
      </c>
      <c r="D310" s="3">
        <v>159</v>
      </c>
      <c r="E310" s="3">
        <f>IF(ISERROR(VLOOKUP($A310,'SegEnds_NonXtal_BW#'!$A:$Z,4,FALSE)+VLOOKUP($A310,A:AL,4,FALSE)-50),"-",(VLOOKUP($A310,'SegEnds_NonXtal_BW#'!$A:$Z,4,FALSE)+VLOOKUP($A310,A:AL,4,FALSE)-50))</f>
        <v>169</v>
      </c>
      <c r="F310" s="3">
        <f t="shared" si="192"/>
        <v>170</v>
      </c>
      <c r="G310" s="3">
        <v>172</v>
      </c>
      <c r="H310" s="3">
        <f t="shared" si="198"/>
        <v>173</v>
      </c>
      <c r="I310" s="3">
        <f t="shared" si="198"/>
        <v>174</v>
      </c>
      <c r="J310" s="3">
        <v>187</v>
      </c>
      <c r="K310" s="3">
        <f>VLOOKUP($A310,'SegEnds_NonXtal_BW#'!$A:$Z,8,FALSE)+VLOOKUP($A310,A:AL,10,FALSE)-50</f>
        <v>201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224</v>
      </c>
      <c r="P310" s="3">
        <v>251</v>
      </c>
      <c r="Q310" s="3">
        <f>VLOOKUP($A310,'SegEnds_NonXtal_BW#'!$A:$Z,12,FALSE)+VLOOKUP($A310,A:AL,16,FALSE)-50</f>
        <v>257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262</v>
      </c>
      <c r="V310" s="3">
        <v>274</v>
      </c>
      <c r="W310" s="3">
        <f>IF(ISERROR(VLOOKUP($A310,'SegEnds_NonXtal_BW#'!$A:$Z,16,FALSE)+VLOOKUP($A310,A:AL,22,FALSE)-50),"-",(VLOOKUP($A310,'SegEnds_NonXtal_BW#'!$A:$Z,16,FALSE)+VLOOKUP($A310,A:AL,22,FALSE)-50))</f>
        <v>292</v>
      </c>
      <c r="X310" s="3">
        <f>IF(ISERROR(VLOOKUP($A310,'SegEnds_NonXtal_BW#'!$A:$Z,17,FALSE)+VLOOKUP($A310,A:AL,25,FALSE)-50),"-",(VLOOKUP($A310,'SegEnds_NonXtal_BW#'!$A:$Z,17,FALSE)+VLOOKUP($A310,A:AL,25,FALSE)-50))</f>
        <v>296</v>
      </c>
      <c r="Y310" s="3">
        <v>296</v>
      </c>
      <c r="Z310" s="3">
        <f t="shared" si="197"/>
        <v>298</v>
      </c>
      <c r="AA310" s="3">
        <f>IF(ISERROR(VLOOKUP($A310,'SegEnds_NonXtal_BW#'!$A:$Z,19,FALSE)+VLOOKUP($A310,A:AL,28,FALSE)-50),"-",(VLOOKUP($A310,'SegEnds_NonXtal_BW#'!$A:$Z,19,FALSE)+VLOOKUP($A310,A:AL,28,FALSE)-50))</f>
        <v>302</v>
      </c>
      <c r="AB310" s="3">
        <v>316</v>
      </c>
      <c r="AC310" s="3">
        <f>IF(ISERROR((VLOOKUP($A310,'SegEnds_NonXtal_BW#'!$A:$Z,20,FALSE)+VLOOKUP($A310,A:AL,28,FALSE)-50)),"-",(VLOOKUP($A310,'SegEnds_NonXtal_BW#'!$A:$Z,20,FALSE)+VLOOKUP($A310,A:AL,28,FALSE)-50))</f>
        <v>337</v>
      </c>
      <c r="AD310" s="3">
        <f>IF(ISERROR(VLOOKUP($A310,'SegEnds_NonXtal_BW#'!$A:$Z,21,FALSE)+VLOOKUP($A310,A:AL,31,FALSE)-50),"-",(VLOOKUP($A310,'SegEnds_NonXtal_BW#'!$A:$Z,21,FALSE)+VLOOKUP($A310,A:AL,31,FALSE)-50))</f>
        <v>344</v>
      </c>
      <c r="AE310" s="3">
        <v>366</v>
      </c>
      <c r="AF310" s="3">
        <f>IF(ISERROR((VLOOKUP($A310,'SegEnds_NonXtal_BW#'!$A:$Z,22,FALSE)+VLOOKUP($A310,A:AL,31,FALSE)-50)),"-",(VLOOKUP($A310,'SegEnds_NonXtal_BW#'!$A:$Z,22,FALSE)+VLOOKUP($A310,A:AL,31,FALSE)-50))</f>
        <v>369</v>
      </c>
      <c r="AG310" s="3">
        <f>IF(ISERROR(VLOOKUP($A310,'SegEnds_NonXtal_BW#'!$A:$Z,23,FALSE)+VLOOKUP($A310,A:AL,34,FALSE)-50),"-",(VLOOKUP($A310,'SegEnds_NonXtal_BW#'!$A:$Z,23,FALSE)+VLOOKUP($A310,A:AL,34,FALSE)-50))</f>
        <v>377</v>
      </c>
      <c r="AH310" s="3">
        <v>399</v>
      </c>
      <c r="AI310" s="3">
        <f>IF(ISERROR((VLOOKUP($A310,'SegEnds_NonXtal_BW#'!$A:$Z,24,FALSE)+VLOOKUP($A310,A:AL,34,FALSE)-50)),"-",(VLOOKUP($A310,'SegEnds_NonXtal_BW#'!$A:$Z,24,FALSE)+VLOOKUP($A310,A:AL,34,FALSE)-50))</f>
        <v>405</v>
      </c>
      <c r="AJ310" s="3">
        <f>IF(ISERROR(VLOOKUP($A310,'SegEnds_NonXtal_BW#'!$A:$Z,25,FALSE)+VLOOKUP($A310,A:AL,37,FALSE)-50),"-",(VLOOKUP($A310,'SegEnds_NonXtal_BW#'!$A:$Z,25,FALSE)+VLOOKUP($A310,A:AL,37,FALSE)-50))</f>
        <v>406</v>
      </c>
      <c r="AK310" s="3">
        <v>409</v>
      </c>
      <c r="AL310" s="3">
        <f>IF(ISERROR((VLOOKUP($A310,'SegEnds_NonXtal_BW#'!$A:$Z,26,FALSE)+VLOOKUP($A310,A:AL,37,FALSE)-50)),"-",(VLOOKUP($A310,'SegEnds_NonXtal_BW#'!$A:$Z,26,FALSE)+VLOOKUP($A310,A:AL,37,FALSE)-50))</f>
        <v>431</v>
      </c>
      <c r="AM310" s="28" t="str">
        <f>VLOOKUP(A310,Classification!A:B,2,FALSE)</f>
        <v>B1</v>
      </c>
      <c r="AN310" s="28" t="b">
        <f t="shared" si="188"/>
        <v>1</v>
      </c>
      <c r="AO310" s="3" t="str">
        <f>IF(ISERROR(MATCH(A310,'SegEnds_Xtal_Prot#'!B:B, 0)), "NoXtal", "Xtal")</f>
        <v>Xtal</v>
      </c>
      <c r="AP310" s="3">
        <f t="shared" si="173"/>
        <v>1</v>
      </c>
      <c r="AQ310" s="3">
        <f t="shared" si="174"/>
        <v>1</v>
      </c>
      <c r="AR310" s="3" t="str">
        <f t="shared" si="175"/>
        <v>-</v>
      </c>
      <c r="AS310" s="3" t="str">
        <f t="shared" si="176"/>
        <v>-</v>
      </c>
      <c r="AT310" s="3" t="str">
        <f t="shared" si="177"/>
        <v>-</v>
      </c>
      <c r="AU310" s="3" t="str">
        <f t="shared" si="178"/>
        <v>-</v>
      </c>
      <c r="AV310" s="3">
        <f t="shared" si="179"/>
        <v>4</v>
      </c>
      <c r="AW310" s="3">
        <f t="shared" si="180"/>
        <v>4</v>
      </c>
      <c r="AX310" s="3">
        <f t="shared" si="181"/>
        <v>7</v>
      </c>
      <c r="AY310" s="3">
        <f t="shared" si="182"/>
        <v>8</v>
      </c>
      <c r="AZ310" s="3">
        <f t="shared" si="183"/>
        <v>1</v>
      </c>
      <c r="BA310" s="3">
        <f>IF(ISERROR(LEN(VLOOKUP(A310,Seqs!A:E,2,FALSE))-AL310),"-",LEN(VLOOKUP(A310,Seqs!A:E,2,FALSE))-AL310)</f>
        <v>32</v>
      </c>
      <c r="BB310" s="16">
        <f t="shared" si="184"/>
        <v>28</v>
      </c>
      <c r="BC310" s="9" t="str">
        <f t="shared" si="185"/>
        <v>-</v>
      </c>
      <c r="BD310" s="3">
        <f t="shared" si="186"/>
        <v>28</v>
      </c>
      <c r="BE310" s="3">
        <f t="shared" si="187"/>
        <v>50</v>
      </c>
    </row>
    <row r="311" spans="1:58" s="3" customFormat="1" x14ac:dyDescent="0.2">
      <c r="A311" s="3" t="s">
        <v>407</v>
      </c>
      <c r="B311" s="3" t="str">
        <f>LOWER(VLOOKUP(A311,Xtal_Templ!A:B,2,FALSE))</f>
        <v>glr_human</v>
      </c>
      <c r="C311" s="3">
        <f>VLOOKUP($A311,'SegEnds_NonXtal_BW#'!$A:$Z,3,FALSE)+D311-50</f>
        <v>168</v>
      </c>
      <c r="D311" s="3">
        <v>193</v>
      </c>
      <c r="E311" s="3">
        <f>IF(ISERROR(VLOOKUP($A311,'SegEnds_NonXtal_BW#'!$A:$Z,4,FALSE)+VLOOKUP($A311,A:AL,4,FALSE)-50),"-",(VLOOKUP($A311,'SegEnds_NonXtal_BW#'!$A:$Z,4,FALSE)+VLOOKUP($A311,A:AL,4,FALSE)-50))</f>
        <v>203</v>
      </c>
      <c r="F311" s="3">
        <f t="shared" si="192"/>
        <v>204</v>
      </c>
      <c r="G311" s="3">
        <v>206</v>
      </c>
      <c r="H311" s="3">
        <f t="shared" si="198"/>
        <v>207</v>
      </c>
      <c r="I311" s="3">
        <f t="shared" si="198"/>
        <v>208</v>
      </c>
      <c r="J311" s="3">
        <v>221</v>
      </c>
      <c r="K311" s="3">
        <f>VLOOKUP($A311,'SegEnds_NonXtal_BW#'!$A:$Z,8,FALSE)+VLOOKUP($A311,A:AL,10,FALSE)-50</f>
        <v>235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258</v>
      </c>
      <c r="P311" s="3">
        <v>285</v>
      </c>
      <c r="Q311" s="3">
        <f>VLOOKUP($A311,'SegEnds_NonXtal_BW#'!$A:$Z,12,FALSE)+VLOOKUP($A311,A:AL,16,FALSE)-50</f>
        <v>291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298</v>
      </c>
      <c r="V311" s="3">
        <v>308</v>
      </c>
      <c r="W311" s="3">
        <f>IF(ISERROR(VLOOKUP($A311,'SegEnds_NonXtal_BW#'!$A:$Z,16,FALSE)+VLOOKUP($A311,A:AL,22,FALSE)-50),"-",(VLOOKUP($A311,'SegEnds_NonXtal_BW#'!$A:$Z,16,FALSE)+VLOOKUP($A311,A:AL,22,FALSE)-50))</f>
        <v>326</v>
      </c>
      <c r="X311" s="3">
        <f>IF(ISERROR(VLOOKUP($A311,'SegEnds_NonXtal_BW#'!$A:$Z,17,FALSE)+VLOOKUP($A311,A:AL,25,FALSE)-50),"-",(VLOOKUP($A311,'SegEnds_NonXtal_BW#'!$A:$Z,17,FALSE)+VLOOKUP($A311,A:AL,25,FALSE)-50))</f>
        <v>330</v>
      </c>
      <c r="Y311" s="3">
        <v>330</v>
      </c>
      <c r="Z311" s="3">
        <f t="shared" si="197"/>
        <v>332</v>
      </c>
      <c r="AA311" s="3">
        <f>IF(ISERROR(VLOOKUP($A311,'SegEnds_NonXtal_BW#'!$A:$Z,19,FALSE)+VLOOKUP($A311,A:AL,28,FALSE)-50),"-",(VLOOKUP($A311,'SegEnds_NonXtal_BW#'!$A:$Z,19,FALSE)+VLOOKUP($A311,A:AL,28,FALSE)-50))</f>
        <v>335</v>
      </c>
      <c r="AB311" s="3">
        <v>350</v>
      </c>
      <c r="AC311" s="3">
        <f>IF(ISERROR((VLOOKUP($A311,'SegEnds_NonXtal_BW#'!$A:$Z,20,FALSE)+VLOOKUP($A311,A:AL,28,FALSE)-50)),"-",(VLOOKUP($A311,'SegEnds_NonXtal_BW#'!$A:$Z,20,FALSE)+VLOOKUP($A311,A:AL,28,FALSE)-50))</f>
        <v>371</v>
      </c>
      <c r="AD311" s="3">
        <f>IF(ISERROR(VLOOKUP($A311,'SegEnds_NonXtal_BW#'!$A:$Z,21,FALSE)+VLOOKUP($A311,A:AL,31,FALSE)-50),"-",(VLOOKUP($A311,'SegEnds_NonXtal_BW#'!$A:$Z,21,FALSE)+VLOOKUP($A311,A:AL,31,FALSE)-50))</f>
        <v>378</v>
      </c>
      <c r="AE311" s="3">
        <v>400</v>
      </c>
      <c r="AF311" s="3">
        <f>IF(ISERROR((VLOOKUP($A311,'SegEnds_NonXtal_BW#'!$A:$Z,22,FALSE)+VLOOKUP($A311,A:AL,31,FALSE)-50)),"-",(VLOOKUP($A311,'SegEnds_NonXtal_BW#'!$A:$Z,22,FALSE)+VLOOKUP($A311,A:AL,31,FALSE)-50))</f>
        <v>403</v>
      </c>
      <c r="AG311" s="3">
        <f>IF(ISERROR(VLOOKUP($A311,'SegEnds_NonXtal_BW#'!$A:$Z,23,FALSE)+VLOOKUP($A311,A:AL,34,FALSE)-50),"-",(VLOOKUP($A311,'SegEnds_NonXtal_BW#'!$A:$Z,23,FALSE)+VLOOKUP($A311,A:AL,34,FALSE)-50))</f>
        <v>411</v>
      </c>
      <c r="AH311" s="3">
        <v>433</v>
      </c>
      <c r="AI311" s="3">
        <f>IF(ISERROR((VLOOKUP($A311,'SegEnds_NonXtal_BW#'!$A:$Z,24,FALSE)+VLOOKUP($A311,A:AL,34,FALSE)-50)),"-",(VLOOKUP($A311,'SegEnds_NonXtal_BW#'!$A:$Z,24,FALSE)+VLOOKUP($A311,A:AL,34,FALSE)-50))</f>
        <v>439</v>
      </c>
      <c r="AJ311" s="3">
        <f>IF(ISERROR(VLOOKUP($A311,'SegEnds_NonXtal_BW#'!$A:$Z,25,FALSE)+VLOOKUP($A311,A:AL,37,FALSE)-50),"-",(VLOOKUP($A311,'SegEnds_NonXtal_BW#'!$A:$Z,25,FALSE)+VLOOKUP($A311,A:AL,37,FALSE)-50))</f>
        <v>440</v>
      </c>
      <c r="AK311" s="3">
        <v>443</v>
      </c>
      <c r="AL311" s="3">
        <f>IF(ISERROR((VLOOKUP($A311,'SegEnds_NonXtal_BW#'!$A:$Z,26,FALSE)+VLOOKUP($A311,A:AL,37,FALSE)-50)),"-",(VLOOKUP($A311,'SegEnds_NonXtal_BW#'!$A:$Z,26,FALSE)+VLOOKUP($A311,A:AL,37,FALSE)-50))</f>
        <v>465</v>
      </c>
      <c r="AM311" s="28" t="str">
        <f>VLOOKUP(A311,Classification!A:B,2,FALSE)</f>
        <v>B1</v>
      </c>
      <c r="AN311" s="28" t="b">
        <f t="shared" si="188"/>
        <v>1</v>
      </c>
      <c r="AO311" s="3" t="str">
        <f>IF(ISERROR(MATCH(A311,'SegEnds_Xtal_Prot#'!B:B, 0)), "NoXtal", "Xtal")</f>
        <v>NoXtal</v>
      </c>
      <c r="AP311" s="3">
        <f t="shared" si="173"/>
        <v>1</v>
      </c>
      <c r="AQ311" s="3">
        <f t="shared" si="174"/>
        <v>1</v>
      </c>
      <c r="AR311" s="3" t="str">
        <f t="shared" si="175"/>
        <v>-</v>
      </c>
      <c r="AS311" s="3" t="str">
        <f t="shared" si="176"/>
        <v>-</v>
      </c>
      <c r="AT311" s="3" t="str">
        <f t="shared" si="177"/>
        <v>-</v>
      </c>
      <c r="AU311" s="3" t="str">
        <f t="shared" si="178"/>
        <v>-</v>
      </c>
      <c r="AV311" s="3">
        <f t="shared" si="179"/>
        <v>4</v>
      </c>
      <c r="AW311" s="3">
        <f t="shared" si="180"/>
        <v>3</v>
      </c>
      <c r="AX311" s="3">
        <f t="shared" si="181"/>
        <v>7</v>
      </c>
      <c r="AY311" s="3">
        <f t="shared" si="182"/>
        <v>8</v>
      </c>
      <c r="AZ311" s="3">
        <f t="shared" si="183"/>
        <v>1</v>
      </c>
      <c r="BA311" s="3">
        <f>IF(ISERROR(LEN(VLOOKUP(A311,Seqs!A:E,2,FALSE))-AL311),"-",LEN(VLOOKUP(A311,Seqs!A:E,2,FALSE))-AL311)</f>
        <v>88</v>
      </c>
      <c r="BB311" s="16">
        <f t="shared" si="184"/>
        <v>28</v>
      </c>
      <c r="BC311" s="9" t="str">
        <f t="shared" si="185"/>
        <v>-</v>
      </c>
      <c r="BD311" s="3">
        <f t="shared" si="186"/>
        <v>28</v>
      </c>
      <c r="BE311" s="3">
        <f t="shared" si="187"/>
        <v>50</v>
      </c>
    </row>
    <row r="312" spans="1:58" s="3" customFormat="1" x14ac:dyDescent="0.2">
      <c r="A312" s="3" t="s">
        <v>32</v>
      </c>
      <c r="B312" s="3" t="str">
        <f>LOWER(VLOOKUP(A312,Xtal_Templ!A:B,2,FALSE))</f>
        <v>glr_human</v>
      </c>
      <c r="C312" s="3">
        <f>VLOOKUP($A312,'SegEnds_NonXtal_BW#'!$A:$Z,3,FALSE)+D312-50</f>
        <v>131</v>
      </c>
      <c r="D312" s="3">
        <v>156</v>
      </c>
      <c r="E312" s="3">
        <f>IF(ISERROR(VLOOKUP($A312,'SegEnds_NonXtal_BW#'!$A:$Z,4,FALSE)+VLOOKUP($A312,A:AL,4,FALSE)-50),"-",(VLOOKUP($A312,'SegEnds_NonXtal_BW#'!$A:$Z,4,FALSE)+VLOOKUP($A312,A:AL,4,FALSE)-50))</f>
        <v>166</v>
      </c>
      <c r="F312" s="3">
        <f t="shared" si="192"/>
        <v>167</v>
      </c>
      <c r="G312" s="3">
        <v>169</v>
      </c>
      <c r="H312" s="3">
        <f t="shared" si="198"/>
        <v>170</v>
      </c>
      <c r="I312" s="3">
        <f t="shared" si="198"/>
        <v>171</v>
      </c>
      <c r="J312" s="3">
        <v>184</v>
      </c>
      <c r="K312" s="3">
        <f>VLOOKUP($A312,'SegEnds_NonXtal_BW#'!$A:$Z,8,FALSE)+VLOOKUP($A312,A:AL,10,FALSE)-50</f>
        <v>203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220</v>
      </c>
      <c r="P312" s="3">
        <v>249</v>
      </c>
      <c r="Q312" s="3">
        <f>VLOOKUP($A312,'SegEnds_NonXtal_BW#'!$A:$Z,12,FALSE)+VLOOKUP($A312,A:AL,16,FALSE)-50</f>
        <v>255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262</v>
      </c>
      <c r="V312" s="3">
        <v>272</v>
      </c>
      <c r="W312" s="3">
        <f>IF(ISERROR(VLOOKUP($A312,'SegEnds_NonXtal_BW#'!$A:$Z,16,FALSE)+VLOOKUP($A312,A:AL,22,FALSE)-50),"-",(VLOOKUP($A312,'SegEnds_NonXtal_BW#'!$A:$Z,16,FALSE)+VLOOKUP($A312,A:AL,22,FALSE)-50))</f>
        <v>290</v>
      </c>
      <c r="X312" s="3">
        <f>IF(ISERROR(VLOOKUP($A312,'SegEnds_NonXtal_BW#'!$A:$Z,17,FALSE)+VLOOKUP($A312,A:AL,25,FALSE)-50),"-",(VLOOKUP($A312,'SegEnds_NonXtal_BW#'!$A:$Z,17,FALSE)+VLOOKUP($A312,A:AL,25,FALSE)-50))</f>
        <v>294</v>
      </c>
      <c r="Y312" s="3">
        <v>294</v>
      </c>
      <c r="Z312" s="3">
        <f t="shared" si="197"/>
        <v>296</v>
      </c>
      <c r="AA312" s="3">
        <f>IF(ISERROR(VLOOKUP($A312,'SegEnds_NonXtal_BW#'!$A:$Z,19,FALSE)+VLOOKUP($A312,A:AL,28,FALSE)-50),"-",(VLOOKUP($A312,'SegEnds_NonXtal_BW#'!$A:$Z,19,FALSE)+VLOOKUP($A312,A:AL,28,FALSE)-50))</f>
        <v>299</v>
      </c>
      <c r="AB312" s="3">
        <v>314</v>
      </c>
      <c r="AC312" s="3">
        <f>IF(ISERROR((VLOOKUP($A312,'SegEnds_NonXtal_BW#'!$A:$Z,20,FALSE)+VLOOKUP($A312,A:AL,28,FALSE)-50)),"-",(VLOOKUP($A312,'SegEnds_NonXtal_BW#'!$A:$Z,20,FALSE)+VLOOKUP($A312,A:AL,28,FALSE)-50))</f>
        <v>335</v>
      </c>
      <c r="AD312" s="3">
        <f>IF(ISERROR(VLOOKUP($A312,'SegEnds_NonXtal_BW#'!$A:$Z,21,FALSE)+VLOOKUP($A312,A:AL,31,FALSE)-50),"-",(VLOOKUP($A312,'SegEnds_NonXtal_BW#'!$A:$Z,21,FALSE)+VLOOKUP($A312,A:AL,31,FALSE)-50))</f>
        <v>342</v>
      </c>
      <c r="AE312" s="3">
        <v>364</v>
      </c>
      <c r="AF312" s="3">
        <f>IF(ISERROR((VLOOKUP($A312,'SegEnds_NonXtal_BW#'!$A:$Z,22,FALSE)+VLOOKUP($A312,A:AL,31,FALSE)-50)),"-",(VLOOKUP($A312,'SegEnds_NonXtal_BW#'!$A:$Z,22,FALSE)+VLOOKUP($A312,A:AL,31,FALSE)-50))</f>
        <v>367</v>
      </c>
      <c r="AG312" s="3">
        <f>IF(ISERROR(VLOOKUP($A312,'SegEnds_NonXtal_BW#'!$A:$Z,23,FALSE)+VLOOKUP($A312,A:AL,34,FALSE)-50),"-",(VLOOKUP($A312,'SegEnds_NonXtal_BW#'!$A:$Z,23,FALSE)+VLOOKUP($A312,A:AL,34,FALSE)-50))</f>
        <v>374</v>
      </c>
      <c r="AH312" s="3">
        <v>397</v>
      </c>
      <c r="AI312" s="3">
        <f>IF(ISERROR((VLOOKUP($A312,'SegEnds_NonXtal_BW#'!$A:$Z,24,FALSE)+VLOOKUP($A312,A:AL,34,FALSE)-50)),"-",(VLOOKUP($A312,'SegEnds_NonXtal_BW#'!$A:$Z,24,FALSE)+VLOOKUP($A312,A:AL,34,FALSE)-50))</f>
        <v>403</v>
      </c>
      <c r="AJ312" s="3">
        <f>IF(ISERROR(VLOOKUP($A312,'SegEnds_NonXtal_BW#'!$A:$Z,25,FALSE)+VLOOKUP($A312,A:AL,37,FALSE)-50),"-",(VLOOKUP($A312,'SegEnds_NonXtal_BW#'!$A:$Z,25,FALSE)+VLOOKUP($A312,A:AL,37,FALSE)-50))</f>
        <v>404</v>
      </c>
      <c r="AK312" s="3">
        <v>407</v>
      </c>
      <c r="AL312" s="3">
        <f>IF(ISERROR((VLOOKUP($A312,'SegEnds_NonXtal_BW#'!$A:$Z,26,FALSE)+VLOOKUP($A312,A:AL,37,FALSE)-50)),"-",(VLOOKUP($A312,'SegEnds_NonXtal_BW#'!$A:$Z,26,FALSE)+VLOOKUP($A312,A:AL,37,FALSE)-50))</f>
        <v>429</v>
      </c>
      <c r="AM312" s="28" t="str">
        <f>VLOOKUP(A312,Classification!A:B,2,FALSE)</f>
        <v>B1</v>
      </c>
      <c r="AN312" s="28" t="b">
        <f t="shared" si="188"/>
        <v>1</v>
      </c>
      <c r="AO312" s="3" t="str">
        <f>IF(ISERROR(MATCH(A312,'SegEnds_Xtal_Prot#'!B:B, 0)), "NoXtal", "Xtal")</f>
        <v>Xtal</v>
      </c>
      <c r="AP312" s="3">
        <f t="shared" si="173"/>
        <v>1</v>
      </c>
      <c r="AQ312" s="3">
        <f t="shared" si="174"/>
        <v>1</v>
      </c>
      <c r="AR312" s="3" t="str">
        <f t="shared" si="175"/>
        <v>-</v>
      </c>
      <c r="AS312" s="3" t="str">
        <f t="shared" si="176"/>
        <v>-</v>
      </c>
      <c r="AT312" s="3" t="str">
        <f t="shared" si="177"/>
        <v>-</v>
      </c>
      <c r="AU312" s="3" t="str">
        <f t="shared" si="178"/>
        <v>-</v>
      </c>
      <c r="AV312" s="3">
        <f t="shared" si="179"/>
        <v>4</v>
      </c>
      <c r="AW312" s="3">
        <f t="shared" si="180"/>
        <v>3</v>
      </c>
      <c r="AX312" s="3">
        <f t="shared" si="181"/>
        <v>7</v>
      </c>
      <c r="AY312" s="3">
        <f t="shared" si="182"/>
        <v>7</v>
      </c>
      <c r="AZ312" s="3">
        <f t="shared" si="183"/>
        <v>1</v>
      </c>
      <c r="BA312" s="3">
        <f>IF(ISERROR(LEN(VLOOKUP(A312,Seqs!A:E,2,FALSE))-AL312),"-",LEN(VLOOKUP(A312,Seqs!A:E,2,FALSE))-AL312)</f>
        <v>48</v>
      </c>
      <c r="BB312" s="16">
        <f t="shared" si="184"/>
        <v>28</v>
      </c>
      <c r="BC312" s="9" t="str">
        <f t="shared" si="185"/>
        <v>-</v>
      </c>
      <c r="BD312" s="3">
        <f t="shared" si="186"/>
        <v>28</v>
      </c>
      <c r="BE312" s="3">
        <f t="shared" si="187"/>
        <v>50</v>
      </c>
    </row>
    <row r="313" spans="1:58" s="3" customFormat="1" x14ac:dyDescent="0.2">
      <c r="A313" s="3" t="s">
        <v>408</v>
      </c>
      <c r="B313" s="3" t="str">
        <f>LOWER(VLOOKUP(A313,Xtal_Templ!A:B,2,FALSE))</f>
        <v>pacr_human</v>
      </c>
      <c r="C313" s="3">
        <f>VLOOKUP($A313,'SegEnds_NonXtal_BW#'!$A:$Z,3,FALSE)+D313-50</f>
        <v>139</v>
      </c>
      <c r="D313" s="3">
        <v>168</v>
      </c>
      <c r="E313" s="3">
        <f>IF(ISERROR(VLOOKUP($A313,'SegEnds_NonXtal_BW#'!$A:$Z,4,FALSE)+VLOOKUP($A313,A:AL,4,FALSE)-50),"-",(VLOOKUP($A313,'SegEnds_NonXtal_BW#'!$A:$Z,4,FALSE)+VLOOKUP($A313,A:AL,4,FALSE)-50))</f>
        <v>178</v>
      </c>
      <c r="F313" s="3">
        <f t="shared" si="192"/>
        <v>179</v>
      </c>
      <c r="G313" s="3">
        <v>181</v>
      </c>
      <c r="H313" s="3">
        <f t="shared" si="198"/>
        <v>182</v>
      </c>
      <c r="I313" s="3">
        <f t="shared" si="198"/>
        <v>183</v>
      </c>
      <c r="J313" s="3">
        <v>196</v>
      </c>
      <c r="K313" s="3">
        <f>VLOOKUP($A313,'SegEnds_NonXtal_BW#'!$A:$Z,8,FALSE)+VLOOKUP($A313,A:AL,10,FALSE)-50</f>
        <v>210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223</v>
      </c>
      <c r="P313" s="3">
        <v>251</v>
      </c>
      <c r="Q313" s="3">
        <f>VLOOKUP($A313,'SegEnds_NonXtal_BW#'!$A:$Z,12,FALSE)+VLOOKUP($A313,A:AL,16,FALSE)-50</f>
        <v>257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264</v>
      </c>
      <c r="V313" s="3">
        <v>274</v>
      </c>
      <c r="W313" s="3">
        <f>IF(ISERROR(VLOOKUP($A313,'SegEnds_NonXtal_BW#'!$A:$Z,16,FALSE)+VLOOKUP($A313,A:AL,22,FALSE)-50),"-",(VLOOKUP($A313,'SegEnds_NonXtal_BW#'!$A:$Z,16,FALSE)+VLOOKUP($A313,A:AL,22,FALSE)-50))</f>
        <v>292</v>
      </c>
      <c r="X313" s="3">
        <f>IF(ISERROR(VLOOKUP($A313,'SegEnds_NonXtal_BW#'!$A:$Z,17,FALSE)+VLOOKUP($A313,A:AL,25,FALSE)-50),"-",(VLOOKUP($A313,'SegEnds_NonXtal_BW#'!$A:$Z,17,FALSE)+VLOOKUP($A313,A:AL,25,FALSE)-50))</f>
        <v>296</v>
      </c>
      <c r="Y313" s="3">
        <v>296</v>
      </c>
      <c r="Z313" s="3">
        <f t="shared" si="197"/>
        <v>298</v>
      </c>
      <c r="AA313" s="3">
        <f>IF(ISERROR(VLOOKUP($A313,'SegEnds_NonXtal_BW#'!$A:$Z,19,FALSE)+VLOOKUP($A313,A:AL,28,FALSE)-50),"-",(VLOOKUP($A313,'SegEnds_NonXtal_BW#'!$A:$Z,19,FALSE)+VLOOKUP($A313,A:AL,28,FALSE)-50))</f>
        <v>302</v>
      </c>
      <c r="AB313" s="3">
        <v>316</v>
      </c>
      <c r="AC313" s="3">
        <f>IF(ISERROR((VLOOKUP($A313,'SegEnds_NonXtal_BW#'!$A:$Z,20,FALSE)+VLOOKUP($A313,A:AL,28,FALSE)-50)),"-",(VLOOKUP($A313,'SegEnds_NonXtal_BW#'!$A:$Z,20,FALSE)+VLOOKUP($A313,A:AL,28,FALSE)-50))</f>
        <v>335</v>
      </c>
      <c r="AD313" s="3">
        <f>IF(ISERROR(VLOOKUP($A313,'SegEnds_NonXtal_BW#'!$A:$Z,21,FALSE)+VLOOKUP($A313,A:AL,31,FALSE)-50),"-",(VLOOKUP($A313,'SegEnds_NonXtal_BW#'!$A:$Z,21,FALSE)+VLOOKUP($A313,A:AL,31,FALSE)-50))</f>
        <v>343</v>
      </c>
      <c r="AE313" s="3">
        <v>368</v>
      </c>
      <c r="AF313" s="3">
        <f>IF(ISERROR((VLOOKUP($A313,'SegEnds_NonXtal_BW#'!$A:$Z,22,FALSE)+VLOOKUP($A313,A:AL,31,FALSE)-50)),"-",(VLOOKUP($A313,'SegEnds_NonXtal_BW#'!$A:$Z,22,FALSE)+VLOOKUP($A313,A:AL,31,FALSE)-50))</f>
        <v>372</v>
      </c>
      <c r="AG313" s="3">
        <f>IF(ISERROR(VLOOKUP($A313,'SegEnds_NonXtal_BW#'!$A:$Z,23,FALSE)+VLOOKUP($A313,A:AL,34,FALSE)-50),"-",(VLOOKUP($A313,'SegEnds_NonXtal_BW#'!$A:$Z,23,FALSE)+VLOOKUP($A313,A:AL,34,FALSE)-50))</f>
        <v>378</v>
      </c>
      <c r="AH313" s="3">
        <v>397</v>
      </c>
      <c r="AI313" s="3">
        <f>IF(ISERROR((VLOOKUP($A313,'SegEnds_NonXtal_BW#'!$A:$Z,24,FALSE)+VLOOKUP($A313,A:AL,34,FALSE)-50)),"-",(VLOOKUP($A313,'SegEnds_NonXtal_BW#'!$A:$Z,24,FALSE)+VLOOKUP($A313,A:AL,34,FALSE)-50))</f>
        <v>403</v>
      </c>
      <c r="AJ313" s="3">
        <f>IF(ISERROR(VLOOKUP($A313,'SegEnds_NonXtal_BW#'!$A:$Z,25,FALSE)+VLOOKUP($A313,A:AL,37,FALSE)-50),"-",(VLOOKUP($A313,'SegEnds_NonXtal_BW#'!$A:$Z,25,FALSE)+VLOOKUP($A313,A:AL,37,FALSE)-50))</f>
        <v>404</v>
      </c>
      <c r="AK313" s="3">
        <v>407</v>
      </c>
      <c r="AL313" s="3">
        <f>IF(ISERROR((VLOOKUP($A313,'SegEnds_NonXtal_BW#'!$A:$Z,26,FALSE)+VLOOKUP($A313,A:AL,37,FALSE)-50)),"-",(VLOOKUP($A313,'SegEnds_NonXtal_BW#'!$A:$Z,26,FALSE)+VLOOKUP($A313,A:AL,37,FALSE)-50))</f>
        <v>429</v>
      </c>
      <c r="AM313" s="28" t="str">
        <f>VLOOKUP(A313,Classification!A:B,2,FALSE)</f>
        <v>B1</v>
      </c>
      <c r="AN313" s="28" t="b">
        <f t="shared" si="188"/>
        <v>1</v>
      </c>
      <c r="AO313" s="3" t="str">
        <f>IF(ISERROR(MATCH(A313,'SegEnds_Xtal_Prot#'!B:B, 0)), "NoXtal", "Xtal")</f>
        <v>Xtal</v>
      </c>
      <c r="AP313" s="3">
        <f t="shared" si="173"/>
        <v>1</v>
      </c>
      <c r="AQ313" s="3">
        <f t="shared" si="174"/>
        <v>1</v>
      </c>
      <c r="AR313" s="3" t="str">
        <f t="shared" si="175"/>
        <v>-</v>
      </c>
      <c r="AS313" s="3" t="str">
        <f t="shared" si="176"/>
        <v>-</v>
      </c>
      <c r="AT313" s="3" t="str">
        <f t="shared" si="177"/>
        <v>-</v>
      </c>
      <c r="AU313" s="3" t="str">
        <f t="shared" si="178"/>
        <v>-</v>
      </c>
      <c r="AV313" s="3">
        <f t="shared" si="179"/>
        <v>4</v>
      </c>
      <c r="AW313" s="3">
        <f t="shared" si="180"/>
        <v>4</v>
      </c>
      <c r="AX313" s="3">
        <f t="shared" si="181"/>
        <v>8</v>
      </c>
      <c r="AY313" s="3">
        <f t="shared" si="182"/>
        <v>6</v>
      </c>
      <c r="AZ313" s="3">
        <f t="shared" si="183"/>
        <v>1</v>
      </c>
      <c r="BA313" s="3">
        <f>IF(ISERROR(LEN(VLOOKUP(A313,Seqs!A:E,2,FALSE))-AL313),"-",LEN(VLOOKUP(A313,Seqs!A:E,2,FALSE))-AL313)</f>
        <v>39</v>
      </c>
      <c r="BB313" s="16">
        <f t="shared" si="184"/>
        <v>28</v>
      </c>
      <c r="BC313" s="9" t="str">
        <f t="shared" si="185"/>
        <v>-</v>
      </c>
      <c r="BD313" s="3">
        <f t="shared" si="186"/>
        <v>28</v>
      </c>
      <c r="BE313" s="3">
        <f t="shared" si="187"/>
        <v>52</v>
      </c>
    </row>
    <row r="314" spans="1:58" s="3" customFormat="1" x14ac:dyDescent="0.2">
      <c r="A314" s="3" t="s">
        <v>409</v>
      </c>
      <c r="B314" s="3" t="str">
        <f>LOWER(VLOOKUP(A314,Xtal_Templ!A:B,2,FALSE))</f>
        <v>pth1r_human</v>
      </c>
      <c r="C314" s="3">
        <f>VLOOKUP($A314,'SegEnds_NonXtal_BW#'!$A:$Z,3,FALSE)+D314-50</f>
        <v>173</v>
      </c>
      <c r="D314" s="3">
        <v>202</v>
      </c>
      <c r="E314" s="3">
        <f>IF(ISERROR(VLOOKUP($A314,'SegEnds_NonXtal_BW#'!$A:$Z,4,FALSE)+VLOOKUP($A314,A:AL,4,FALSE)-50),"-",(VLOOKUP($A314,'SegEnds_NonXtal_BW#'!$A:$Z,4,FALSE)+VLOOKUP($A314,A:AL,4,FALSE)-50))</f>
        <v>212</v>
      </c>
      <c r="F314" s="3">
        <f t="shared" si="192"/>
        <v>213</v>
      </c>
      <c r="G314" s="3">
        <v>215</v>
      </c>
      <c r="H314" s="3">
        <f t="shared" si="198"/>
        <v>216</v>
      </c>
      <c r="I314" s="3">
        <f t="shared" si="198"/>
        <v>217</v>
      </c>
      <c r="J314" s="3">
        <v>230</v>
      </c>
      <c r="K314" s="3">
        <f>VLOOKUP($A314,'SegEnds_NonXtal_BW#'!$A:$Z,8,FALSE)+VLOOKUP($A314,A:AL,10,FALSE)-50</f>
        <v>249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277</v>
      </c>
      <c r="P314" s="3">
        <v>306</v>
      </c>
      <c r="Q314" s="3">
        <f>VLOOKUP($A314,'SegEnds_NonXtal_BW#'!$A:$Z,12,FALSE)+VLOOKUP($A314,A:AL,16,FALSE)-50</f>
        <v>312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316</v>
      </c>
      <c r="V314" s="3">
        <v>329</v>
      </c>
      <c r="W314" s="3">
        <f>IF(ISERROR(VLOOKUP($A314,'SegEnds_NonXtal_BW#'!$A:$Z,16,FALSE)+VLOOKUP($A314,A:AL,22,FALSE)-50),"-",(VLOOKUP($A314,'SegEnds_NonXtal_BW#'!$A:$Z,16,FALSE)+VLOOKUP($A314,A:AL,22,FALSE)-50))</f>
        <v>347</v>
      </c>
      <c r="X314" s="3">
        <f>IF(ISERROR(VLOOKUP($A314,'SegEnds_NonXtal_BW#'!$A:$Z,17,FALSE)+VLOOKUP($A314,A:AL,25,FALSE)-50),"-",(VLOOKUP($A314,'SegEnds_NonXtal_BW#'!$A:$Z,17,FALSE)+VLOOKUP($A314,A:AL,25,FALSE)-50))</f>
        <v>351</v>
      </c>
      <c r="Y314" s="3">
        <v>351</v>
      </c>
      <c r="Z314" s="3">
        <f t="shared" si="197"/>
        <v>353</v>
      </c>
      <c r="AA314" s="3">
        <f>IF(ISERROR(VLOOKUP($A314,'SegEnds_NonXtal_BW#'!$A:$Z,19,FALSE)+VLOOKUP($A314,A:AL,28,FALSE)-50),"-",(VLOOKUP($A314,'SegEnds_NonXtal_BW#'!$A:$Z,19,FALSE)+VLOOKUP($A314,A:AL,28,FALSE)-50))</f>
        <v>357</v>
      </c>
      <c r="AB314" s="3">
        <v>370</v>
      </c>
      <c r="AC314" s="3">
        <f>IF(ISERROR((VLOOKUP($A314,'SegEnds_NonXtal_BW#'!$A:$Z,20,FALSE)+VLOOKUP($A314,A:AL,28,FALSE)-50)),"-",(VLOOKUP($A314,'SegEnds_NonXtal_BW#'!$A:$Z,20,FALSE)+VLOOKUP($A314,A:AL,28,FALSE)-50))</f>
        <v>389</v>
      </c>
      <c r="AD314" s="3">
        <f>IF(ISERROR(VLOOKUP($A314,'SegEnds_NonXtal_BW#'!$A:$Z,21,FALSE)+VLOOKUP($A314,A:AL,31,FALSE)-50),"-",(VLOOKUP($A314,'SegEnds_NonXtal_BW#'!$A:$Z,21,FALSE)+VLOOKUP($A314,A:AL,31,FALSE)-50))</f>
        <v>398</v>
      </c>
      <c r="AE314" s="3">
        <v>423</v>
      </c>
      <c r="AF314" s="3">
        <f>IF(ISERROR((VLOOKUP($A314,'SegEnds_NonXtal_BW#'!$A:$Z,22,FALSE)+VLOOKUP($A314,A:AL,31,FALSE)-50)),"-",(VLOOKUP($A314,'SegEnds_NonXtal_BW#'!$A:$Z,22,FALSE)+VLOOKUP($A314,A:AL,31,FALSE)-50))</f>
        <v>427</v>
      </c>
      <c r="AG314" s="3">
        <f>IF(ISERROR(VLOOKUP($A314,'SegEnds_NonXtal_BW#'!$A:$Z,23,FALSE)+VLOOKUP($A314,A:AL,34,FALSE)-50),"-",(VLOOKUP($A314,'SegEnds_NonXtal_BW#'!$A:$Z,23,FALSE)+VLOOKUP($A314,A:AL,34,FALSE)-50))</f>
        <v>434</v>
      </c>
      <c r="AH314" s="3">
        <v>456</v>
      </c>
      <c r="AI314" s="3">
        <f>IF(ISERROR((VLOOKUP($A314,'SegEnds_NonXtal_BW#'!$A:$Z,24,FALSE)+VLOOKUP($A314,A:AL,34,FALSE)-50)),"-",(VLOOKUP($A314,'SegEnds_NonXtal_BW#'!$A:$Z,24,FALSE)+VLOOKUP($A314,A:AL,34,FALSE)-50))</f>
        <v>462</v>
      </c>
      <c r="AJ314" s="3">
        <f>IF(ISERROR(VLOOKUP($A314,'SegEnds_NonXtal_BW#'!$A:$Z,25,FALSE)+VLOOKUP($A314,A:AL,37,FALSE)-50),"-",(VLOOKUP($A314,'SegEnds_NonXtal_BW#'!$A:$Z,25,FALSE)+VLOOKUP($A314,A:AL,37,FALSE)-50))</f>
        <v>463</v>
      </c>
      <c r="AK314" s="3">
        <v>466</v>
      </c>
      <c r="AL314" s="3">
        <f>IF(ISERROR((VLOOKUP($A314,'SegEnds_NonXtal_BW#'!$A:$Z,26,FALSE)+VLOOKUP($A314,A:AL,37,FALSE)-50)),"-",(VLOOKUP($A314,'SegEnds_NonXtal_BW#'!$A:$Z,26,FALSE)+VLOOKUP($A314,A:AL,37,FALSE)-50))</f>
        <v>488</v>
      </c>
      <c r="AM314" s="28" t="str">
        <f>VLOOKUP(A314,Classification!A:B,2,FALSE)</f>
        <v>B1</v>
      </c>
      <c r="AN314" s="28" t="b">
        <f t="shared" si="188"/>
        <v>1</v>
      </c>
      <c r="AO314" s="3" t="str">
        <f>IF(ISERROR(MATCH(A314,'SegEnds_Xtal_Prot#'!B:B, 0)), "NoXtal", "Xtal")</f>
        <v>Xtal</v>
      </c>
      <c r="AP314" s="3">
        <f t="shared" si="173"/>
        <v>1</v>
      </c>
      <c r="AQ314" s="3">
        <f t="shared" si="174"/>
        <v>1</v>
      </c>
      <c r="AR314" s="3" t="str">
        <f t="shared" si="175"/>
        <v>-</v>
      </c>
      <c r="AS314" s="3" t="str">
        <f t="shared" si="176"/>
        <v>-</v>
      </c>
      <c r="AT314" s="3" t="str">
        <f t="shared" si="177"/>
        <v>-</v>
      </c>
      <c r="AU314" s="3" t="str">
        <f t="shared" si="178"/>
        <v>-</v>
      </c>
      <c r="AV314" s="3">
        <f t="shared" si="179"/>
        <v>4</v>
      </c>
      <c r="AW314" s="3">
        <f t="shared" si="180"/>
        <v>4</v>
      </c>
      <c r="AX314" s="3">
        <f t="shared" si="181"/>
        <v>9</v>
      </c>
      <c r="AY314" s="3">
        <f t="shared" si="182"/>
        <v>7</v>
      </c>
      <c r="AZ314" s="3">
        <f t="shared" si="183"/>
        <v>1</v>
      </c>
      <c r="BA314" s="3">
        <f>IF(ISERROR(LEN(VLOOKUP(A314,Seqs!A:E,2,FALSE))-AL314),"-",LEN(VLOOKUP(A314,Seqs!A:E,2,FALSE))-AL314)</f>
        <v>105</v>
      </c>
      <c r="BB314" s="16">
        <f t="shared" si="184"/>
        <v>28</v>
      </c>
      <c r="BC314" s="9" t="str">
        <f t="shared" si="185"/>
        <v>-</v>
      </c>
      <c r="BD314" s="3">
        <f t="shared" si="186"/>
        <v>28</v>
      </c>
      <c r="BE314" s="3">
        <f t="shared" si="187"/>
        <v>53</v>
      </c>
    </row>
    <row r="315" spans="1:58" s="3" customFormat="1" x14ac:dyDescent="0.2">
      <c r="A315" s="3" t="s">
        <v>410</v>
      </c>
      <c r="B315" s="3" t="str">
        <f>LOWER(VLOOKUP(A315,Xtal_Templ!A:B,2,FALSE))</f>
        <v>pth1r_human</v>
      </c>
      <c r="C315" s="3">
        <f>VLOOKUP($A315,'SegEnds_NonXtal_BW#'!$A:$Z,3,FALSE)+D315-50</f>
        <v>130</v>
      </c>
      <c r="D315" s="3">
        <v>159</v>
      </c>
      <c r="E315" s="3">
        <f>IF(ISERROR(VLOOKUP($A315,'SegEnds_NonXtal_BW#'!$A:$Z,4,FALSE)+VLOOKUP($A315,A:AL,4,FALSE)-50),"-",(VLOOKUP($A315,'SegEnds_NonXtal_BW#'!$A:$Z,4,FALSE)+VLOOKUP($A315,A:AL,4,FALSE)-50))</f>
        <v>169</v>
      </c>
      <c r="F315" s="3">
        <f t="shared" si="192"/>
        <v>170</v>
      </c>
      <c r="G315" s="3">
        <v>172</v>
      </c>
      <c r="H315" s="3">
        <f t="shared" si="198"/>
        <v>173</v>
      </c>
      <c r="I315" s="3">
        <f t="shared" si="198"/>
        <v>174</v>
      </c>
      <c r="J315" s="3">
        <v>187</v>
      </c>
      <c r="K315" s="3">
        <f>VLOOKUP($A315,'SegEnds_NonXtal_BW#'!$A:$Z,8,FALSE)+VLOOKUP($A315,A:AL,10,FALSE)-50</f>
        <v>206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232</v>
      </c>
      <c r="P315" s="3">
        <v>261</v>
      </c>
      <c r="Q315" s="3">
        <f>VLOOKUP($A315,'SegEnds_NonXtal_BW#'!$A:$Z,12,FALSE)+VLOOKUP($A315,A:AL,16,FALSE)-50</f>
        <v>267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271</v>
      </c>
      <c r="V315" s="3">
        <v>284</v>
      </c>
      <c r="W315" s="3">
        <f>IF(ISERROR(VLOOKUP($A315,'SegEnds_NonXtal_BW#'!$A:$Z,16,FALSE)+VLOOKUP($A315,A:AL,22,FALSE)-50),"-",(VLOOKUP($A315,'SegEnds_NonXtal_BW#'!$A:$Z,16,FALSE)+VLOOKUP($A315,A:AL,22,FALSE)-50))</f>
        <v>302</v>
      </c>
      <c r="X315" s="3">
        <f>IF(ISERROR(VLOOKUP($A315,'SegEnds_NonXtal_BW#'!$A:$Z,17,FALSE)+VLOOKUP($A315,A:AL,25,FALSE)-50),"-",(VLOOKUP($A315,'SegEnds_NonXtal_BW#'!$A:$Z,17,FALSE)+VLOOKUP($A315,A:AL,25,FALSE)-50))</f>
        <v>306</v>
      </c>
      <c r="Y315" s="3">
        <v>306</v>
      </c>
      <c r="Z315" s="3">
        <f t="shared" si="197"/>
        <v>308</v>
      </c>
      <c r="AA315" s="3">
        <f>IF(ISERROR(VLOOKUP($A315,'SegEnds_NonXtal_BW#'!$A:$Z,19,FALSE)+VLOOKUP($A315,A:AL,28,FALSE)-50),"-",(VLOOKUP($A315,'SegEnds_NonXtal_BW#'!$A:$Z,19,FALSE)+VLOOKUP($A315,A:AL,28,FALSE)-50))</f>
        <v>312</v>
      </c>
      <c r="AB315" s="3">
        <v>325</v>
      </c>
      <c r="AC315" s="3">
        <f>IF(ISERROR((VLOOKUP($A315,'SegEnds_NonXtal_BW#'!$A:$Z,20,FALSE)+VLOOKUP($A315,A:AL,28,FALSE)-50)),"-",(VLOOKUP($A315,'SegEnds_NonXtal_BW#'!$A:$Z,20,FALSE)+VLOOKUP($A315,A:AL,28,FALSE)-50))</f>
        <v>344</v>
      </c>
      <c r="AD315" s="3">
        <f>IF(ISERROR(VLOOKUP($A315,'SegEnds_NonXtal_BW#'!$A:$Z,21,FALSE)+VLOOKUP($A315,A:AL,31,FALSE)-50),"-",(VLOOKUP($A315,'SegEnds_NonXtal_BW#'!$A:$Z,21,FALSE)+VLOOKUP($A315,A:AL,31,FALSE)-50))</f>
        <v>353</v>
      </c>
      <c r="AE315" s="3">
        <v>378</v>
      </c>
      <c r="AF315" s="3">
        <f>IF(ISERROR((VLOOKUP($A315,'SegEnds_NonXtal_BW#'!$A:$Z,22,FALSE)+VLOOKUP($A315,A:AL,31,FALSE)-50)),"-",(VLOOKUP($A315,'SegEnds_NonXtal_BW#'!$A:$Z,22,FALSE)+VLOOKUP($A315,A:AL,31,FALSE)-50))</f>
        <v>382</v>
      </c>
      <c r="AG315" s="3">
        <f>IF(ISERROR(VLOOKUP($A315,'SegEnds_NonXtal_BW#'!$A:$Z,23,FALSE)+VLOOKUP($A315,A:AL,34,FALSE)-50),"-",(VLOOKUP($A315,'SegEnds_NonXtal_BW#'!$A:$Z,23,FALSE)+VLOOKUP($A315,A:AL,34,FALSE)-50))</f>
        <v>388</v>
      </c>
      <c r="AH315" s="3">
        <v>410</v>
      </c>
      <c r="AI315" s="3">
        <f>IF(ISERROR((VLOOKUP($A315,'SegEnds_NonXtal_BW#'!$A:$Z,24,FALSE)+VLOOKUP($A315,A:AL,34,FALSE)-50)),"-",(VLOOKUP($A315,'SegEnds_NonXtal_BW#'!$A:$Z,24,FALSE)+VLOOKUP($A315,A:AL,34,FALSE)-50))</f>
        <v>416</v>
      </c>
      <c r="AJ315" s="3">
        <f>IF(ISERROR(VLOOKUP($A315,'SegEnds_NonXtal_BW#'!$A:$Z,25,FALSE)+VLOOKUP($A315,A:AL,37,FALSE)-50),"-",(VLOOKUP($A315,'SegEnds_NonXtal_BW#'!$A:$Z,25,FALSE)+VLOOKUP($A315,A:AL,37,FALSE)-50))</f>
        <v>417</v>
      </c>
      <c r="AK315" s="3">
        <v>420</v>
      </c>
      <c r="AL315" s="3">
        <f>IF(ISERROR((VLOOKUP($A315,'SegEnds_NonXtal_BW#'!$A:$Z,26,FALSE)+VLOOKUP($A315,A:AL,37,FALSE)-50)),"-",(VLOOKUP($A315,'SegEnds_NonXtal_BW#'!$A:$Z,26,FALSE)+VLOOKUP($A315,A:AL,37,FALSE)-50))</f>
        <v>442</v>
      </c>
      <c r="AM315" s="28" t="str">
        <f>VLOOKUP(A315,Classification!A:B,2,FALSE)</f>
        <v>B1</v>
      </c>
      <c r="AN315" s="28" t="b">
        <f t="shared" si="188"/>
        <v>1</v>
      </c>
      <c r="AO315" s="3" t="str">
        <f>IF(ISERROR(MATCH(A315,'SegEnds_Xtal_Prot#'!B:B, 0)), "NoXtal", "Xtal")</f>
        <v>NoXtal</v>
      </c>
      <c r="AP315" s="3">
        <f t="shared" si="173"/>
        <v>1</v>
      </c>
      <c r="AQ315" s="3">
        <f t="shared" si="174"/>
        <v>1</v>
      </c>
      <c r="AR315" s="3" t="str">
        <f t="shared" si="175"/>
        <v>-</v>
      </c>
      <c r="AS315" s="3" t="str">
        <f t="shared" si="176"/>
        <v>-</v>
      </c>
      <c r="AT315" s="3" t="str">
        <f t="shared" si="177"/>
        <v>-</v>
      </c>
      <c r="AU315" s="3" t="str">
        <f t="shared" si="178"/>
        <v>-</v>
      </c>
      <c r="AV315" s="3">
        <f t="shared" si="179"/>
        <v>4</v>
      </c>
      <c r="AW315" s="3">
        <f t="shared" si="180"/>
        <v>4</v>
      </c>
      <c r="AX315" s="3">
        <f t="shared" si="181"/>
        <v>9</v>
      </c>
      <c r="AY315" s="3">
        <f t="shared" si="182"/>
        <v>6</v>
      </c>
      <c r="AZ315" s="3">
        <f t="shared" si="183"/>
        <v>1</v>
      </c>
      <c r="BA315" s="3">
        <f>IF(ISERROR(LEN(VLOOKUP(A315,Seqs!A:E,2,FALSE))-AL315),"-",LEN(VLOOKUP(A315,Seqs!A:E,2,FALSE))-AL315)</f>
        <v>108</v>
      </c>
      <c r="BB315" s="16">
        <f t="shared" si="184"/>
        <v>28</v>
      </c>
      <c r="BC315" s="9" t="str">
        <f t="shared" si="185"/>
        <v>-</v>
      </c>
      <c r="BD315" s="3">
        <f t="shared" si="186"/>
        <v>28</v>
      </c>
      <c r="BE315" s="3">
        <f t="shared" si="187"/>
        <v>53</v>
      </c>
    </row>
    <row r="316" spans="1:58" s="3" customFormat="1" x14ac:dyDescent="0.2">
      <c r="A316" s="3" t="s">
        <v>411</v>
      </c>
      <c r="B316" s="3" t="str">
        <f>LOWER(VLOOKUP(A316,Xtal_Templ!A:B,2,FALSE))</f>
        <v>pacr_human</v>
      </c>
      <c r="C316" s="3">
        <f>VLOOKUP($A316,'SegEnds_NonXtal_BW#'!$A:$Z,3,FALSE)+D316-50</f>
        <v>128</v>
      </c>
      <c r="D316" s="3">
        <v>157</v>
      </c>
      <c r="E316" s="3">
        <f>IF(ISERROR(VLOOKUP($A316,'SegEnds_NonXtal_BW#'!$A:$Z,4,FALSE)+VLOOKUP($A316,A:AL,4,FALSE)-50),"-",(VLOOKUP($A316,'SegEnds_NonXtal_BW#'!$A:$Z,4,FALSE)+VLOOKUP($A316,A:AL,4,FALSE)-50))</f>
        <v>167</v>
      </c>
      <c r="F316" s="3">
        <f t="shared" si="192"/>
        <v>168</v>
      </c>
      <c r="G316" s="3">
        <v>170</v>
      </c>
      <c r="H316" s="3">
        <f t="shared" si="198"/>
        <v>171</v>
      </c>
      <c r="I316" s="3">
        <f t="shared" si="198"/>
        <v>172</v>
      </c>
      <c r="J316" s="3">
        <v>185</v>
      </c>
      <c r="K316" s="3">
        <f>VLOOKUP($A316,'SegEnds_NonXtal_BW#'!$A:$Z,8,FALSE)+VLOOKUP($A316,A:AL,10,FALSE)-50</f>
        <v>199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212</v>
      </c>
      <c r="P316" s="3">
        <v>240</v>
      </c>
      <c r="Q316" s="3">
        <f>VLOOKUP($A316,'SegEnds_NonXtal_BW#'!$A:$Z,12,FALSE)+VLOOKUP($A316,A:AL,16,FALSE)-50</f>
        <v>246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253</v>
      </c>
      <c r="V316" s="3">
        <v>263</v>
      </c>
      <c r="W316" s="3">
        <f>IF(ISERROR(VLOOKUP($A316,'SegEnds_NonXtal_BW#'!$A:$Z,16,FALSE)+VLOOKUP($A316,A:AL,22,FALSE)-50),"-",(VLOOKUP($A316,'SegEnds_NonXtal_BW#'!$A:$Z,16,FALSE)+VLOOKUP($A316,A:AL,22,FALSE)-50))</f>
        <v>281</v>
      </c>
      <c r="X316" s="3">
        <f>IF(ISERROR(VLOOKUP($A316,'SegEnds_NonXtal_BW#'!$A:$Z,17,FALSE)+VLOOKUP($A316,A:AL,25,FALSE)-50),"-",(VLOOKUP($A316,'SegEnds_NonXtal_BW#'!$A:$Z,17,FALSE)+VLOOKUP($A316,A:AL,25,FALSE)-50))</f>
        <v>285</v>
      </c>
      <c r="Y316" s="3">
        <v>285</v>
      </c>
      <c r="Z316" s="3">
        <f t="shared" si="197"/>
        <v>287</v>
      </c>
      <c r="AA316" s="3">
        <f>IF(ISERROR(VLOOKUP($A316,'SegEnds_NonXtal_BW#'!$A:$Z,19,FALSE)+VLOOKUP($A316,A:AL,28,FALSE)-50),"-",(VLOOKUP($A316,'SegEnds_NonXtal_BW#'!$A:$Z,19,FALSE)+VLOOKUP($A316,A:AL,28,FALSE)-50))</f>
        <v>291</v>
      </c>
      <c r="AB316" s="3">
        <v>305</v>
      </c>
      <c r="AC316" s="3">
        <f>IF(ISERROR((VLOOKUP($A316,'SegEnds_NonXtal_BW#'!$A:$Z,20,FALSE)+VLOOKUP($A316,A:AL,28,FALSE)-50)),"-",(VLOOKUP($A316,'SegEnds_NonXtal_BW#'!$A:$Z,20,FALSE)+VLOOKUP($A316,A:AL,28,FALSE)-50))</f>
        <v>324</v>
      </c>
      <c r="AD316" s="3">
        <f>IF(ISERROR(VLOOKUP($A316,'SegEnds_NonXtal_BW#'!$A:$Z,21,FALSE)+VLOOKUP($A316,A:AL,31,FALSE)-50),"-",(VLOOKUP($A316,'SegEnds_NonXtal_BW#'!$A:$Z,21,FALSE)+VLOOKUP($A316,A:AL,31,FALSE)-50))</f>
        <v>332</v>
      </c>
      <c r="AE316" s="3">
        <v>357</v>
      </c>
      <c r="AF316" s="3">
        <f>IF(ISERROR((VLOOKUP($A316,'SegEnds_NonXtal_BW#'!$A:$Z,22,FALSE)+VLOOKUP($A316,A:AL,31,FALSE)-50)),"-",(VLOOKUP($A316,'SegEnds_NonXtal_BW#'!$A:$Z,22,FALSE)+VLOOKUP($A316,A:AL,31,FALSE)-50))</f>
        <v>361</v>
      </c>
      <c r="AG316" s="3">
        <f>IF(ISERROR(VLOOKUP($A316,'SegEnds_NonXtal_BW#'!$A:$Z,23,FALSE)+VLOOKUP($A316,A:AL,34,FALSE)-50),"-",(VLOOKUP($A316,'SegEnds_NonXtal_BW#'!$A:$Z,23,FALSE)+VLOOKUP($A316,A:AL,34,FALSE)-50))</f>
        <v>366</v>
      </c>
      <c r="AH316" s="3">
        <v>385</v>
      </c>
      <c r="AI316" s="3">
        <f>IF(ISERROR((VLOOKUP($A316,'SegEnds_NonXtal_BW#'!$A:$Z,24,FALSE)+VLOOKUP($A316,A:AL,34,FALSE)-50)),"-",(VLOOKUP($A316,'SegEnds_NonXtal_BW#'!$A:$Z,24,FALSE)+VLOOKUP($A316,A:AL,34,FALSE)-50))</f>
        <v>391</v>
      </c>
      <c r="AJ316" s="3">
        <f>IF(ISERROR(VLOOKUP($A316,'SegEnds_NonXtal_BW#'!$A:$Z,25,FALSE)+VLOOKUP($A316,A:AL,37,FALSE)-50),"-",(VLOOKUP($A316,'SegEnds_NonXtal_BW#'!$A:$Z,25,FALSE)+VLOOKUP($A316,A:AL,37,FALSE)-50))</f>
        <v>392</v>
      </c>
      <c r="AK316" s="3">
        <v>395</v>
      </c>
      <c r="AL316" s="3">
        <f>IF(ISERROR((VLOOKUP($A316,'SegEnds_NonXtal_BW#'!$A:$Z,26,FALSE)+VLOOKUP($A316,A:AL,37,FALSE)-50)),"-",(VLOOKUP($A316,'SegEnds_NonXtal_BW#'!$A:$Z,26,FALSE)+VLOOKUP($A316,A:AL,37,FALSE)-50))</f>
        <v>417</v>
      </c>
      <c r="AM316" s="28" t="str">
        <f>VLOOKUP(A316,Classification!A:B,2,FALSE)</f>
        <v>B1</v>
      </c>
      <c r="AN316" s="28" t="b">
        <f t="shared" si="188"/>
        <v>1</v>
      </c>
      <c r="AO316" s="3" t="str">
        <f>IF(ISERROR(MATCH(A316,'SegEnds_Xtal_Prot#'!B:B, 0)), "NoXtal", "Xtal")</f>
        <v>NoXtal</v>
      </c>
      <c r="AP316" s="3">
        <f t="shared" si="173"/>
        <v>1</v>
      </c>
      <c r="AQ316" s="3">
        <f t="shared" si="174"/>
        <v>1</v>
      </c>
      <c r="AR316" s="3" t="str">
        <f t="shared" si="175"/>
        <v>-</v>
      </c>
      <c r="AS316" s="3" t="str">
        <f t="shared" si="176"/>
        <v>-</v>
      </c>
      <c r="AT316" s="3" t="str">
        <f t="shared" si="177"/>
        <v>-</v>
      </c>
      <c r="AU316" s="3" t="str">
        <f t="shared" si="178"/>
        <v>-</v>
      </c>
      <c r="AV316" s="3">
        <f t="shared" si="179"/>
        <v>4</v>
      </c>
      <c r="AW316" s="3">
        <f t="shared" si="180"/>
        <v>4</v>
      </c>
      <c r="AX316" s="3">
        <f t="shared" si="181"/>
        <v>8</v>
      </c>
      <c r="AY316" s="3">
        <f t="shared" si="182"/>
        <v>5</v>
      </c>
      <c r="AZ316" s="3">
        <f t="shared" si="183"/>
        <v>1</v>
      </c>
      <c r="BA316" s="3">
        <f>IF(ISERROR(LEN(VLOOKUP(A316,Seqs!A:E,2,FALSE))-AL316),"-",LEN(VLOOKUP(A316,Seqs!A:E,2,FALSE))-AL316)</f>
        <v>23</v>
      </c>
      <c r="BB316" s="16">
        <f t="shared" si="184"/>
        <v>28</v>
      </c>
      <c r="BC316" s="9" t="str">
        <f t="shared" si="185"/>
        <v>-</v>
      </c>
      <c r="BD316" s="3">
        <f t="shared" si="186"/>
        <v>28</v>
      </c>
      <c r="BE316" s="3">
        <f t="shared" si="187"/>
        <v>52</v>
      </c>
      <c r="BF316" s="3">
        <f>AH316-AE316</f>
        <v>28</v>
      </c>
    </row>
    <row r="317" spans="1:58" s="3" customFormat="1" x14ac:dyDescent="0.2">
      <c r="A317" s="3" t="s">
        <v>412</v>
      </c>
      <c r="B317" s="3" t="str">
        <f>LOWER(VLOOKUP(A317,Xtal_Templ!A:B,2,FALSE))</f>
        <v>pacr_human</v>
      </c>
      <c r="C317" s="3">
        <f>VLOOKUP($A317,'SegEnds_NonXtal_BW#'!$A:$Z,3,FALSE)+D317-50</f>
        <v>128</v>
      </c>
      <c r="D317" s="3">
        <v>157</v>
      </c>
      <c r="E317" s="3">
        <f>IF(ISERROR(VLOOKUP($A317,'SegEnds_NonXtal_BW#'!$A:$Z,4,FALSE)+VLOOKUP($A317,A:AL,4,FALSE)-50),"-",(VLOOKUP($A317,'SegEnds_NonXtal_BW#'!$A:$Z,4,FALSE)+VLOOKUP($A317,A:AL,4,FALSE)-50))</f>
        <v>167</v>
      </c>
      <c r="F317" s="3">
        <f t="shared" si="192"/>
        <v>168</v>
      </c>
      <c r="G317" s="3">
        <v>170</v>
      </c>
      <c r="H317" s="3">
        <f t="shared" si="198"/>
        <v>171</v>
      </c>
      <c r="I317" s="3">
        <f t="shared" si="198"/>
        <v>172</v>
      </c>
      <c r="J317" s="3">
        <v>185</v>
      </c>
      <c r="K317" s="3">
        <f>VLOOKUP($A317,'SegEnds_NonXtal_BW#'!$A:$Z,8,FALSE)+VLOOKUP($A317,A:AL,10,FALSE)-50</f>
        <v>199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212</v>
      </c>
      <c r="P317" s="3">
        <v>240</v>
      </c>
      <c r="Q317" s="3">
        <f>VLOOKUP($A317,'SegEnds_NonXtal_BW#'!$A:$Z,12,FALSE)+VLOOKUP($A317,A:AL,16,FALSE)-50</f>
        <v>246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253</v>
      </c>
      <c r="V317" s="3">
        <v>263</v>
      </c>
      <c r="W317" s="3">
        <f>IF(ISERROR(VLOOKUP($A317,'SegEnds_NonXtal_BW#'!$A:$Z,16,FALSE)+VLOOKUP($A317,A:AL,22,FALSE)-50),"-",(VLOOKUP($A317,'SegEnds_NonXtal_BW#'!$A:$Z,16,FALSE)+VLOOKUP($A317,A:AL,22,FALSE)-50))</f>
        <v>281</v>
      </c>
      <c r="X317" s="3">
        <f>IF(ISERROR(VLOOKUP($A317,'SegEnds_NonXtal_BW#'!$A:$Z,17,FALSE)+VLOOKUP($A317,A:AL,25,FALSE)-50),"-",(VLOOKUP($A317,'SegEnds_NonXtal_BW#'!$A:$Z,17,FALSE)+VLOOKUP($A317,A:AL,25,FALSE)-50))</f>
        <v>285</v>
      </c>
      <c r="Y317" s="3">
        <v>285</v>
      </c>
      <c r="Z317" s="3">
        <f t="shared" si="197"/>
        <v>287</v>
      </c>
      <c r="AA317" s="3">
        <f>IF(ISERROR(VLOOKUP($A317,'SegEnds_NonXtal_BW#'!$A:$Z,19,FALSE)+VLOOKUP($A317,A:AL,28,FALSE)-50),"-",(VLOOKUP($A317,'SegEnds_NonXtal_BW#'!$A:$Z,19,FALSE)+VLOOKUP($A317,A:AL,28,FALSE)-50))</f>
        <v>290</v>
      </c>
      <c r="AB317" s="3">
        <v>304</v>
      </c>
      <c r="AC317" s="3">
        <f>IF(ISERROR((VLOOKUP($A317,'SegEnds_NonXtal_BW#'!$A:$Z,20,FALSE)+VLOOKUP($A317,A:AL,28,FALSE)-50)),"-",(VLOOKUP($A317,'SegEnds_NonXtal_BW#'!$A:$Z,20,FALSE)+VLOOKUP($A317,A:AL,28,FALSE)-50))</f>
        <v>323</v>
      </c>
      <c r="AD317" s="3">
        <f>IF(ISERROR(VLOOKUP($A317,'SegEnds_NonXtal_BW#'!$A:$Z,21,FALSE)+VLOOKUP($A317,A:AL,31,FALSE)-50),"-",(VLOOKUP($A317,'SegEnds_NonXtal_BW#'!$A:$Z,21,FALSE)+VLOOKUP($A317,A:AL,31,FALSE)-50))</f>
        <v>331</v>
      </c>
      <c r="AE317" s="3">
        <v>356</v>
      </c>
      <c r="AF317" s="3">
        <f>IF(ISERROR((VLOOKUP($A317,'SegEnds_NonXtal_BW#'!$A:$Z,22,FALSE)+VLOOKUP($A317,A:AL,31,FALSE)-50)),"-",(VLOOKUP($A317,'SegEnds_NonXtal_BW#'!$A:$Z,22,FALSE)+VLOOKUP($A317,A:AL,31,FALSE)-50))</f>
        <v>360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385</v>
      </c>
      <c r="AI317" s="3">
        <f>IF(ISERROR((VLOOKUP($A317,'SegEnds_NonXtal_BW#'!$A:$Z,24,FALSE)+VLOOKUP($A317,A:AL,34,FALSE)-50)),"-",(VLOOKUP($A317,'SegEnds_NonXtal_BW#'!$A:$Z,24,FALSE)+VLOOKUP($A317,A:AL,34,FALSE)-50))</f>
        <v>391</v>
      </c>
      <c r="AJ317" s="3">
        <f>IF(ISERROR(VLOOKUP($A317,'SegEnds_NonXtal_BW#'!$A:$Z,25,FALSE)+VLOOKUP($A317,A:AL,37,FALSE)-50),"-",(VLOOKUP($A317,'SegEnds_NonXtal_BW#'!$A:$Z,25,FALSE)+VLOOKUP($A317,A:AL,37,FALSE)-50))</f>
        <v>392</v>
      </c>
      <c r="AK317" s="3">
        <v>395</v>
      </c>
      <c r="AL317" s="3">
        <f>IF(ISERROR((VLOOKUP($A317,'SegEnds_NonXtal_BW#'!$A:$Z,26,FALSE)+VLOOKUP($A317,A:AL,37,FALSE)-50)),"-",(VLOOKUP($A317,'SegEnds_NonXtal_BW#'!$A:$Z,26,FALSE)+VLOOKUP($A317,A:AL,37,FALSE)-50))</f>
        <v>417</v>
      </c>
      <c r="AM317" s="28" t="str">
        <f>VLOOKUP(A317,Classification!A:B,2,FALSE)</f>
        <v>B1</v>
      </c>
      <c r="AN317" s="28" t="b">
        <f t="shared" si="188"/>
        <v>1</v>
      </c>
      <c r="AO317" s="3" t="str">
        <f>IF(ISERROR(MATCH(A317,'SegEnds_Xtal_Prot#'!B:B, 0)), "NoXtal", "Xtal")</f>
        <v>NoXtal</v>
      </c>
      <c r="AP317" s="3">
        <f t="shared" si="173"/>
        <v>1</v>
      </c>
      <c r="AQ317" s="3">
        <f t="shared" si="174"/>
        <v>1</v>
      </c>
      <c r="AR317" s="3" t="str">
        <f t="shared" si="175"/>
        <v>-</v>
      </c>
      <c r="AS317" s="3" t="str">
        <f t="shared" si="176"/>
        <v>-</v>
      </c>
      <c r="AT317" s="3" t="str">
        <f t="shared" si="177"/>
        <v>-</v>
      </c>
      <c r="AU317" s="3" t="str">
        <f t="shared" si="178"/>
        <v>-</v>
      </c>
      <c r="AV317" s="3">
        <f t="shared" si="179"/>
        <v>4</v>
      </c>
      <c r="AW317" s="3">
        <f t="shared" si="180"/>
        <v>3</v>
      </c>
      <c r="AX317" s="3">
        <f t="shared" si="181"/>
        <v>8</v>
      </c>
      <c r="AY317" s="3">
        <f t="shared" si="182"/>
        <v>6</v>
      </c>
      <c r="AZ317" s="3">
        <f t="shared" si="183"/>
        <v>1</v>
      </c>
      <c r="BA317" s="3">
        <f>IF(ISERROR(LEN(VLOOKUP(A317,Seqs!A:E,2,FALSE))-AL317),"-",LEN(VLOOKUP(A317,Seqs!A:E,2,FALSE))-AL317)</f>
        <v>40</v>
      </c>
      <c r="BB317" s="16">
        <f t="shared" si="184"/>
        <v>28</v>
      </c>
      <c r="BC317" s="9" t="str">
        <f t="shared" si="185"/>
        <v>-</v>
      </c>
      <c r="BD317" s="3">
        <f t="shared" si="186"/>
        <v>28</v>
      </c>
      <c r="BE317" s="3">
        <f t="shared" si="187"/>
        <v>52</v>
      </c>
    </row>
    <row r="318" spans="1:58" s="3" customFormat="1" x14ac:dyDescent="0.2">
      <c r="A318" s="3" t="s">
        <v>413</v>
      </c>
      <c r="B318" s="3" t="str">
        <f>LOWER(VLOOKUP(A318,Xtal_Templ!A:B,2,FALSE))</f>
        <v>pacr_human</v>
      </c>
      <c r="C318" s="3">
        <f>VLOOKUP($A318,'SegEnds_NonXtal_BW#'!$A:$Z,3,FALSE)+D318-50</f>
        <v>112</v>
      </c>
      <c r="D318" s="3">
        <v>141</v>
      </c>
      <c r="E318" s="3">
        <f>IF(ISERROR(VLOOKUP($A318,'SegEnds_NonXtal_BW#'!$A:$Z,4,FALSE)+VLOOKUP($A318,A:AL,4,FALSE)-50),"-",(VLOOKUP($A318,'SegEnds_NonXtal_BW#'!$A:$Z,4,FALSE)+VLOOKUP($A318,A:AL,4,FALSE)-50))</f>
        <v>151</v>
      </c>
      <c r="F318" s="3">
        <f t="shared" si="192"/>
        <v>152</v>
      </c>
      <c r="G318" s="3">
        <v>154</v>
      </c>
      <c r="H318" s="3">
        <f t="shared" si="198"/>
        <v>155</v>
      </c>
      <c r="I318" s="3">
        <f t="shared" si="198"/>
        <v>156</v>
      </c>
      <c r="J318" s="3">
        <v>169</v>
      </c>
      <c r="K318" s="3">
        <f>VLOOKUP($A318,'SegEnds_NonXtal_BW#'!$A:$Z,8,FALSE)+VLOOKUP($A318,A:AL,10,FALSE)-50</f>
        <v>183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199</v>
      </c>
      <c r="P318" s="3">
        <v>227</v>
      </c>
      <c r="Q318" s="3">
        <f>VLOOKUP($A318,'SegEnds_NonXtal_BW#'!$A:$Z,12,FALSE)+VLOOKUP($A318,A:AL,16,FALSE)-50</f>
        <v>233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239</v>
      </c>
      <c r="V318" s="3">
        <v>249</v>
      </c>
      <c r="W318" s="3">
        <f>IF(ISERROR(VLOOKUP($A318,'SegEnds_NonXtal_BW#'!$A:$Z,16,FALSE)+VLOOKUP($A318,A:AL,22,FALSE)-50),"-",(VLOOKUP($A318,'SegEnds_NonXtal_BW#'!$A:$Z,16,FALSE)+VLOOKUP($A318,A:AL,22,FALSE)-50))</f>
        <v>267</v>
      </c>
      <c r="X318" s="3">
        <f>IF(ISERROR(VLOOKUP($A318,'SegEnds_NonXtal_BW#'!$A:$Z,17,FALSE)+VLOOKUP($A318,A:AL,25,FALSE)-50),"-",(VLOOKUP($A318,'SegEnds_NonXtal_BW#'!$A:$Z,17,FALSE)+VLOOKUP($A318,A:AL,25,FALSE)-50))</f>
        <v>271</v>
      </c>
      <c r="Y318" s="3">
        <v>271</v>
      </c>
      <c r="Z318" s="3">
        <f t="shared" si="197"/>
        <v>273</v>
      </c>
      <c r="AA318" s="3">
        <f>IF(ISERROR(VLOOKUP($A318,'SegEnds_NonXtal_BW#'!$A:$Z,19,FALSE)+VLOOKUP($A318,A:AL,28,FALSE)-50),"-",(VLOOKUP($A318,'SegEnds_NonXtal_BW#'!$A:$Z,19,FALSE)+VLOOKUP($A318,A:AL,28,FALSE)-50))</f>
        <v>277</v>
      </c>
      <c r="AB318" s="3">
        <v>291</v>
      </c>
      <c r="AC318" s="3">
        <f>IF(ISERROR((VLOOKUP($A318,'SegEnds_NonXtal_BW#'!$A:$Z,20,FALSE)+VLOOKUP($A318,A:AL,28,FALSE)-50)),"-",(VLOOKUP($A318,'SegEnds_NonXtal_BW#'!$A:$Z,20,FALSE)+VLOOKUP($A318,A:AL,28,FALSE)-50))</f>
        <v>310</v>
      </c>
      <c r="AD318" s="3">
        <f>IF(ISERROR(VLOOKUP($A318,'SegEnds_NonXtal_BW#'!$A:$Z,21,FALSE)+VLOOKUP($A318,A:AL,31,FALSE)-50),"-",(VLOOKUP($A318,'SegEnds_NonXtal_BW#'!$A:$Z,21,FALSE)+VLOOKUP($A318,A:AL,31,FALSE)-50))</f>
        <v>318</v>
      </c>
      <c r="AE318" s="3">
        <v>343</v>
      </c>
      <c r="AF318" s="3">
        <f>IF(ISERROR((VLOOKUP($A318,'SegEnds_NonXtal_BW#'!$A:$Z,22,FALSE)+VLOOKUP($A318,A:AL,31,FALSE)-50)),"-",(VLOOKUP($A318,'SegEnds_NonXtal_BW#'!$A:$Z,22,FALSE)+VLOOKUP($A318,A:AL,31,FALSE)-50))</f>
        <v>347</v>
      </c>
      <c r="AG318" s="3">
        <f>IF(ISERROR(VLOOKUP($A318,'SegEnds_NonXtal_BW#'!$A:$Z,23,FALSE)+VLOOKUP($A318,A:AL,34,FALSE)-50),"-",(VLOOKUP($A318,'SegEnds_NonXtal_BW#'!$A:$Z,23,FALSE)+VLOOKUP($A318,A:AL,34,FALSE)-50))</f>
        <v>353</v>
      </c>
      <c r="AH318" s="3">
        <v>372</v>
      </c>
      <c r="AI318" s="3">
        <f>IF(ISERROR((VLOOKUP($A318,'SegEnds_NonXtal_BW#'!$A:$Z,24,FALSE)+VLOOKUP($A318,A:AL,34,FALSE)-50)),"-",(VLOOKUP($A318,'SegEnds_NonXtal_BW#'!$A:$Z,24,FALSE)+VLOOKUP($A318,A:AL,34,FALSE)-50))</f>
        <v>378</v>
      </c>
      <c r="AJ318" s="3">
        <f>IF(ISERROR(VLOOKUP($A318,'SegEnds_NonXtal_BW#'!$A:$Z,25,FALSE)+VLOOKUP($A318,A:AL,37,FALSE)-50),"-",(VLOOKUP($A318,'SegEnds_NonXtal_BW#'!$A:$Z,25,FALSE)+VLOOKUP($A318,A:AL,37,FALSE)-50))</f>
        <v>379</v>
      </c>
      <c r="AK318" s="3">
        <v>382</v>
      </c>
      <c r="AL318" s="3">
        <f>IF(ISERROR((VLOOKUP($A318,'SegEnds_NonXtal_BW#'!$A:$Z,26,FALSE)+VLOOKUP($A318,A:AL,37,FALSE)-50)),"-",(VLOOKUP($A318,'SegEnds_NonXtal_BW#'!$A:$Z,26,FALSE)+VLOOKUP($A318,A:AL,37,FALSE)-50))</f>
        <v>404</v>
      </c>
      <c r="AM318" s="28" t="str">
        <f>VLOOKUP(A318,Classification!A:B,2,FALSE)</f>
        <v>B1</v>
      </c>
      <c r="AN318" s="28" t="b">
        <f t="shared" si="188"/>
        <v>1</v>
      </c>
      <c r="AO318" s="3" t="str">
        <f>IF(ISERROR(MATCH(A318,'SegEnds_Xtal_Prot#'!B:B, 0)), "NoXtal", "Xtal")</f>
        <v>NoXtal</v>
      </c>
      <c r="AP318" s="3">
        <f t="shared" si="173"/>
        <v>1</v>
      </c>
      <c r="AQ318" s="3">
        <f t="shared" si="174"/>
        <v>1</v>
      </c>
      <c r="AR318" s="3" t="str">
        <f t="shared" si="175"/>
        <v>-</v>
      </c>
      <c r="AS318" s="3" t="str">
        <f t="shared" si="176"/>
        <v>-</v>
      </c>
      <c r="AT318" s="3" t="str">
        <f t="shared" si="177"/>
        <v>-</v>
      </c>
      <c r="AU318" s="3" t="str">
        <f t="shared" si="178"/>
        <v>-</v>
      </c>
      <c r="AV318" s="3">
        <f t="shared" si="179"/>
        <v>4</v>
      </c>
      <c r="AW318" s="3">
        <f t="shared" si="180"/>
        <v>4</v>
      </c>
      <c r="AX318" s="3">
        <f t="shared" si="181"/>
        <v>8</v>
      </c>
      <c r="AY318" s="3">
        <f t="shared" si="182"/>
        <v>6</v>
      </c>
      <c r="AZ318" s="3">
        <f t="shared" si="183"/>
        <v>1</v>
      </c>
      <c r="BA318" s="3">
        <f>IF(ISERROR(LEN(VLOOKUP(A318,Seqs!A:E,2,FALSE))-AL318),"-",LEN(VLOOKUP(A318,Seqs!A:E,2,FALSE))-AL318)</f>
        <v>34</v>
      </c>
      <c r="BB318" s="16">
        <f t="shared" si="184"/>
        <v>28</v>
      </c>
      <c r="BC318" s="9" t="str">
        <f t="shared" si="185"/>
        <v>-</v>
      </c>
      <c r="BD318" s="3">
        <f t="shared" si="186"/>
        <v>28</v>
      </c>
      <c r="BE318" s="3">
        <f t="shared" si="187"/>
        <v>52</v>
      </c>
    </row>
    <row r="319" spans="1:58" s="3" customFormat="1" x14ac:dyDescent="0.2">
      <c r="A319" s="3" t="s">
        <v>1176</v>
      </c>
      <c r="B319" s="3" t="str">
        <f>LOWER(VLOOKUP(A319,Xtal_Templ!A:B,2,FALSE))</f>
        <v>pacr_human</v>
      </c>
      <c r="C319" s="3">
        <f>VLOOKUP($A319,'SegEnds_NonXtal_BW#'!$A:$Z,3,FALSE)+D319-50</f>
        <v>8</v>
      </c>
      <c r="D319" s="3">
        <v>35</v>
      </c>
      <c r="E319" s="3">
        <f>IF(ISERROR(VLOOKUP($A319,'SegEnds_NonXtal_BW#'!$A:$Z,4,FALSE)+VLOOKUP($A319,A:AL,4,FALSE)-50),"-",(VLOOKUP($A319,'SegEnds_NonXtal_BW#'!$A:$Z,4,FALSE)+VLOOKUP($A319,A:AL,4,FALSE)-50))</f>
        <v>45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48</v>
      </c>
      <c r="J319" s="3">
        <v>61</v>
      </c>
      <c r="K319" s="3">
        <f>VLOOKUP($A319,'SegEnds_NonXtal_BW#'!$A:$Z,8,FALSE)+VLOOKUP($A319,A:AL,10,FALSE)-50</f>
        <v>74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81</v>
      </c>
      <c r="P319" s="3">
        <v>108</v>
      </c>
      <c r="Q319" s="3">
        <f>VLOOKUP($A319,'SegEnds_NonXtal_BW#'!$A:$Z,12,FALSE)+VLOOKUP($A319,A:AL,16,FALSE)-50</f>
        <v>114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130</v>
      </c>
      <c r="V319" s="3">
        <v>140</v>
      </c>
      <c r="W319" s="3">
        <f>IF(ISERROR(VLOOKUP($A319,'SegEnds_NonXtal_BW#'!$A:$Z,16,FALSE)+VLOOKUP($A319,A:AL,22,FALSE)-50),"-",(VLOOKUP($A319,'SegEnds_NonXtal_BW#'!$A:$Z,16,FALSE)+VLOOKUP($A319,A:AL,22,FALSE)-50))</f>
        <v>158</v>
      </c>
      <c r="X319" s="3">
        <f>IF(ISERROR(VLOOKUP($A319,'SegEnds_NonXtal_BW#'!$A:$Z,17,FALSE)+VLOOKUP($A319,A:AL,25,FALSE)-50),"-",(VLOOKUP($A319,'SegEnds_NonXtal_BW#'!$A:$Z,17,FALSE)+VLOOKUP($A319,A:AL,25,FALSE)-50))</f>
        <v>168</v>
      </c>
      <c r="Y319" s="3">
        <v>168</v>
      </c>
      <c r="Z319" s="3">
        <f t="shared" si="197"/>
        <v>170</v>
      </c>
      <c r="AA319" s="3">
        <f>IF(ISERROR(VLOOKUP($A319,'SegEnds_NonXtal_BW#'!$A:$Z,19,FALSE)+VLOOKUP($A319,A:AL,28,FALSE)-50),"-",(VLOOKUP($A319,'SegEnds_NonXtal_BW#'!$A:$Z,19,FALSE)+VLOOKUP($A319,A:AL,28,FALSE)-50))</f>
        <v>172</v>
      </c>
      <c r="AB319" s="3">
        <v>186</v>
      </c>
      <c r="AC319" s="3">
        <f>IF(ISERROR((VLOOKUP($A319,'SegEnds_NonXtal_BW#'!$A:$Z,20,FALSE)+VLOOKUP($A319,A:AL,28,FALSE)-50)),"-",(VLOOKUP($A319,'SegEnds_NonXtal_BW#'!$A:$Z,20,FALSE)+VLOOKUP($A319,A:AL,28,FALSE)-50))</f>
        <v>205</v>
      </c>
      <c r="AD319" s="3">
        <f>IF(ISERROR(VLOOKUP($A319,'SegEnds_NonXtal_BW#'!$A:$Z,21,FALSE)+VLOOKUP($A319,A:AL,31,FALSE)-50),"-",(VLOOKUP($A319,'SegEnds_NonXtal_BW#'!$A:$Z,21,FALSE)+VLOOKUP($A319,A:AL,31,FALSE)-50))</f>
        <v>251</v>
      </c>
      <c r="AE319" s="3">
        <v>272</v>
      </c>
      <c r="AF319" s="3">
        <f>IF(ISERROR((VLOOKUP($A319,'SegEnds_NonXtal_BW#'!$A:$Z,22,FALSE)+VLOOKUP($A319,A:AL,31,FALSE)-50)),"-",(VLOOKUP($A319,'SegEnds_NonXtal_BW#'!$A:$Z,22,FALSE)+VLOOKUP($A319,A:AL,31,FALSE)-50))</f>
        <v>276</v>
      </c>
      <c r="AG319" s="3">
        <f>IF(ISERROR(VLOOKUP($A319,'SegEnds_NonXtal_BW#'!$A:$Z,23,FALSE)+VLOOKUP($A319,A:AL,34,FALSE)-50),"-",(VLOOKUP($A319,'SegEnds_NonXtal_BW#'!$A:$Z,23,FALSE)+VLOOKUP($A319,A:AL,34,FALSE)-50))</f>
        <v>282</v>
      </c>
      <c r="AH319" s="3">
        <v>303</v>
      </c>
      <c r="AI319" s="3">
        <f>IF(ISERROR((VLOOKUP($A319,'SegEnds_NonXtal_BW#'!$A:$Z,24,FALSE)+VLOOKUP($A319,A:AL,34,FALSE)-50)),"-",(VLOOKUP($A319,'SegEnds_NonXtal_BW#'!$A:$Z,24,FALSE)+VLOOKUP($A319,A:AL,34,FALSE)-50))</f>
        <v>309</v>
      </c>
      <c r="AJ319" s="3">
        <f>IF(ISERROR(VLOOKUP($A319,'SegEnds_NonXtal_BW#'!$A:$Z,25,FALSE)+VLOOKUP($A319,A:AL,37,FALSE)-50),"-",(VLOOKUP($A319,'SegEnds_NonXtal_BW#'!$A:$Z,25,FALSE)+VLOOKUP($A319,A:AL,37,FALSE)-50))</f>
        <v>310</v>
      </c>
      <c r="AK319" s="3">
        <v>313</v>
      </c>
      <c r="AL319" s="3">
        <f>IF(ISERROR((VLOOKUP($A319,'SegEnds_NonXtal_BW#'!$A:$Z,26,FALSE)+VLOOKUP($A319,A:AL,37,FALSE)-50)),"-",(VLOOKUP($A319,'SegEnds_NonXtal_BW#'!$A:$Z,26,FALSE)+VLOOKUP($A319,A:AL,37,FALSE)-50))</f>
        <v>326</v>
      </c>
      <c r="AM319" s="28" t="str">
        <f>VLOOKUP(A319,Classification!A:B,2,FALSE)</f>
        <v>B2</v>
      </c>
      <c r="AN319" s="28" t="b">
        <f t="shared" si="188"/>
        <v>1</v>
      </c>
      <c r="AO319" s="3" t="str">
        <f>IF(ISERROR(MATCH(A319,'SegEnds_Xtal_Prot#'!B:B, 0)), "NoXtal", "Xtal")</f>
        <v>NoXtal</v>
      </c>
      <c r="AP319" s="3" t="str">
        <f t="shared" si="173"/>
        <v>-</v>
      </c>
      <c r="AQ319" s="3" t="str">
        <f t="shared" si="174"/>
        <v>-</v>
      </c>
      <c r="AR319" s="3" t="str">
        <f t="shared" si="175"/>
        <v>-</v>
      </c>
      <c r="AS319" s="3" t="str">
        <f t="shared" si="176"/>
        <v>-</v>
      </c>
      <c r="AT319" s="3" t="str">
        <f t="shared" si="177"/>
        <v>-</v>
      </c>
      <c r="AU319" s="3" t="str">
        <f t="shared" si="178"/>
        <v>-</v>
      </c>
      <c r="AV319" s="3">
        <f t="shared" si="179"/>
        <v>10</v>
      </c>
      <c r="AW319" s="3">
        <f t="shared" si="180"/>
        <v>2</v>
      </c>
      <c r="AX319" s="3">
        <f t="shared" si="181"/>
        <v>46</v>
      </c>
      <c r="AY319" s="3">
        <f t="shared" si="182"/>
        <v>6</v>
      </c>
      <c r="AZ319" s="3">
        <f t="shared" si="183"/>
        <v>1</v>
      </c>
      <c r="BA319" s="3">
        <f>IF(ISERROR(LEN(VLOOKUP(A319,Seqs!A:E,2,FALSE))-AL319),"-",LEN(VLOOKUP(A319,Seqs!A:E,2,FALSE))-AL319)</f>
        <v>234</v>
      </c>
      <c r="BB319" s="16">
        <f t="shared" si="184"/>
        <v>26</v>
      </c>
      <c r="BC319" s="9" t="str">
        <f t="shared" si="185"/>
        <v>-</v>
      </c>
      <c r="BD319" s="3">
        <f t="shared" si="186"/>
        <v>26</v>
      </c>
      <c r="BE319" s="3">
        <f t="shared" si="187"/>
        <v>86</v>
      </c>
    </row>
    <row r="320" spans="1:58" s="3" customFormat="1" x14ac:dyDescent="0.2">
      <c r="A320" s="3" t="s">
        <v>1177</v>
      </c>
      <c r="B320" s="3" t="str">
        <f>LOWER(VLOOKUP(A320,Xtal_Templ!A:B,2,FALSE))</f>
        <v>crfr1_human</v>
      </c>
      <c r="C320" s="3">
        <f>VLOOKUP($A320,'SegEnds_NonXtal_BW#'!$A:$Z,3,FALSE)+D320-50</f>
        <v>760</v>
      </c>
      <c r="D320" s="3">
        <v>787</v>
      </c>
      <c r="E320" s="3">
        <f>IF(ISERROR(VLOOKUP($A320,'SegEnds_NonXtal_BW#'!$A:$Z,4,FALSE)+VLOOKUP($A320,A:AL,4,FALSE)-50),"-",(VLOOKUP($A320,'SegEnds_NonXtal_BW#'!$A:$Z,4,FALSE)+VLOOKUP($A320,A:AL,4,FALSE)-50))</f>
        <v>797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800</v>
      </c>
      <c r="J320" s="3">
        <v>813</v>
      </c>
      <c r="K320" s="3">
        <f>VLOOKUP($A320,'SegEnds_NonXtal_BW#'!$A:$Z,8,FALSE)+VLOOKUP($A320,A:AL,10,FALSE)-50</f>
        <v>826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833</v>
      </c>
      <c r="P320" s="3">
        <v>860</v>
      </c>
      <c r="Q320" s="3">
        <f>VLOOKUP($A320,'SegEnds_NonXtal_BW#'!$A:$Z,12,FALSE)+VLOOKUP($A320,A:AL,16,FALSE)-50</f>
        <v>866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882</v>
      </c>
      <c r="V320" s="3">
        <v>892</v>
      </c>
      <c r="W320" s="3">
        <f>IF(ISERROR(VLOOKUP($A320,'SegEnds_NonXtal_BW#'!$A:$Z,16,FALSE)+VLOOKUP($A320,A:AL,22,FALSE)-50),"-",(VLOOKUP($A320,'SegEnds_NonXtal_BW#'!$A:$Z,16,FALSE)+VLOOKUP($A320,A:AL,22,FALSE)-50))</f>
        <v>910</v>
      </c>
      <c r="X320" s="3">
        <f>IF(ISERROR(VLOOKUP($A320,'SegEnds_NonXtal_BW#'!$A:$Z,17,FALSE)+VLOOKUP($A320,A:AL,25,FALSE)-50),"-",(VLOOKUP($A320,'SegEnds_NonXtal_BW#'!$A:$Z,17,FALSE)+VLOOKUP($A320,A:AL,25,FALSE)-50))</f>
        <v>917</v>
      </c>
      <c r="Y320" s="3">
        <v>917</v>
      </c>
      <c r="Z320" s="3">
        <f t="shared" si="197"/>
        <v>919</v>
      </c>
      <c r="AA320" s="3">
        <f>IF(ISERROR(VLOOKUP($A320,'SegEnds_NonXtal_BW#'!$A:$Z,19,FALSE)+VLOOKUP($A320,A:AL,28,FALSE)-50),"-",(VLOOKUP($A320,'SegEnds_NonXtal_BW#'!$A:$Z,19,FALSE)+VLOOKUP($A320,A:AL,28,FALSE)-50))</f>
        <v>921</v>
      </c>
      <c r="AB320" s="3">
        <v>935</v>
      </c>
      <c r="AC320" s="3">
        <f>IF(ISERROR((VLOOKUP($A320,'SegEnds_NonXtal_BW#'!$A:$Z,20,FALSE)+VLOOKUP($A320,A:AL,28,FALSE)-50)),"-",(VLOOKUP($A320,'SegEnds_NonXtal_BW#'!$A:$Z,20,FALSE)+VLOOKUP($A320,A:AL,28,FALSE)-50))</f>
        <v>954</v>
      </c>
      <c r="AD320" s="3">
        <f>IF(ISERROR(VLOOKUP($A320,'SegEnds_NonXtal_BW#'!$A:$Z,21,FALSE)+VLOOKUP($A320,A:AL,31,FALSE)-50),"-",(VLOOKUP($A320,'SegEnds_NonXtal_BW#'!$A:$Z,21,FALSE)+VLOOKUP($A320,A:AL,31,FALSE)-50))</f>
        <v>1014</v>
      </c>
      <c r="AE320" s="3">
        <v>1035</v>
      </c>
      <c r="AF320" s="3">
        <f>IF(ISERROR((VLOOKUP($A320,'SegEnds_NonXtal_BW#'!$A:$Z,22,FALSE)+VLOOKUP($A320,A:AL,31,FALSE)-50)),"-",(VLOOKUP($A320,'SegEnds_NonXtal_BW#'!$A:$Z,22,FALSE)+VLOOKUP($A320,A:AL,31,FALSE)-50))</f>
        <v>1038</v>
      </c>
      <c r="AG320" s="3">
        <f>IF(ISERROR(VLOOKUP($A320,'SegEnds_NonXtal_BW#'!$A:$Z,23,FALSE)+VLOOKUP($A320,A:AL,34,FALSE)-50),"-",(VLOOKUP($A320,'SegEnds_NonXtal_BW#'!$A:$Z,23,FALSE)+VLOOKUP($A320,A:AL,34,FALSE)-50))</f>
        <v>1045</v>
      </c>
      <c r="AH320" s="3">
        <v>1066</v>
      </c>
      <c r="AI320" s="3">
        <f>IF(ISERROR((VLOOKUP($A320,'SegEnds_NonXtal_BW#'!$A:$Z,24,FALSE)+VLOOKUP($A320,A:AL,34,FALSE)-50)),"-",(VLOOKUP($A320,'SegEnds_NonXtal_BW#'!$A:$Z,24,FALSE)+VLOOKUP($A320,A:AL,34,FALSE)-50))</f>
        <v>1072</v>
      </c>
      <c r="AJ320" s="3">
        <f>IF(ISERROR(VLOOKUP($A320,'SegEnds_NonXtal_BW#'!$A:$Z,25,FALSE)+VLOOKUP($A320,A:AL,37,FALSE)-50),"-",(VLOOKUP($A320,'SegEnds_NonXtal_BW#'!$A:$Z,25,FALSE)+VLOOKUP($A320,A:AL,37,FALSE)-50))</f>
        <v>1073</v>
      </c>
      <c r="AK320" s="3">
        <v>1076</v>
      </c>
      <c r="AL320" s="3">
        <f>IF(ISERROR((VLOOKUP($A320,'SegEnds_NonXtal_BW#'!$A:$Z,26,FALSE)+VLOOKUP($A320,A:AL,37,FALSE)-50)),"-",(VLOOKUP($A320,'SegEnds_NonXtal_BW#'!$A:$Z,26,FALSE)+VLOOKUP($A320,A:AL,37,FALSE)-50))</f>
        <v>1089</v>
      </c>
      <c r="AM320" s="28" t="str">
        <f>VLOOKUP(A320,Classification!A:B,2,FALSE)</f>
        <v>B2</v>
      </c>
      <c r="AN320" s="28" t="b">
        <f t="shared" si="188"/>
        <v>1</v>
      </c>
      <c r="AO320" s="3" t="str">
        <f>IF(ISERROR(MATCH(A320,'SegEnds_Xtal_Prot#'!B:B, 0)), "NoXtal", "Xtal")</f>
        <v>NoXtal</v>
      </c>
      <c r="AP320" s="3" t="str">
        <f t="shared" si="173"/>
        <v>-</v>
      </c>
      <c r="AQ320" s="3" t="str">
        <f t="shared" si="174"/>
        <v>-</v>
      </c>
      <c r="AR320" s="3" t="str">
        <f t="shared" si="175"/>
        <v>-</v>
      </c>
      <c r="AS320" s="3" t="str">
        <f t="shared" si="176"/>
        <v>-</v>
      </c>
      <c r="AT320" s="3" t="str">
        <f t="shared" si="177"/>
        <v>-</v>
      </c>
      <c r="AU320" s="3" t="str">
        <f t="shared" si="178"/>
        <v>-</v>
      </c>
      <c r="AV320" s="3">
        <f t="shared" si="179"/>
        <v>7</v>
      </c>
      <c r="AW320" s="3">
        <f t="shared" si="180"/>
        <v>2</v>
      </c>
      <c r="AX320" s="3">
        <f t="shared" si="181"/>
        <v>60</v>
      </c>
      <c r="AY320" s="3">
        <f t="shared" si="182"/>
        <v>7</v>
      </c>
      <c r="AZ320" s="3">
        <f t="shared" si="183"/>
        <v>1</v>
      </c>
      <c r="BA320" s="3">
        <f>IF(ISERROR(LEN(VLOOKUP(A320,Seqs!A:E,2,FALSE))-AL320),"-",LEN(VLOOKUP(A320,Seqs!A:E,2,FALSE))-AL320)</f>
        <v>249</v>
      </c>
      <c r="BB320" s="16">
        <f t="shared" si="184"/>
        <v>26</v>
      </c>
      <c r="BC320" s="9" t="str">
        <f t="shared" si="185"/>
        <v>-</v>
      </c>
      <c r="BD320" s="3">
        <f t="shared" si="186"/>
        <v>26</v>
      </c>
      <c r="BE320" s="3">
        <f t="shared" si="187"/>
        <v>100</v>
      </c>
    </row>
    <row r="321" spans="1:59" s="3" customFormat="1" x14ac:dyDescent="0.2">
      <c r="A321" s="3" t="s">
        <v>1178</v>
      </c>
      <c r="B321" s="3" t="str">
        <f>LOWER(VLOOKUP(A321,Xtal_Templ!A:B,2,FALSE))</f>
        <v>crfr2_human</v>
      </c>
      <c r="C321" s="3">
        <f>VLOOKUP($A321,'SegEnds_NonXtal_BW#'!$A:$Z,3,FALSE)+D321-50</f>
        <v>750</v>
      </c>
      <c r="D321" s="3">
        <v>777</v>
      </c>
      <c r="E321" s="3">
        <f>IF(ISERROR(VLOOKUP($A321,'SegEnds_NonXtal_BW#'!$A:$Z,4,FALSE)+VLOOKUP($A321,A:AL,4,FALSE)-50),"-",(VLOOKUP($A321,'SegEnds_NonXtal_BW#'!$A:$Z,4,FALSE)+VLOOKUP($A321,A:AL,4,FALSE)-50))</f>
        <v>787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790</v>
      </c>
      <c r="J321" s="3">
        <v>803</v>
      </c>
      <c r="K321" s="3">
        <f>VLOOKUP($A321,'SegEnds_NonXtal_BW#'!$A:$Z,8,FALSE)+VLOOKUP($A321,A:AL,10,FALSE)-50</f>
        <v>816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823</v>
      </c>
      <c r="P321" s="3">
        <v>850</v>
      </c>
      <c r="Q321" s="3">
        <f>VLOOKUP($A321,'SegEnds_NonXtal_BW#'!$A:$Z,12,FALSE)+VLOOKUP($A321,A:AL,16,FALSE)-50</f>
        <v>856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873</v>
      </c>
      <c r="V321" s="3">
        <v>882</v>
      </c>
      <c r="W321" s="3">
        <f>IF(ISERROR(VLOOKUP($A321,'SegEnds_NonXtal_BW#'!$A:$Z,16,FALSE)+VLOOKUP($A321,A:AL,22,FALSE)-50),"-",(VLOOKUP($A321,'SegEnds_NonXtal_BW#'!$A:$Z,16,FALSE)+VLOOKUP($A321,A:AL,22,FALSE)-50))</f>
        <v>900</v>
      </c>
      <c r="X321" s="3">
        <f>IF(ISERROR(VLOOKUP($A321,'SegEnds_NonXtal_BW#'!$A:$Z,17,FALSE)+VLOOKUP($A321,A:AL,25,FALSE)-50),"-",(VLOOKUP($A321,'SegEnds_NonXtal_BW#'!$A:$Z,17,FALSE)+VLOOKUP($A321,A:AL,25,FALSE)-50))</f>
        <v>909</v>
      </c>
      <c r="Y321" s="3">
        <v>909</v>
      </c>
      <c r="Z321" s="3">
        <f t="shared" si="197"/>
        <v>911</v>
      </c>
      <c r="AA321" s="3">
        <f>IF(ISERROR(VLOOKUP($A321,'SegEnds_NonXtal_BW#'!$A:$Z,19,FALSE)+VLOOKUP($A321,A:AL,28,FALSE)-50),"-",(VLOOKUP($A321,'SegEnds_NonXtal_BW#'!$A:$Z,19,FALSE)+VLOOKUP($A321,A:AL,28,FALSE)-50))</f>
        <v>913</v>
      </c>
      <c r="AB321" s="3">
        <v>927</v>
      </c>
      <c r="AC321" s="3">
        <f>IF(ISERROR((VLOOKUP($A321,'SegEnds_NonXtal_BW#'!$A:$Z,20,FALSE)+VLOOKUP($A321,A:AL,28,FALSE)-50)),"-",(VLOOKUP($A321,'SegEnds_NonXtal_BW#'!$A:$Z,20,FALSE)+VLOOKUP($A321,A:AL,28,FALSE)-50))</f>
        <v>946</v>
      </c>
      <c r="AD321" s="3">
        <f>IF(ISERROR(VLOOKUP($A321,'SegEnds_NonXtal_BW#'!$A:$Z,21,FALSE)+VLOOKUP($A321,A:AL,31,FALSE)-50),"-",(VLOOKUP($A321,'SegEnds_NonXtal_BW#'!$A:$Z,21,FALSE)+VLOOKUP($A321,A:AL,31,FALSE)-50))</f>
        <v>991</v>
      </c>
      <c r="AE321" s="3">
        <v>1012</v>
      </c>
      <c r="AF321" s="3">
        <f>IF(ISERROR((VLOOKUP($A321,'SegEnds_NonXtal_BW#'!$A:$Z,22,FALSE)+VLOOKUP($A321,A:AL,31,FALSE)-50)),"-",(VLOOKUP($A321,'SegEnds_NonXtal_BW#'!$A:$Z,22,FALSE)+VLOOKUP($A321,A:AL,31,FALSE)-50))</f>
        <v>1015</v>
      </c>
      <c r="AG321" s="3">
        <f>IF(ISERROR(VLOOKUP($A321,'SegEnds_NonXtal_BW#'!$A:$Z,23,FALSE)+VLOOKUP($A321,A:AL,34,FALSE)-50),"-",(VLOOKUP($A321,'SegEnds_NonXtal_BW#'!$A:$Z,23,FALSE)+VLOOKUP($A321,A:AL,34,FALSE)-50))</f>
        <v>1022</v>
      </c>
      <c r="AH321" s="3">
        <v>1043</v>
      </c>
      <c r="AI321" s="3">
        <f>IF(ISERROR((VLOOKUP($A321,'SegEnds_NonXtal_BW#'!$A:$Z,24,FALSE)+VLOOKUP($A321,A:AL,34,FALSE)-50)),"-",(VLOOKUP($A321,'SegEnds_NonXtal_BW#'!$A:$Z,24,FALSE)+VLOOKUP($A321,A:AL,34,FALSE)-50))</f>
        <v>1049</v>
      </c>
      <c r="AJ321" s="3">
        <f>IF(ISERROR(VLOOKUP($A321,'SegEnds_NonXtal_BW#'!$A:$Z,25,FALSE)+VLOOKUP($A321,A:AL,37,FALSE)-50),"-",(VLOOKUP($A321,'SegEnds_NonXtal_BW#'!$A:$Z,25,FALSE)+VLOOKUP($A321,A:AL,37,FALSE)-50))</f>
        <v>1050</v>
      </c>
      <c r="AK321" s="3">
        <v>1053</v>
      </c>
      <c r="AL321" s="3">
        <f>IF(ISERROR((VLOOKUP($A321,'SegEnds_NonXtal_BW#'!$A:$Z,26,FALSE)+VLOOKUP($A321,A:AL,37,FALSE)-50)),"-",(VLOOKUP($A321,'SegEnds_NonXtal_BW#'!$A:$Z,26,FALSE)+VLOOKUP($A321,A:AL,37,FALSE)-50))</f>
        <v>1066</v>
      </c>
      <c r="AM321" s="28" t="str">
        <f>VLOOKUP(A321,Classification!A:B,2,FALSE)</f>
        <v>B2</v>
      </c>
      <c r="AN321" s="28" t="b">
        <f t="shared" si="188"/>
        <v>1</v>
      </c>
      <c r="AO321" s="3" t="str">
        <f>IF(ISERROR(MATCH(A321,'SegEnds_Xtal_Prot#'!B:B, 0)), "NoXtal", "Xtal")</f>
        <v>NoXtal</v>
      </c>
      <c r="AP321" s="3" t="str">
        <f t="shared" si="173"/>
        <v>-</v>
      </c>
      <c r="AQ321" s="3" t="str">
        <f t="shared" si="174"/>
        <v>-</v>
      </c>
      <c r="AR321" s="3" t="str">
        <f t="shared" si="175"/>
        <v>-</v>
      </c>
      <c r="AS321" s="3" t="str">
        <f t="shared" si="176"/>
        <v>-</v>
      </c>
      <c r="AT321" s="3" t="str">
        <f t="shared" si="177"/>
        <v>-</v>
      </c>
      <c r="AU321" s="3" t="str">
        <f t="shared" si="178"/>
        <v>-</v>
      </c>
      <c r="AV321" s="3">
        <f t="shared" si="179"/>
        <v>9</v>
      </c>
      <c r="AW321" s="3">
        <f t="shared" si="180"/>
        <v>2</v>
      </c>
      <c r="AX321" s="3">
        <f t="shared" si="181"/>
        <v>45</v>
      </c>
      <c r="AY321" s="3">
        <f t="shared" si="182"/>
        <v>7</v>
      </c>
      <c r="AZ321" s="3">
        <f t="shared" si="183"/>
        <v>1</v>
      </c>
      <c r="BA321" s="3">
        <f>IF(ISERROR(LEN(VLOOKUP(A321,Seqs!A:E,2,FALSE))-AL321),"-",LEN(VLOOKUP(A321,Seqs!A:E,2,FALSE))-AL321)</f>
        <v>255</v>
      </c>
      <c r="BB321" s="16">
        <f t="shared" si="184"/>
        <v>26</v>
      </c>
      <c r="BC321" s="9" t="str">
        <f t="shared" si="185"/>
        <v>-</v>
      </c>
      <c r="BD321" s="3">
        <f t="shared" si="186"/>
        <v>26</v>
      </c>
      <c r="BE321" s="3">
        <f t="shared" si="187"/>
        <v>85</v>
      </c>
    </row>
    <row r="322" spans="1:59" s="3" customFormat="1" x14ac:dyDescent="0.2">
      <c r="A322" s="3" t="s">
        <v>1179</v>
      </c>
      <c r="B322" s="3" t="str">
        <f>LOWER(VLOOKUP(A322,Xtal_Templ!A:B,2,FALSE))</f>
        <v>crfr1_human</v>
      </c>
      <c r="C322" s="3">
        <f>VLOOKUP($A322,'SegEnds_NonXtal_BW#'!$A:$Z,3,FALSE)+D322-50</f>
        <v>920</v>
      </c>
      <c r="D322" s="3">
        <v>947</v>
      </c>
      <c r="E322" s="3">
        <f>IF(ISERROR(VLOOKUP($A322,'SegEnds_NonXtal_BW#'!$A:$Z,4,FALSE)+VLOOKUP($A322,A:AL,4,FALSE)-50),"-",(VLOOKUP($A322,'SegEnds_NonXtal_BW#'!$A:$Z,4,FALSE)+VLOOKUP($A322,A:AL,4,FALSE)-50))</f>
        <v>957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963</v>
      </c>
      <c r="J322" s="3">
        <v>976</v>
      </c>
      <c r="K322" s="3">
        <f>VLOOKUP($A322,'SegEnds_NonXtal_BW#'!$A:$Z,8,FALSE)+VLOOKUP($A322,A:AL,10,FALSE)-50</f>
        <v>989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994</v>
      </c>
      <c r="P322" s="3">
        <v>1021</v>
      </c>
      <c r="Q322" s="3">
        <f>VLOOKUP($A322,'SegEnds_NonXtal_BW#'!$A:$Z,12,FALSE)+VLOOKUP($A322,A:AL,16,FALSE)-50</f>
        <v>1027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1033</v>
      </c>
      <c r="V322" s="3">
        <v>1043</v>
      </c>
      <c r="W322" s="3">
        <f>IF(ISERROR(VLOOKUP($A322,'SegEnds_NonXtal_BW#'!$A:$Z,16,FALSE)+VLOOKUP($A322,A:AL,22,FALSE)-50),"-",(VLOOKUP($A322,'SegEnds_NonXtal_BW#'!$A:$Z,16,FALSE)+VLOOKUP($A322,A:AL,22,FALSE)-50))</f>
        <v>1061</v>
      </c>
      <c r="X322" s="3">
        <f>IF(ISERROR(VLOOKUP($A322,'SegEnds_NonXtal_BW#'!$A:$Z,17,FALSE)+VLOOKUP($A322,A:AL,25,FALSE)-50),"-",(VLOOKUP($A322,'SegEnds_NonXtal_BW#'!$A:$Z,17,FALSE)+VLOOKUP($A322,A:AL,25,FALSE)-50))</f>
        <v>1068</v>
      </c>
      <c r="Y322" s="3">
        <v>1068</v>
      </c>
      <c r="Z322" s="3">
        <f t="shared" si="197"/>
        <v>1070</v>
      </c>
      <c r="AA322" s="3">
        <f>IF(ISERROR(VLOOKUP($A322,'SegEnds_NonXtal_BW#'!$A:$Z,19,FALSE)+VLOOKUP($A322,A:AL,28,FALSE)-50),"-",(VLOOKUP($A322,'SegEnds_NonXtal_BW#'!$A:$Z,19,FALSE)+VLOOKUP($A322,A:AL,28,FALSE)-50))</f>
        <v>1073</v>
      </c>
      <c r="AB322" s="3">
        <v>1087</v>
      </c>
      <c r="AC322" s="3">
        <f>IF(ISERROR((VLOOKUP($A322,'SegEnds_NonXtal_BW#'!$A:$Z,20,FALSE)+VLOOKUP($A322,A:AL,28,FALSE)-50)),"-",(VLOOKUP($A322,'SegEnds_NonXtal_BW#'!$A:$Z,20,FALSE)+VLOOKUP($A322,A:AL,28,FALSE)-50))</f>
        <v>1106</v>
      </c>
      <c r="AD322" s="3">
        <f>IF(ISERROR(VLOOKUP($A322,'SegEnds_NonXtal_BW#'!$A:$Z,21,FALSE)+VLOOKUP($A322,A:AL,31,FALSE)-50),"-",(VLOOKUP($A322,'SegEnds_NonXtal_BW#'!$A:$Z,21,FALSE)+VLOOKUP($A322,A:AL,31,FALSE)-50))</f>
        <v>1149</v>
      </c>
      <c r="AE322" s="3">
        <v>1170</v>
      </c>
      <c r="AF322" s="3">
        <f>IF(ISERROR((VLOOKUP($A322,'SegEnds_NonXtal_BW#'!$A:$Z,22,FALSE)+VLOOKUP($A322,A:AL,31,FALSE)-50)),"-",(VLOOKUP($A322,'SegEnds_NonXtal_BW#'!$A:$Z,22,FALSE)+VLOOKUP($A322,A:AL,31,FALSE)-50))</f>
        <v>1173</v>
      </c>
      <c r="AG322" s="3">
        <f>IF(ISERROR(VLOOKUP($A322,'SegEnds_NonXtal_BW#'!$A:$Z,23,FALSE)+VLOOKUP($A322,A:AL,34,FALSE)-50),"-",(VLOOKUP($A322,'SegEnds_NonXtal_BW#'!$A:$Z,23,FALSE)+VLOOKUP($A322,A:AL,34,FALSE)-50))</f>
        <v>1180</v>
      </c>
      <c r="AH322" s="3">
        <v>1199</v>
      </c>
      <c r="AI322" s="3">
        <f>IF(ISERROR((VLOOKUP($A322,'SegEnds_NonXtal_BW#'!$A:$Z,24,FALSE)+VLOOKUP($A322,A:AL,34,FALSE)-50)),"-",(VLOOKUP($A322,'SegEnds_NonXtal_BW#'!$A:$Z,24,FALSE)+VLOOKUP($A322,A:AL,34,FALSE)-50))</f>
        <v>1205</v>
      </c>
      <c r="AJ322" s="3">
        <f>IF(ISERROR(VLOOKUP($A322,'SegEnds_NonXtal_BW#'!$A:$Z,25,FALSE)+VLOOKUP($A322,A:AL,37,FALSE)-50),"-",(VLOOKUP($A322,'SegEnds_NonXtal_BW#'!$A:$Z,25,FALSE)+VLOOKUP($A322,A:AL,37,FALSE)-50))</f>
        <v>1206</v>
      </c>
      <c r="AK322" s="3">
        <v>1209</v>
      </c>
      <c r="AL322" s="3">
        <f>IF(ISERROR((VLOOKUP($A322,'SegEnds_NonXtal_BW#'!$A:$Z,26,FALSE)+VLOOKUP($A322,A:AL,37,FALSE)-50)),"-",(VLOOKUP($A322,'SegEnds_NonXtal_BW#'!$A:$Z,26,FALSE)+VLOOKUP($A322,A:AL,37,FALSE)-50))</f>
        <v>1222</v>
      </c>
      <c r="AM322" s="28" t="str">
        <f>VLOOKUP(A322,Classification!A:B,2,FALSE)</f>
        <v>B2</v>
      </c>
      <c r="AN322" s="28" t="b">
        <f t="shared" si="188"/>
        <v>1</v>
      </c>
      <c r="AO322" s="3" t="str">
        <f>IF(ISERROR(MATCH(A322,'SegEnds_Xtal_Prot#'!B:B, 0)), "NoXtal", "Xtal")</f>
        <v>NoXtal</v>
      </c>
      <c r="AP322" s="3" t="str">
        <f t="shared" si="173"/>
        <v>-</v>
      </c>
      <c r="AQ322" s="3" t="str">
        <f t="shared" si="174"/>
        <v>-</v>
      </c>
      <c r="AR322" s="3" t="str">
        <f t="shared" si="175"/>
        <v>-</v>
      </c>
      <c r="AS322" s="3" t="str">
        <f t="shared" si="176"/>
        <v>-</v>
      </c>
      <c r="AT322" s="3" t="str">
        <f t="shared" si="177"/>
        <v>-</v>
      </c>
      <c r="AU322" s="3" t="str">
        <f t="shared" si="178"/>
        <v>-</v>
      </c>
      <c r="AV322" s="3">
        <f t="shared" si="179"/>
        <v>7</v>
      </c>
      <c r="AW322" s="3">
        <f t="shared" si="180"/>
        <v>3</v>
      </c>
      <c r="AX322" s="3">
        <f t="shared" si="181"/>
        <v>43</v>
      </c>
      <c r="AY322" s="3">
        <f t="shared" si="182"/>
        <v>7</v>
      </c>
      <c r="AZ322" s="3">
        <f t="shared" si="183"/>
        <v>1</v>
      </c>
      <c r="BA322" s="3">
        <f>IF(ISERROR(LEN(VLOOKUP(A322,Seqs!A:E,2,FALSE))-AL322),"-",LEN(VLOOKUP(A322,Seqs!A:E,2,FALSE))-AL322)</f>
        <v>363</v>
      </c>
      <c r="BB322" s="16">
        <f t="shared" si="184"/>
        <v>29</v>
      </c>
      <c r="BC322" s="9" t="str">
        <f t="shared" si="185"/>
        <v>-</v>
      </c>
      <c r="BD322" s="3">
        <f t="shared" si="186"/>
        <v>29</v>
      </c>
      <c r="BE322" s="3">
        <f t="shared" si="187"/>
        <v>83</v>
      </c>
    </row>
    <row r="323" spans="1:59" s="3" customFormat="1" x14ac:dyDescent="0.2">
      <c r="A323" s="3" t="s">
        <v>1180</v>
      </c>
      <c r="B323" s="3" t="str">
        <f>LOWER(VLOOKUP(A323,Xtal_Templ!A:B,2,FALSE))</f>
        <v>crfr1_human</v>
      </c>
      <c r="C323" s="3">
        <f>VLOOKUP($A323,'SegEnds_NonXtal_BW#'!$A:$Z,3,FALSE)+D323-50</f>
        <v>865</v>
      </c>
      <c r="D323" s="3">
        <v>892</v>
      </c>
      <c r="E323" s="3">
        <f>IF(ISERROR(VLOOKUP($A323,'SegEnds_NonXtal_BW#'!$A:$Z,4,FALSE)+VLOOKUP($A323,A:AL,4,FALSE)-50),"-",(VLOOKUP($A323,'SegEnds_NonXtal_BW#'!$A:$Z,4,FALSE)+VLOOKUP($A323,A:AL,4,FALSE)-50))</f>
        <v>902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908</v>
      </c>
      <c r="J323" s="3">
        <v>921</v>
      </c>
      <c r="K323" s="3">
        <f>VLOOKUP($A323,'SegEnds_NonXtal_BW#'!$A:$Z,8,FALSE)+VLOOKUP($A323,A:AL,10,FALSE)-50</f>
        <v>934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939</v>
      </c>
      <c r="P323" s="3">
        <v>966</v>
      </c>
      <c r="Q323" s="3">
        <f>VLOOKUP($A323,'SegEnds_NonXtal_BW#'!$A:$Z,12,FALSE)+VLOOKUP($A323,A:AL,16,FALSE)-50</f>
        <v>972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978</v>
      </c>
      <c r="V323" s="3">
        <v>988</v>
      </c>
      <c r="W323" s="3">
        <f>IF(ISERROR(VLOOKUP($A323,'SegEnds_NonXtal_BW#'!$A:$Z,16,FALSE)+VLOOKUP($A323,A:AL,22,FALSE)-50),"-",(VLOOKUP($A323,'SegEnds_NonXtal_BW#'!$A:$Z,16,FALSE)+VLOOKUP($A323,A:AL,22,FALSE)-50))</f>
        <v>1006</v>
      </c>
      <c r="X323" s="3">
        <f>IF(ISERROR(VLOOKUP($A323,'SegEnds_NonXtal_BW#'!$A:$Z,17,FALSE)+VLOOKUP($A323,A:AL,25,FALSE)-50),"-",(VLOOKUP($A323,'SegEnds_NonXtal_BW#'!$A:$Z,17,FALSE)+VLOOKUP($A323,A:AL,25,FALSE)-50))</f>
        <v>1013</v>
      </c>
      <c r="Y323" s="3">
        <v>1013</v>
      </c>
      <c r="Z323" s="3">
        <f t="shared" si="197"/>
        <v>1015</v>
      </c>
      <c r="AA323" s="3">
        <f>IF(ISERROR(VLOOKUP($A323,'SegEnds_NonXtal_BW#'!$A:$Z,19,FALSE)+VLOOKUP($A323,A:AL,28,FALSE)-50),"-",(VLOOKUP($A323,'SegEnds_NonXtal_BW#'!$A:$Z,19,FALSE)+VLOOKUP($A323,A:AL,28,FALSE)-50))</f>
        <v>1018</v>
      </c>
      <c r="AB323" s="3">
        <v>1032</v>
      </c>
      <c r="AC323" s="3">
        <f>IF(ISERROR((VLOOKUP($A323,'SegEnds_NonXtal_BW#'!$A:$Z,20,FALSE)+VLOOKUP($A323,A:AL,28,FALSE)-50)),"-",(VLOOKUP($A323,'SegEnds_NonXtal_BW#'!$A:$Z,20,FALSE)+VLOOKUP($A323,A:AL,28,FALSE)-50))</f>
        <v>1051</v>
      </c>
      <c r="AD323" s="3">
        <f>IF(ISERROR(VLOOKUP($A323,'SegEnds_NonXtal_BW#'!$A:$Z,21,FALSE)+VLOOKUP($A323,A:AL,31,FALSE)-50),"-",(VLOOKUP($A323,'SegEnds_NonXtal_BW#'!$A:$Z,21,FALSE)+VLOOKUP($A323,A:AL,31,FALSE)-50))</f>
        <v>1094</v>
      </c>
      <c r="AE323" s="3">
        <v>1115</v>
      </c>
      <c r="AF323" s="3">
        <f>IF(ISERROR((VLOOKUP($A323,'SegEnds_NonXtal_BW#'!$A:$Z,22,FALSE)+VLOOKUP($A323,A:AL,31,FALSE)-50)),"-",(VLOOKUP($A323,'SegEnds_NonXtal_BW#'!$A:$Z,22,FALSE)+VLOOKUP($A323,A:AL,31,FALSE)-50))</f>
        <v>1118</v>
      </c>
      <c r="AG323" s="3">
        <f>IF(ISERROR(VLOOKUP($A323,'SegEnds_NonXtal_BW#'!$A:$Z,23,FALSE)+VLOOKUP($A323,A:AL,34,FALSE)-50),"-",(VLOOKUP($A323,'SegEnds_NonXtal_BW#'!$A:$Z,23,FALSE)+VLOOKUP($A323,A:AL,34,FALSE)-50))</f>
        <v>1125</v>
      </c>
      <c r="AH323" s="3">
        <v>1144</v>
      </c>
      <c r="AI323" s="3">
        <f>IF(ISERROR((VLOOKUP($A323,'SegEnds_NonXtal_BW#'!$A:$Z,24,FALSE)+VLOOKUP($A323,A:AL,34,FALSE)-50)),"-",(VLOOKUP($A323,'SegEnds_NonXtal_BW#'!$A:$Z,24,FALSE)+VLOOKUP($A323,A:AL,34,FALSE)-50))</f>
        <v>1150</v>
      </c>
      <c r="AJ323" s="3">
        <f>IF(ISERROR(VLOOKUP($A323,'SegEnds_NonXtal_BW#'!$A:$Z,25,FALSE)+VLOOKUP($A323,A:AL,37,FALSE)-50),"-",(VLOOKUP($A323,'SegEnds_NonXtal_BW#'!$A:$Z,25,FALSE)+VLOOKUP($A323,A:AL,37,FALSE)-50))</f>
        <v>1151</v>
      </c>
      <c r="AK323" s="3">
        <v>1154</v>
      </c>
      <c r="AL323" s="3">
        <f>IF(ISERROR((VLOOKUP($A323,'SegEnds_NonXtal_BW#'!$A:$Z,26,FALSE)+VLOOKUP($A323,A:AL,37,FALSE)-50)),"-",(VLOOKUP($A323,'SegEnds_NonXtal_BW#'!$A:$Z,26,FALSE)+VLOOKUP($A323,A:AL,37,FALSE)-50))</f>
        <v>1167</v>
      </c>
      <c r="AM323" s="28" t="str">
        <f>VLOOKUP(A323,Classification!A:B,2,FALSE)</f>
        <v>B2</v>
      </c>
      <c r="AN323" s="28" t="b">
        <f t="shared" si="188"/>
        <v>1</v>
      </c>
      <c r="AO323" s="3" t="str">
        <f>IF(ISERROR(MATCH(A323,'SegEnds_Xtal_Prot#'!B:B, 0)), "NoXtal", "Xtal")</f>
        <v>NoXtal</v>
      </c>
      <c r="AP323" s="3" t="str">
        <f t="shared" si="173"/>
        <v>-</v>
      </c>
      <c r="AQ323" s="3" t="str">
        <f t="shared" si="174"/>
        <v>-</v>
      </c>
      <c r="AR323" s="3" t="str">
        <f t="shared" si="175"/>
        <v>-</v>
      </c>
      <c r="AS323" s="3" t="str">
        <f t="shared" si="176"/>
        <v>-</v>
      </c>
      <c r="AT323" s="3" t="str">
        <f t="shared" si="177"/>
        <v>-</v>
      </c>
      <c r="AU323" s="3" t="str">
        <f t="shared" si="178"/>
        <v>-</v>
      </c>
      <c r="AV323" s="3">
        <f t="shared" si="179"/>
        <v>7</v>
      </c>
      <c r="AW323" s="3">
        <f t="shared" si="180"/>
        <v>3</v>
      </c>
      <c r="AX323" s="3">
        <f t="shared" si="181"/>
        <v>43</v>
      </c>
      <c r="AY323" s="3">
        <f t="shared" si="182"/>
        <v>7</v>
      </c>
      <c r="AZ323" s="3">
        <f t="shared" si="183"/>
        <v>1</v>
      </c>
      <c r="BA323" s="3">
        <f>IF(ISERROR(LEN(VLOOKUP(A323,Seqs!A:E,2,FALSE))-AL323),"-",LEN(VLOOKUP(A323,Seqs!A:E,2,FALSE))-AL323)</f>
        <v>355</v>
      </c>
      <c r="BB323" s="16">
        <f t="shared" si="184"/>
        <v>29</v>
      </c>
      <c r="BC323" s="9" t="str">
        <f t="shared" si="185"/>
        <v>-</v>
      </c>
      <c r="BD323" s="3">
        <f t="shared" si="186"/>
        <v>29</v>
      </c>
      <c r="BE323" s="3">
        <f t="shared" si="187"/>
        <v>83</v>
      </c>
    </row>
    <row r="324" spans="1:59" s="3" customFormat="1" x14ac:dyDescent="0.2">
      <c r="A324" s="3" t="s">
        <v>1181</v>
      </c>
      <c r="B324" s="3" t="str">
        <f>LOWER(VLOOKUP(A324,Xtal_Templ!A:B,2,FALSE))</f>
        <v>crfr1_human</v>
      </c>
      <c r="C324" s="3">
        <f>VLOOKUP($A324,'SegEnds_NonXtal_BW#'!$A:$Z,3,FALSE)+D324-50</f>
        <v>554</v>
      </c>
      <c r="D324" s="3">
        <v>581</v>
      </c>
      <c r="E324" s="3">
        <f>IF(ISERROR(VLOOKUP($A324,'SegEnds_NonXtal_BW#'!$A:$Z,4,FALSE)+VLOOKUP($A324,A:AL,4,FALSE)-50),"-",(VLOOKUP($A324,'SegEnds_NonXtal_BW#'!$A:$Z,4,FALSE)+VLOOKUP($A324,A:AL,4,FALSE)-50))</f>
        <v>591</v>
      </c>
      <c r="F324" s="3">
        <f>G324-2</f>
        <v>592</v>
      </c>
      <c r="G324" s="3">
        <v>594</v>
      </c>
      <c r="H324" s="3">
        <f>G324+1</f>
        <v>595</v>
      </c>
      <c r="I324" s="3">
        <f>H324+1</f>
        <v>596</v>
      </c>
      <c r="J324" s="3">
        <v>612</v>
      </c>
      <c r="K324" s="3">
        <f>VLOOKUP($A324,'SegEnds_NonXtal_BW#'!$A:$Z,8,FALSE)+VLOOKUP($A324,A:AL,10,FALSE)-50</f>
        <v>625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630</v>
      </c>
      <c r="P324" s="3">
        <v>657</v>
      </c>
      <c r="Q324" s="3">
        <f>VLOOKUP($A324,'SegEnds_NonXtal_BW#'!$A:$Z,12,FALSE)+VLOOKUP($A324,A:AL,16,FALSE)-50</f>
        <v>663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670</v>
      </c>
      <c r="V324" s="3">
        <v>680</v>
      </c>
      <c r="W324" s="3">
        <f>IF(ISERROR(VLOOKUP($A324,'SegEnds_NonXtal_BW#'!$A:$Z,16,FALSE)+VLOOKUP($A324,A:AL,22,FALSE)-50),"-",(VLOOKUP($A324,'SegEnds_NonXtal_BW#'!$A:$Z,16,FALSE)+VLOOKUP($A324,A:AL,22,FALSE)-50))</f>
        <v>698</v>
      </c>
      <c r="X324" s="3">
        <f>IF(ISERROR(VLOOKUP($A324,'SegEnds_NonXtal_BW#'!$A:$Z,17,FALSE)+VLOOKUP($A324,A:AL,25,FALSE)-50),"-",(VLOOKUP($A324,'SegEnds_NonXtal_BW#'!$A:$Z,17,FALSE)+VLOOKUP($A324,A:AL,25,FALSE)-50))</f>
        <v>704</v>
      </c>
      <c r="Y324" s="3">
        <v>704</v>
      </c>
      <c r="Z324" s="3">
        <f t="shared" si="197"/>
        <v>706</v>
      </c>
      <c r="AA324" s="3">
        <f>IF(ISERROR(VLOOKUP($A324,'SegEnds_NonXtal_BW#'!$A:$Z,19,FALSE)+VLOOKUP($A324,A:AL,28,FALSE)-50),"-",(VLOOKUP($A324,'SegEnds_NonXtal_BW#'!$A:$Z,19,FALSE)+VLOOKUP($A324,A:AL,28,FALSE)-50))</f>
        <v>709</v>
      </c>
      <c r="AB324" s="3">
        <v>723</v>
      </c>
      <c r="AC324" s="3">
        <f>IF(ISERROR((VLOOKUP($A324,'SegEnds_NonXtal_BW#'!$A:$Z,20,FALSE)+VLOOKUP($A324,A:AL,28,FALSE)-50)),"-",(VLOOKUP($A324,'SegEnds_NonXtal_BW#'!$A:$Z,20,FALSE)+VLOOKUP($A324,A:AL,28,FALSE)-50))</f>
        <v>742</v>
      </c>
      <c r="AD324" s="3">
        <f>IF(ISERROR(VLOOKUP($A324,'SegEnds_NonXtal_BW#'!$A:$Z,21,FALSE)+VLOOKUP($A324,A:AL,31,FALSE)-50),"-",(VLOOKUP($A324,'SegEnds_NonXtal_BW#'!$A:$Z,21,FALSE)+VLOOKUP($A324,A:AL,31,FALSE)-50))</f>
        <v>754</v>
      </c>
      <c r="AE324" s="3">
        <v>775</v>
      </c>
      <c r="AF324" s="3">
        <f>IF(ISERROR((VLOOKUP($A324,'SegEnds_NonXtal_BW#'!$A:$Z,22,FALSE)+VLOOKUP($A324,A:AL,31,FALSE)-50)),"-",(VLOOKUP($A324,'SegEnds_NonXtal_BW#'!$A:$Z,22,FALSE)+VLOOKUP($A324,A:AL,31,FALSE)-50))</f>
        <v>778</v>
      </c>
      <c r="AG324" s="3">
        <f>IF(ISERROR(VLOOKUP($A324,'SegEnds_NonXtal_BW#'!$A:$Z,23,FALSE)+VLOOKUP($A324,A:AL,34,FALSE)-50),"-",(VLOOKUP($A324,'SegEnds_NonXtal_BW#'!$A:$Z,23,FALSE)+VLOOKUP($A324,A:AL,34,FALSE)-50))</f>
        <v>784</v>
      </c>
      <c r="AH324" s="3">
        <v>803</v>
      </c>
      <c r="AI324" s="3">
        <f>IF(ISERROR((VLOOKUP($A324,'SegEnds_NonXtal_BW#'!$A:$Z,24,FALSE)+VLOOKUP($A324,A:AL,34,FALSE)-50)),"-",(VLOOKUP($A324,'SegEnds_NonXtal_BW#'!$A:$Z,24,FALSE)+VLOOKUP($A324,A:AL,34,FALSE)-50))</f>
        <v>809</v>
      </c>
      <c r="AJ324" s="3">
        <f>IF(ISERROR(VLOOKUP($A324,'SegEnds_NonXtal_BW#'!$A:$Z,25,FALSE)+VLOOKUP($A324,A:AL,37,FALSE)-50),"-",(VLOOKUP($A324,'SegEnds_NonXtal_BW#'!$A:$Z,25,FALSE)+VLOOKUP($A324,A:AL,37,FALSE)-50))</f>
        <v>810</v>
      </c>
      <c r="AK324" s="3">
        <v>813</v>
      </c>
      <c r="AL324" s="3">
        <f>IF(ISERROR((VLOOKUP($A324,'SegEnds_NonXtal_BW#'!$A:$Z,26,FALSE)+VLOOKUP($A324,A:AL,37,FALSE)-50)),"-",(VLOOKUP($A324,'SegEnds_NonXtal_BW#'!$A:$Z,26,FALSE)+VLOOKUP($A324,A:AL,37,FALSE)-50))</f>
        <v>826</v>
      </c>
      <c r="AM324" s="28" t="str">
        <f>VLOOKUP(A324,Classification!A:B,2,FALSE)</f>
        <v>B2</v>
      </c>
      <c r="AN324" s="28" t="b">
        <f t="shared" si="188"/>
        <v>1</v>
      </c>
      <c r="AO324" s="3" t="str">
        <f>IF(ISERROR(MATCH(A324,'SegEnds_Xtal_Prot#'!B:B, 0)), "NoXtal", "Xtal")</f>
        <v>NoXtal</v>
      </c>
      <c r="AP324" s="3">
        <f t="shared" si="173"/>
        <v>1</v>
      </c>
      <c r="AQ324" s="3">
        <f t="shared" si="174"/>
        <v>1</v>
      </c>
      <c r="AR324" s="3" t="str">
        <f t="shared" si="175"/>
        <v>-</v>
      </c>
      <c r="AS324" s="3" t="str">
        <f t="shared" si="176"/>
        <v>-</v>
      </c>
      <c r="AT324" s="3" t="str">
        <f t="shared" si="177"/>
        <v>-</v>
      </c>
      <c r="AU324" s="3" t="str">
        <f t="shared" si="178"/>
        <v>-</v>
      </c>
      <c r="AV324" s="3">
        <f t="shared" si="179"/>
        <v>6</v>
      </c>
      <c r="AW324" s="3">
        <f t="shared" si="180"/>
        <v>3</v>
      </c>
      <c r="AX324" s="3">
        <f t="shared" si="181"/>
        <v>12</v>
      </c>
      <c r="AY324" s="3">
        <f t="shared" si="182"/>
        <v>6</v>
      </c>
      <c r="AZ324" s="3">
        <f t="shared" si="183"/>
        <v>1</v>
      </c>
      <c r="BA324" s="3">
        <f>IF(ISERROR(LEN(VLOOKUP(A324,Seqs!A:E,2,FALSE))-AL324),"-",LEN(VLOOKUP(A324,Seqs!A:E,2,FALSE))-AL324)</f>
        <v>48</v>
      </c>
      <c r="BB324" s="16">
        <f t="shared" si="184"/>
        <v>31</v>
      </c>
      <c r="BC324" s="9" t="str">
        <f t="shared" si="185"/>
        <v>-</v>
      </c>
      <c r="BD324" s="3">
        <f t="shared" si="186"/>
        <v>31</v>
      </c>
      <c r="BE324" s="3">
        <f t="shared" si="187"/>
        <v>52</v>
      </c>
    </row>
    <row r="325" spans="1:59" s="3" customFormat="1" x14ac:dyDescent="0.2">
      <c r="A325" s="3" t="s">
        <v>1182</v>
      </c>
      <c r="B325" s="3" t="str">
        <f>LOWER(VLOOKUP(A325,Xtal_Templ!A:B,2,FALSE))</f>
        <v>crfr1_human</v>
      </c>
      <c r="C325" s="3">
        <f>VLOOKUP($A325,'SegEnds_NonXtal_BW#'!$A:$Z,3,FALSE)+D325-50</f>
        <v>646</v>
      </c>
      <c r="D325" s="3">
        <v>673</v>
      </c>
      <c r="E325" s="3">
        <f>IF(ISERROR(VLOOKUP($A325,'SegEnds_NonXtal_BW#'!$A:$Z,4,FALSE)+VLOOKUP($A325,A:AL,4,FALSE)-50),"-",(VLOOKUP($A325,'SegEnds_NonXtal_BW#'!$A:$Z,4,FALSE)+VLOOKUP($A325,A:AL,4,FALSE)-50))</f>
        <v>683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688</v>
      </c>
      <c r="J325" s="3">
        <v>701</v>
      </c>
      <c r="K325" s="3">
        <f>VLOOKUP($A325,'SegEnds_NonXtal_BW#'!$A:$Z,8,FALSE)+VLOOKUP($A325,A:AL,10,FALSE)-50</f>
        <v>714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719</v>
      </c>
      <c r="P325" s="3">
        <v>746</v>
      </c>
      <c r="Q325" s="3">
        <f>VLOOKUP($A325,'SegEnds_NonXtal_BW#'!$A:$Z,12,FALSE)+VLOOKUP($A325,A:AL,16,FALSE)-50</f>
        <v>752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759</v>
      </c>
      <c r="V325" s="3">
        <v>769</v>
      </c>
      <c r="W325" s="3">
        <f>IF(ISERROR(VLOOKUP($A325,'SegEnds_NonXtal_BW#'!$A:$Z,16,FALSE)+VLOOKUP($A325,A:AL,22,FALSE)-50),"-",(VLOOKUP($A325,'SegEnds_NonXtal_BW#'!$A:$Z,16,FALSE)+VLOOKUP($A325,A:AL,22,FALSE)-50))</f>
        <v>787</v>
      </c>
      <c r="X325" s="3">
        <f>IF(ISERROR(VLOOKUP($A325,'SegEnds_NonXtal_BW#'!$A:$Z,17,FALSE)+VLOOKUP($A325,A:AL,25,FALSE)-50),"-",(VLOOKUP($A325,'SegEnds_NonXtal_BW#'!$A:$Z,17,FALSE)+VLOOKUP($A325,A:AL,25,FALSE)-50))</f>
        <v>793</v>
      </c>
      <c r="Y325" s="3">
        <v>793</v>
      </c>
      <c r="Z325" s="3">
        <f t="shared" si="197"/>
        <v>795</v>
      </c>
      <c r="AA325" s="3">
        <f>IF(ISERROR(VLOOKUP($A325,'SegEnds_NonXtal_BW#'!$A:$Z,19,FALSE)+VLOOKUP($A325,A:AL,28,FALSE)-50),"-",(VLOOKUP($A325,'SegEnds_NonXtal_BW#'!$A:$Z,19,FALSE)+VLOOKUP($A325,A:AL,28,FALSE)-50))</f>
        <v>798</v>
      </c>
      <c r="AB325" s="3">
        <v>812</v>
      </c>
      <c r="AC325" s="3">
        <f>IF(ISERROR((VLOOKUP($A325,'SegEnds_NonXtal_BW#'!$A:$Z,20,FALSE)+VLOOKUP($A325,A:AL,28,FALSE)-50)),"-",(VLOOKUP($A325,'SegEnds_NonXtal_BW#'!$A:$Z,20,FALSE)+VLOOKUP($A325,A:AL,28,FALSE)-50))</f>
        <v>831</v>
      </c>
      <c r="AD325" s="3">
        <f>IF(ISERROR(VLOOKUP($A325,'SegEnds_NonXtal_BW#'!$A:$Z,21,FALSE)+VLOOKUP($A325,A:AL,31,FALSE)-50),"-",(VLOOKUP($A325,'SegEnds_NonXtal_BW#'!$A:$Z,21,FALSE)+VLOOKUP($A325,A:AL,31,FALSE)-50))</f>
        <v>857</v>
      </c>
      <c r="AE325" s="3">
        <v>878</v>
      </c>
      <c r="AF325" s="3">
        <f>IF(ISERROR((VLOOKUP($A325,'SegEnds_NonXtal_BW#'!$A:$Z,22,FALSE)+VLOOKUP($A325,A:AL,31,FALSE)-50)),"-",(VLOOKUP($A325,'SegEnds_NonXtal_BW#'!$A:$Z,22,FALSE)+VLOOKUP($A325,A:AL,31,FALSE)-50))</f>
        <v>878</v>
      </c>
      <c r="AG325" s="3">
        <f>IF(ISERROR(VLOOKUP($A325,'SegEnds_NonXtal_BW#'!$A:$Z,23,FALSE)+VLOOKUP($A325,A:AL,34,FALSE)-50),"-",(VLOOKUP($A325,'SegEnds_NonXtal_BW#'!$A:$Z,23,FALSE)+VLOOKUP($A325,A:AL,34,FALSE)-50))</f>
        <v>881</v>
      </c>
      <c r="AH325" s="3">
        <v>898</v>
      </c>
      <c r="AI325" s="3">
        <f>IF(ISERROR((VLOOKUP($A325,'SegEnds_NonXtal_BW#'!$A:$Z,24,FALSE)+VLOOKUP($A325,A:AL,34,FALSE)-50)),"-",(VLOOKUP($A325,'SegEnds_NonXtal_BW#'!$A:$Z,24,FALSE)+VLOOKUP($A325,A:AL,34,FALSE)-50))</f>
        <v>904</v>
      </c>
      <c r="AJ325" s="3">
        <f>IF(ISERROR(VLOOKUP($A325,'SegEnds_NonXtal_BW#'!$A:$Z,25,FALSE)+VLOOKUP($A325,A:AL,37,FALSE)-50),"-",(VLOOKUP($A325,'SegEnds_NonXtal_BW#'!$A:$Z,25,FALSE)+VLOOKUP($A325,A:AL,37,FALSE)-50))</f>
        <v>905</v>
      </c>
      <c r="AK325" s="3">
        <v>908</v>
      </c>
      <c r="AL325" s="3">
        <f>IF(ISERROR((VLOOKUP($A325,'SegEnds_NonXtal_BW#'!$A:$Z,26,FALSE)+VLOOKUP($A325,A:AL,37,FALSE)-50)),"-",(VLOOKUP($A325,'SegEnds_NonXtal_BW#'!$A:$Z,26,FALSE)+VLOOKUP($A325,A:AL,37,FALSE)-50))</f>
        <v>921</v>
      </c>
      <c r="AM325" s="28" t="str">
        <f>VLOOKUP(A325,Classification!A:B,2,FALSE)</f>
        <v>B2</v>
      </c>
      <c r="AN325" s="28" t="b">
        <f t="shared" si="188"/>
        <v>1</v>
      </c>
      <c r="AO325" s="3" t="str">
        <f>IF(ISERROR(MATCH(A325,'SegEnds_Xtal_Prot#'!B:B, 0)), "NoXtal", "Xtal")</f>
        <v>NoXtal</v>
      </c>
      <c r="AP325" s="3" t="str">
        <f t="shared" si="173"/>
        <v>-</v>
      </c>
      <c r="AQ325" s="3" t="str">
        <f t="shared" si="174"/>
        <v>-</v>
      </c>
      <c r="AR325" s="3" t="str">
        <f t="shared" si="175"/>
        <v>-</v>
      </c>
      <c r="AS325" s="3" t="str">
        <f t="shared" si="176"/>
        <v>-</v>
      </c>
      <c r="AT325" s="3" t="str">
        <f t="shared" si="177"/>
        <v>-</v>
      </c>
      <c r="AU325" s="3" t="str">
        <f t="shared" si="178"/>
        <v>-</v>
      </c>
      <c r="AV325" s="3">
        <f t="shared" si="179"/>
        <v>6</v>
      </c>
      <c r="AW325" s="3">
        <f t="shared" si="180"/>
        <v>3</v>
      </c>
      <c r="AX325" s="3">
        <f t="shared" si="181"/>
        <v>26</v>
      </c>
      <c r="AY325" s="3">
        <f t="shared" si="182"/>
        <v>3</v>
      </c>
      <c r="AZ325" s="3">
        <f t="shared" si="183"/>
        <v>1</v>
      </c>
      <c r="BA325" s="3">
        <f>IF(ISERROR(LEN(VLOOKUP(A325,Seqs!A:E,2,FALSE))-AL325),"-",LEN(VLOOKUP(A325,Seqs!A:E,2,FALSE))-AL325)</f>
        <v>42</v>
      </c>
      <c r="BB325" s="16">
        <f t="shared" si="184"/>
        <v>28</v>
      </c>
      <c r="BC325" s="9" t="str">
        <f t="shared" si="185"/>
        <v>-</v>
      </c>
      <c r="BD325" s="3">
        <f t="shared" si="186"/>
        <v>28</v>
      </c>
      <c r="BE325" s="3">
        <f t="shared" si="187"/>
        <v>66</v>
      </c>
    </row>
    <row r="326" spans="1:59" s="3" customFormat="1" x14ac:dyDescent="0.2">
      <c r="A326" s="3" t="s">
        <v>1183</v>
      </c>
      <c r="B326" s="3" t="str">
        <f>LOWER(VLOOKUP(A326,Xtal_Templ!A:B,2,FALSE))</f>
        <v>pth1r_human</v>
      </c>
      <c r="C326" s="3">
        <f>VLOOKUP($A326,'SegEnds_NonXtal_BW#'!$A:$Z,3,FALSE)+D326-50</f>
        <v>590</v>
      </c>
      <c r="D326" s="3">
        <v>617</v>
      </c>
      <c r="E326" s="3">
        <f>IF(ISERROR(VLOOKUP($A326,'SegEnds_NonXtal_BW#'!$A:$Z,4,FALSE)+VLOOKUP($A326,A:AL,4,FALSE)-50),"-",(VLOOKUP($A326,'SegEnds_NonXtal_BW#'!$A:$Z,4,FALSE)+VLOOKUP($A326,A:AL,4,FALSE)-50))</f>
        <v>627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632</v>
      </c>
      <c r="J326" s="3">
        <v>645</v>
      </c>
      <c r="K326" s="3">
        <f>VLOOKUP($A326,'SegEnds_NonXtal_BW#'!$A:$Z,8,FALSE)+VLOOKUP($A326,A:AL,10,FALSE)-50</f>
        <v>658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663</v>
      </c>
      <c r="P326" s="3">
        <v>690</v>
      </c>
      <c r="Q326" s="3">
        <f>VLOOKUP($A326,'SegEnds_NonXtal_BW#'!$A:$Z,12,FALSE)+VLOOKUP($A326,A:AL,16,FALSE)-50</f>
        <v>696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705</v>
      </c>
      <c r="V326" s="3">
        <v>718</v>
      </c>
      <c r="W326" s="3">
        <f>IF(ISERROR(VLOOKUP($A326,'SegEnds_NonXtal_BW#'!$A:$Z,16,FALSE)+VLOOKUP($A326,A:AL,22,FALSE)-50),"-",(VLOOKUP($A326,'SegEnds_NonXtal_BW#'!$A:$Z,16,FALSE)+VLOOKUP($A326,A:AL,22,FALSE)-50))</f>
        <v>736</v>
      </c>
      <c r="X326" s="3">
        <f>IF(ISERROR(VLOOKUP($A326,'SegEnds_NonXtal_BW#'!$A:$Z,17,FALSE)+VLOOKUP($A326,A:AL,25,FALSE)-50),"-",(VLOOKUP($A326,'SegEnds_NonXtal_BW#'!$A:$Z,17,FALSE)+VLOOKUP($A326,A:AL,25,FALSE)-50))</f>
        <v>742</v>
      </c>
      <c r="Y326" s="3">
        <v>742</v>
      </c>
      <c r="Z326" s="3">
        <f t="shared" si="197"/>
        <v>744</v>
      </c>
      <c r="AA326" s="3">
        <f>IF(ISERROR(VLOOKUP($A326,'SegEnds_NonXtal_BW#'!$A:$Z,19,FALSE)+VLOOKUP($A326,A:AL,28,FALSE)-50),"-",(VLOOKUP($A326,'SegEnds_NonXtal_BW#'!$A:$Z,19,FALSE)+VLOOKUP($A326,A:AL,28,FALSE)-50))</f>
        <v>747</v>
      </c>
      <c r="AB326" s="3">
        <v>761</v>
      </c>
      <c r="AC326" s="3">
        <f>IF(ISERROR((VLOOKUP($A326,'SegEnds_NonXtal_BW#'!$A:$Z,20,FALSE)+VLOOKUP($A326,A:AL,28,FALSE)-50)),"-",(VLOOKUP($A326,'SegEnds_NonXtal_BW#'!$A:$Z,20,FALSE)+VLOOKUP($A326,A:AL,28,FALSE)-50))</f>
        <v>780</v>
      </c>
      <c r="AD326" s="3">
        <f>IF(ISERROR(VLOOKUP($A326,'SegEnds_NonXtal_BW#'!$A:$Z,21,FALSE)+VLOOKUP($A326,A:AL,31,FALSE)-50),"-",(VLOOKUP($A326,'SegEnds_NonXtal_BW#'!$A:$Z,21,FALSE)+VLOOKUP($A326,A:AL,31,FALSE)-50))</f>
        <v>792</v>
      </c>
      <c r="AE326" s="3">
        <v>813</v>
      </c>
      <c r="AF326" s="3">
        <f>IF(ISERROR((VLOOKUP($A326,'SegEnds_NonXtal_BW#'!$A:$Z,22,FALSE)+VLOOKUP($A326,A:AL,31,FALSE)-50)),"-",(VLOOKUP($A326,'SegEnds_NonXtal_BW#'!$A:$Z,22,FALSE)+VLOOKUP($A326,A:AL,31,FALSE)-50))</f>
        <v>817</v>
      </c>
      <c r="AG326" s="3">
        <f>IF(ISERROR(VLOOKUP($A326,'SegEnds_NonXtal_BW#'!$A:$Z,23,FALSE)+VLOOKUP($A326,A:AL,34,FALSE)-50),"-",(VLOOKUP($A326,'SegEnds_NonXtal_BW#'!$A:$Z,23,FALSE)+VLOOKUP($A326,A:AL,34,FALSE)-50))</f>
        <v>822</v>
      </c>
      <c r="AH326" s="3">
        <v>841</v>
      </c>
      <c r="AI326" s="3">
        <f>IF(ISERROR((VLOOKUP($A326,'SegEnds_NonXtal_BW#'!$A:$Z,24,FALSE)+VLOOKUP($A326,A:AL,34,FALSE)-50)),"-",(VLOOKUP($A326,'SegEnds_NonXtal_BW#'!$A:$Z,24,FALSE)+VLOOKUP($A326,A:AL,34,FALSE)-50))</f>
        <v>847</v>
      </c>
      <c r="AJ326" s="3">
        <f>IF(ISERROR(VLOOKUP($A326,'SegEnds_NonXtal_BW#'!$A:$Z,25,FALSE)+VLOOKUP($A326,A:AL,37,FALSE)-50),"-",(VLOOKUP($A326,'SegEnds_NonXtal_BW#'!$A:$Z,25,FALSE)+VLOOKUP($A326,A:AL,37,FALSE)-50))</f>
        <v>848</v>
      </c>
      <c r="AK326" s="3">
        <v>851</v>
      </c>
      <c r="AL326" s="3">
        <f>IF(ISERROR((VLOOKUP($A326,'SegEnds_NonXtal_BW#'!$A:$Z,26,FALSE)+VLOOKUP($A326,A:AL,37,FALSE)-50)),"-",(VLOOKUP($A326,'SegEnds_NonXtal_BW#'!$A:$Z,26,FALSE)+VLOOKUP($A326,A:AL,37,FALSE)-50))</f>
        <v>864</v>
      </c>
      <c r="AM326" s="28" t="str">
        <f>VLOOKUP(A326,Classification!A:B,2,FALSE)</f>
        <v>B2</v>
      </c>
      <c r="AN326" s="28" t="b">
        <f t="shared" si="188"/>
        <v>1</v>
      </c>
      <c r="AO326" s="3" t="str">
        <f>IF(ISERROR(MATCH(A326,'SegEnds_Xtal_Prot#'!B:B, 0)), "NoXtal", "Xtal")</f>
        <v>NoXtal</v>
      </c>
      <c r="AP326" s="3" t="str">
        <f t="shared" si="173"/>
        <v>-</v>
      </c>
      <c r="AQ326" s="3" t="str">
        <f t="shared" si="174"/>
        <v>-</v>
      </c>
      <c r="AR326" s="3" t="str">
        <f t="shared" si="175"/>
        <v>-</v>
      </c>
      <c r="AS326" s="3" t="str">
        <f t="shared" si="176"/>
        <v>-</v>
      </c>
      <c r="AT326" s="3" t="str">
        <f t="shared" si="177"/>
        <v>-</v>
      </c>
      <c r="AU326" s="3" t="str">
        <f t="shared" si="178"/>
        <v>-</v>
      </c>
      <c r="AV326" s="3">
        <f t="shared" si="179"/>
        <v>6</v>
      </c>
      <c r="AW326" s="3">
        <f t="shared" si="180"/>
        <v>3</v>
      </c>
      <c r="AX326" s="3">
        <f t="shared" si="181"/>
        <v>12</v>
      </c>
      <c r="AY326" s="3">
        <f t="shared" si="182"/>
        <v>5</v>
      </c>
      <c r="AZ326" s="3">
        <f t="shared" si="183"/>
        <v>1</v>
      </c>
      <c r="BA326" s="3">
        <f>IF(ISERROR(LEN(VLOOKUP(A326,Seqs!A:E,2,FALSE))-AL326),"-",LEN(VLOOKUP(A326,Seqs!A:E,2,FALSE))-AL326)</f>
        <v>22</v>
      </c>
      <c r="BB326" s="16">
        <f t="shared" si="184"/>
        <v>28</v>
      </c>
      <c r="BC326" s="9" t="str">
        <f t="shared" si="185"/>
        <v>-</v>
      </c>
      <c r="BD326" s="3">
        <f t="shared" si="186"/>
        <v>28</v>
      </c>
      <c r="BE326" s="3">
        <f t="shared" si="187"/>
        <v>52</v>
      </c>
      <c r="BF326" s="3">
        <f>AH326-AE326</f>
        <v>28</v>
      </c>
    </row>
    <row r="327" spans="1:59" s="3" customFormat="1" x14ac:dyDescent="0.2">
      <c r="A327" s="3" t="s">
        <v>1184</v>
      </c>
      <c r="B327" s="3" t="str">
        <f>LOWER(VLOOKUP(A327,Xtal_Templ!A:B,2,FALSE))</f>
        <v>glp1r_human</v>
      </c>
      <c r="C327" s="3">
        <f>VLOOKUP($A327,'SegEnds_NonXtal_BW#'!$A:$Z,3,FALSE)+D327-50</f>
        <v>524</v>
      </c>
      <c r="D327" s="3">
        <v>551</v>
      </c>
      <c r="E327" s="3">
        <f>IF(ISERROR(VLOOKUP($A327,'SegEnds_NonXtal_BW#'!$A:$Z,4,FALSE)+VLOOKUP($A327,A:AL,4,FALSE)-50),"-",(VLOOKUP($A327,'SegEnds_NonXtal_BW#'!$A:$Z,4,FALSE)+VLOOKUP($A327,A:AL,4,FALSE)-50))</f>
        <v>561</v>
      </c>
      <c r="F327" s="3">
        <f>G327-2</f>
        <v>562</v>
      </c>
      <c r="G327" s="3">
        <v>564</v>
      </c>
      <c r="H327" s="3">
        <f t="shared" ref="H327:I329" si="203">G327+1</f>
        <v>565</v>
      </c>
      <c r="I327" s="3">
        <f t="shared" si="203"/>
        <v>566</v>
      </c>
      <c r="J327" s="3">
        <v>579</v>
      </c>
      <c r="K327" s="3">
        <f>VLOOKUP($A327,'SegEnds_NonXtal_BW#'!$A:$Z,8,FALSE)+VLOOKUP($A327,A:AL,10,FALSE)-50</f>
        <v>592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597</v>
      </c>
      <c r="P327" s="3">
        <v>624</v>
      </c>
      <c r="Q327" s="3">
        <f>VLOOKUP($A327,'SegEnds_NonXtal_BW#'!$A:$Z,12,FALSE)+VLOOKUP($A327,A:AL,16,FALSE)-50</f>
        <v>630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640</v>
      </c>
      <c r="V327" s="3">
        <v>652</v>
      </c>
      <c r="W327" s="3">
        <f>IF(ISERROR(VLOOKUP($A327,'SegEnds_NonXtal_BW#'!$A:$Z,16,FALSE)+VLOOKUP($A327,A:AL,22,FALSE)-50),"-",(VLOOKUP($A327,'SegEnds_NonXtal_BW#'!$A:$Z,16,FALSE)+VLOOKUP($A327,A:AL,22,FALSE)-50))</f>
        <v>670</v>
      </c>
      <c r="X327" s="3">
        <f>IF(ISERROR(VLOOKUP($A327,'SegEnds_NonXtal_BW#'!$A:$Z,17,FALSE)+VLOOKUP($A327,A:AL,25,FALSE)-50),"-",(VLOOKUP($A327,'SegEnds_NonXtal_BW#'!$A:$Z,17,FALSE)+VLOOKUP($A327,A:AL,25,FALSE)-50))</f>
        <v>676</v>
      </c>
      <c r="Y327" s="3">
        <v>676</v>
      </c>
      <c r="Z327" s="3">
        <f t="shared" si="197"/>
        <v>678</v>
      </c>
      <c r="AA327" s="3">
        <f>IF(ISERROR(VLOOKUP($A327,'SegEnds_NonXtal_BW#'!$A:$Z,19,FALSE)+VLOOKUP($A327,A:AL,28,FALSE)-50),"-",(VLOOKUP($A327,'SegEnds_NonXtal_BW#'!$A:$Z,19,FALSE)+VLOOKUP($A327,A:AL,28,FALSE)-50))</f>
        <v>681</v>
      </c>
      <c r="AB327" s="3">
        <v>695</v>
      </c>
      <c r="AC327" s="3">
        <f>IF(ISERROR((VLOOKUP($A327,'SegEnds_NonXtal_BW#'!$A:$Z,20,FALSE)+VLOOKUP($A327,A:AL,28,FALSE)-50)),"-",(VLOOKUP($A327,'SegEnds_NonXtal_BW#'!$A:$Z,20,FALSE)+VLOOKUP($A327,A:AL,28,FALSE)-50))</f>
        <v>714</v>
      </c>
      <c r="AD327" s="3">
        <f>IF(ISERROR(VLOOKUP($A327,'SegEnds_NonXtal_BW#'!$A:$Z,21,FALSE)+VLOOKUP($A327,A:AL,31,FALSE)-50),"-",(VLOOKUP($A327,'SegEnds_NonXtal_BW#'!$A:$Z,21,FALSE)+VLOOKUP($A327,A:AL,31,FALSE)-50))</f>
        <v>726</v>
      </c>
      <c r="AE327" s="3">
        <v>747</v>
      </c>
      <c r="AF327" s="3">
        <f>IF(ISERROR((VLOOKUP($A327,'SegEnds_NonXtal_BW#'!$A:$Z,22,FALSE)+VLOOKUP($A327,A:AL,31,FALSE)-50)),"-",(VLOOKUP($A327,'SegEnds_NonXtal_BW#'!$A:$Z,22,FALSE)+VLOOKUP($A327,A:AL,31,FALSE)-50))</f>
        <v>750</v>
      </c>
      <c r="AG327" s="3">
        <f>IF(ISERROR(VLOOKUP($A327,'SegEnds_NonXtal_BW#'!$A:$Z,23,FALSE)+VLOOKUP($A327,A:AL,34,FALSE)-50),"-",(VLOOKUP($A327,'SegEnds_NonXtal_BW#'!$A:$Z,23,FALSE)+VLOOKUP($A327,A:AL,34,FALSE)-50))</f>
        <v>756</v>
      </c>
      <c r="AH327" s="3">
        <v>775</v>
      </c>
      <c r="AI327" s="3">
        <f>IF(ISERROR((VLOOKUP($A327,'SegEnds_NonXtal_BW#'!$A:$Z,24,FALSE)+VLOOKUP($A327,A:AL,34,FALSE)-50)),"-",(VLOOKUP($A327,'SegEnds_NonXtal_BW#'!$A:$Z,24,FALSE)+VLOOKUP($A327,A:AL,34,FALSE)-50))</f>
        <v>781</v>
      </c>
      <c r="AJ327" s="3">
        <f>IF(ISERROR(VLOOKUP($A327,'SegEnds_NonXtal_BW#'!$A:$Z,25,FALSE)+VLOOKUP($A327,A:AL,37,FALSE)-50),"-",(VLOOKUP($A327,'SegEnds_NonXtal_BW#'!$A:$Z,25,FALSE)+VLOOKUP($A327,A:AL,37,FALSE)-50))</f>
        <v>782</v>
      </c>
      <c r="AK327" s="3">
        <v>785</v>
      </c>
      <c r="AL327" s="3">
        <f>IF(ISERROR((VLOOKUP($A327,'SegEnds_NonXtal_BW#'!$A:$Z,26,FALSE)+VLOOKUP($A327,A:AL,37,FALSE)-50)),"-",(VLOOKUP($A327,'SegEnds_NonXtal_BW#'!$A:$Z,26,FALSE)+VLOOKUP($A327,A:AL,37,FALSE)-50))</f>
        <v>798</v>
      </c>
      <c r="AM327" s="28" t="str">
        <f>VLOOKUP(A327,Classification!A:B,2,FALSE)</f>
        <v>B2</v>
      </c>
      <c r="AN327" s="28" t="b">
        <f t="shared" si="188"/>
        <v>1</v>
      </c>
      <c r="AO327" s="3" t="str">
        <f>IF(ISERROR(MATCH(A327,'SegEnds_Xtal_Prot#'!B:B, 0)), "NoXtal", "Xtal")</f>
        <v>NoXtal</v>
      </c>
      <c r="AP327" s="3">
        <f t="shared" si="173"/>
        <v>1</v>
      </c>
      <c r="AQ327" s="3">
        <f t="shared" si="174"/>
        <v>1</v>
      </c>
      <c r="AR327" s="3" t="str">
        <f t="shared" si="175"/>
        <v>-</v>
      </c>
      <c r="AS327" s="3" t="str">
        <f t="shared" si="176"/>
        <v>-</v>
      </c>
      <c r="AT327" s="3" t="str">
        <f t="shared" si="177"/>
        <v>-</v>
      </c>
      <c r="AU327" s="3" t="str">
        <f t="shared" si="178"/>
        <v>-</v>
      </c>
      <c r="AV327" s="3">
        <f t="shared" si="179"/>
        <v>6</v>
      </c>
      <c r="AW327" s="3">
        <f t="shared" si="180"/>
        <v>3</v>
      </c>
      <c r="AX327" s="3">
        <f t="shared" si="181"/>
        <v>12</v>
      </c>
      <c r="AY327" s="3">
        <f t="shared" si="182"/>
        <v>6</v>
      </c>
      <c r="AZ327" s="3">
        <f t="shared" si="183"/>
        <v>1</v>
      </c>
      <c r="BA327" s="3">
        <f>IF(ISERROR(LEN(VLOOKUP(A327,Seqs!A:E,2,FALSE))-AL327),"-",LEN(VLOOKUP(A327,Seqs!A:E,2,FALSE))-AL327)</f>
        <v>25</v>
      </c>
      <c r="BB327" s="16">
        <f t="shared" si="184"/>
        <v>28</v>
      </c>
      <c r="BC327" s="9" t="str">
        <f t="shared" si="185"/>
        <v>-</v>
      </c>
      <c r="BD327" s="3">
        <f t="shared" si="186"/>
        <v>28</v>
      </c>
      <c r="BE327" s="3">
        <f t="shared" si="187"/>
        <v>52</v>
      </c>
      <c r="BF327" s="3">
        <f>AH327-AE327</f>
        <v>28</v>
      </c>
    </row>
    <row r="328" spans="1:59" s="3" customFormat="1" x14ac:dyDescent="0.2">
      <c r="A328" s="3" t="s">
        <v>1185</v>
      </c>
      <c r="B328" s="3" t="str">
        <f>LOWER(VLOOKUP(A328,Xtal_Templ!A:B,2,FALSE))</f>
        <v>crfr1_human</v>
      </c>
      <c r="C328" s="3">
        <f>VLOOKUP($A328,'SegEnds_NonXtal_BW#'!$A:$Z,3,FALSE)+D328-50</f>
        <v>344</v>
      </c>
      <c r="D328" s="3">
        <v>371</v>
      </c>
      <c r="E328" s="3">
        <f>IF(ISERROR(VLOOKUP($A328,'SegEnds_NonXtal_BW#'!$A:$Z,4,FALSE)+VLOOKUP($A328,A:AL,4,FALSE)-50),"-",(VLOOKUP($A328,'SegEnds_NonXtal_BW#'!$A:$Z,4,FALSE)+VLOOKUP($A328,A:AL,4,FALSE)-50))</f>
        <v>381</v>
      </c>
      <c r="F328" s="3">
        <f>G328-2</f>
        <v>382</v>
      </c>
      <c r="G328" s="3">
        <v>384</v>
      </c>
      <c r="H328" s="3">
        <f t="shared" si="203"/>
        <v>385</v>
      </c>
      <c r="I328" s="3">
        <f t="shared" si="203"/>
        <v>386</v>
      </c>
      <c r="J328" s="3">
        <v>399</v>
      </c>
      <c r="K328" s="3">
        <f>VLOOKUP($A328,'SegEnds_NonXtal_BW#'!$A:$Z,8,FALSE)+VLOOKUP($A328,A:AL,10,FALSE)-50</f>
        <v>412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417</v>
      </c>
      <c r="P328" s="3">
        <v>444</v>
      </c>
      <c r="Q328" s="3">
        <f>VLOOKUP($A328,'SegEnds_NonXtal_BW#'!$A:$Z,12,FALSE)+VLOOKUP($A328,A:AL,16,FALSE)-50</f>
        <v>450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462</v>
      </c>
      <c r="V328" s="3">
        <v>472</v>
      </c>
      <c r="W328" s="3">
        <f>IF(ISERROR(VLOOKUP($A328,'SegEnds_NonXtal_BW#'!$A:$Z,16,FALSE)+VLOOKUP($A328,A:AL,22,FALSE)-50),"-",(VLOOKUP($A328,'SegEnds_NonXtal_BW#'!$A:$Z,16,FALSE)+VLOOKUP($A328,A:AL,22,FALSE)-50))</f>
        <v>490</v>
      </c>
      <c r="X328" s="3">
        <f>IF(ISERROR(VLOOKUP($A328,'SegEnds_NonXtal_BW#'!$A:$Z,17,FALSE)+VLOOKUP($A328,A:AL,25,FALSE)-50),"-",(VLOOKUP($A328,'SegEnds_NonXtal_BW#'!$A:$Z,17,FALSE)+VLOOKUP($A328,A:AL,25,FALSE)-50))</f>
        <v>496</v>
      </c>
      <c r="Y328" s="3">
        <v>496</v>
      </c>
      <c r="Z328" s="3">
        <f t="shared" si="197"/>
        <v>498</v>
      </c>
      <c r="AA328" s="3">
        <f>IF(ISERROR(VLOOKUP($A328,'SegEnds_NonXtal_BW#'!$A:$Z,19,FALSE)+VLOOKUP($A328,A:AL,28,FALSE)-50),"-",(VLOOKUP($A328,'SegEnds_NonXtal_BW#'!$A:$Z,19,FALSE)+VLOOKUP($A328,A:AL,28,FALSE)-50))</f>
        <v>501</v>
      </c>
      <c r="AB328" s="3">
        <v>515</v>
      </c>
      <c r="AC328" s="3">
        <f>IF(ISERROR((VLOOKUP($A328,'SegEnds_NonXtal_BW#'!$A:$Z,20,FALSE)+VLOOKUP($A328,A:AL,28,FALSE)-50)),"-",(VLOOKUP($A328,'SegEnds_NonXtal_BW#'!$A:$Z,20,FALSE)+VLOOKUP($A328,A:AL,28,FALSE)-50))</f>
        <v>534</v>
      </c>
      <c r="AD328" s="3">
        <f>IF(ISERROR(VLOOKUP($A328,'SegEnds_NonXtal_BW#'!$A:$Z,21,FALSE)+VLOOKUP($A328,A:AL,31,FALSE)-50),"-",(VLOOKUP($A328,'SegEnds_NonXtal_BW#'!$A:$Z,21,FALSE)+VLOOKUP($A328,A:AL,31,FALSE)-50))</f>
        <v>546</v>
      </c>
      <c r="AE328" s="3">
        <v>567</v>
      </c>
      <c r="AF328" s="3">
        <f>IF(ISERROR((VLOOKUP($A328,'SegEnds_NonXtal_BW#'!$A:$Z,22,FALSE)+VLOOKUP($A328,A:AL,31,FALSE)-50)),"-",(VLOOKUP($A328,'SegEnds_NonXtal_BW#'!$A:$Z,22,FALSE)+VLOOKUP($A328,A:AL,31,FALSE)-50))</f>
        <v>570</v>
      </c>
      <c r="AG328" s="3">
        <f>IF(ISERROR(VLOOKUP($A328,'SegEnds_NonXtal_BW#'!$A:$Z,23,FALSE)+VLOOKUP($A328,A:AL,34,FALSE)-50),"-",(VLOOKUP($A328,'SegEnds_NonXtal_BW#'!$A:$Z,23,FALSE)+VLOOKUP($A328,A:AL,34,FALSE)-50))</f>
        <v>576</v>
      </c>
      <c r="AH328" s="3">
        <v>595</v>
      </c>
      <c r="AI328" s="3">
        <f>IF(ISERROR((VLOOKUP($A328,'SegEnds_NonXtal_BW#'!$A:$Z,24,FALSE)+VLOOKUP($A328,A:AL,34,FALSE)-50)),"-",(VLOOKUP($A328,'SegEnds_NonXtal_BW#'!$A:$Z,24,FALSE)+VLOOKUP($A328,A:AL,34,FALSE)-50))</f>
        <v>601</v>
      </c>
      <c r="AJ328" s="3">
        <f>IF(ISERROR(VLOOKUP($A328,'SegEnds_NonXtal_BW#'!$A:$Z,25,FALSE)+VLOOKUP($A328,A:AL,37,FALSE)-50),"-",(VLOOKUP($A328,'SegEnds_NonXtal_BW#'!$A:$Z,25,FALSE)+VLOOKUP($A328,A:AL,37,FALSE)-50))</f>
        <v>602</v>
      </c>
      <c r="AK328" s="3">
        <v>605</v>
      </c>
      <c r="AL328" s="3">
        <f>IF(ISERROR((VLOOKUP($A328,'SegEnds_NonXtal_BW#'!$A:$Z,26,FALSE)+VLOOKUP($A328,A:AL,37,FALSE)-50)),"-",(VLOOKUP($A328,'SegEnds_NonXtal_BW#'!$A:$Z,26,FALSE)+VLOOKUP($A328,A:AL,37,FALSE)-50))</f>
        <v>618</v>
      </c>
      <c r="AM328" s="28" t="str">
        <f>VLOOKUP(A328,Classification!A:B,2,FALSE)</f>
        <v>B2</v>
      </c>
      <c r="AN328" s="28" t="b">
        <f t="shared" si="188"/>
        <v>1</v>
      </c>
      <c r="AO328" s="3" t="str">
        <f>IF(ISERROR(MATCH(A328,'SegEnds_Xtal_Prot#'!B:B, 0)), "NoXtal", "Xtal")</f>
        <v>NoXtal</v>
      </c>
      <c r="AP328" s="3">
        <f t="shared" si="173"/>
        <v>1</v>
      </c>
      <c r="AQ328" s="3">
        <f t="shared" si="174"/>
        <v>1</v>
      </c>
      <c r="AR328" s="3" t="str">
        <f t="shared" si="175"/>
        <v>-</v>
      </c>
      <c r="AS328" s="3" t="str">
        <f t="shared" si="176"/>
        <v>-</v>
      </c>
      <c r="AT328" s="3" t="str">
        <f t="shared" si="177"/>
        <v>-</v>
      </c>
      <c r="AU328" s="3" t="str">
        <f t="shared" si="178"/>
        <v>-</v>
      </c>
      <c r="AV328" s="3">
        <f t="shared" si="179"/>
        <v>6</v>
      </c>
      <c r="AW328" s="3">
        <f t="shared" si="180"/>
        <v>3</v>
      </c>
      <c r="AX328" s="3">
        <f t="shared" si="181"/>
        <v>12</v>
      </c>
      <c r="AY328" s="3">
        <f t="shared" si="182"/>
        <v>6</v>
      </c>
      <c r="AZ328" s="3">
        <f t="shared" si="183"/>
        <v>1</v>
      </c>
      <c r="BA328" s="3">
        <f>IF(ISERROR(LEN(VLOOKUP(A328,Seqs!A:E,2,FALSE))-AL328),"-",LEN(VLOOKUP(A328,Seqs!A:E,2,FALSE))-AL328)</f>
        <v>34</v>
      </c>
      <c r="BB328" s="16">
        <f t="shared" si="184"/>
        <v>28</v>
      </c>
      <c r="BC328" s="9" t="str">
        <f t="shared" si="185"/>
        <v>-</v>
      </c>
      <c r="BD328" s="3">
        <f t="shared" si="186"/>
        <v>28</v>
      </c>
      <c r="BE328" s="3">
        <f t="shared" si="187"/>
        <v>52</v>
      </c>
      <c r="BF328" s="3">
        <f>AH328-AE328</f>
        <v>28</v>
      </c>
    </row>
    <row r="329" spans="1:59" s="3" customFormat="1" x14ac:dyDescent="0.2">
      <c r="A329" s="3" t="s">
        <v>1186</v>
      </c>
      <c r="B329" s="3" t="str">
        <f>LOWER(VLOOKUP(A329,Xtal_Templ!A:B,2,FALSE))</f>
        <v>crfr1_human</v>
      </c>
      <c r="C329" s="3">
        <f>VLOOKUP($A329,'SegEnds_NonXtal_BW#'!$A:$Z,3,FALSE)+D329-50</f>
        <v>178</v>
      </c>
      <c r="D329" s="3">
        <v>205</v>
      </c>
      <c r="E329" s="3">
        <f>IF(ISERROR(VLOOKUP($A329,'SegEnds_NonXtal_BW#'!$A:$Z,4,FALSE)+VLOOKUP($A329,A:AL,4,FALSE)-50),"-",(VLOOKUP($A329,'SegEnds_NonXtal_BW#'!$A:$Z,4,FALSE)+VLOOKUP($A329,A:AL,4,FALSE)-50))</f>
        <v>215</v>
      </c>
      <c r="F329" s="3">
        <f>G329-2</f>
        <v>216</v>
      </c>
      <c r="G329" s="3">
        <v>218</v>
      </c>
      <c r="H329" s="3">
        <f t="shared" si="203"/>
        <v>219</v>
      </c>
      <c r="I329" s="3">
        <f t="shared" si="203"/>
        <v>220</v>
      </c>
      <c r="J329" s="3">
        <v>233</v>
      </c>
      <c r="K329" s="3">
        <f>VLOOKUP($A329,'SegEnds_NonXtal_BW#'!$A:$Z,8,FALSE)+VLOOKUP($A329,A:AL,10,FALSE)-50</f>
        <v>246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251</v>
      </c>
      <c r="P329" s="3">
        <v>278</v>
      </c>
      <c r="Q329" s="3">
        <f>VLOOKUP($A329,'SegEnds_NonXtal_BW#'!$A:$Z,12,FALSE)+VLOOKUP($A329,A:AL,16,FALSE)-50</f>
        <v>284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296</v>
      </c>
      <c r="V329" s="3">
        <v>306</v>
      </c>
      <c r="W329" s="3">
        <f>IF(ISERROR(VLOOKUP($A329,'SegEnds_NonXtal_BW#'!$A:$Z,16,FALSE)+VLOOKUP($A329,A:AL,22,FALSE)-50),"-",(VLOOKUP($A329,'SegEnds_NonXtal_BW#'!$A:$Z,16,FALSE)+VLOOKUP($A329,A:AL,22,FALSE)-50))</f>
        <v>324</v>
      </c>
      <c r="X329" s="3">
        <f>IF(ISERROR(VLOOKUP($A329,'SegEnds_NonXtal_BW#'!$A:$Z,17,FALSE)+VLOOKUP($A329,A:AL,25,FALSE)-50),"-",(VLOOKUP($A329,'SegEnds_NonXtal_BW#'!$A:$Z,17,FALSE)+VLOOKUP($A329,A:AL,25,FALSE)-50))</f>
        <v>329</v>
      </c>
      <c r="Y329" s="3">
        <v>329</v>
      </c>
      <c r="Z329" s="3">
        <f t="shared" ref="Z329:Z354" si="204">Y329+2</f>
        <v>331</v>
      </c>
      <c r="AA329" s="3">
        <f>IF(ISERROR(VLOOKUP($A329,'SegEnds_NonXtal_BW#'!$A:$Z,19,FALSE)+VLOOKUP($A329,A:AL,28,FALSE)-50),"-",(VLOOKUP($A329,'SegEnds_NonXtal_BW#'!$A:$Z,19,FALSE)+VLOOKUP($A329,A:AL,28,FALSE)-50))</f>
        <v>334</v>
      </c>
      <c r="AB329" s="3">
        <v>348</v>
      </c>
      <c r="AC329" s="3">
        <f>IF(ISERROR((VLOOKUP($A329,'SegEnds_NonXtal_BW#'!$A:$Z,20,FALSE)+VLOOKUP($A329,A:AL,28,FALSE)-50)),"-",(VLOOKUP($A329,'SegEnds_NonXtal_BW#'!$A:$Z,20,FALSE)+VLOOKUP($A329,A:AL,28,FALSE)-50))</f>
        <v>367</v>
      </c>
      <c r="AD329" s="3">
        <f>IF(ISERROR(VLOOKUP($A329,'SegEnds_NonXtal_BW#'!$A:$Z,21,FALSE)+VLOOKUP($A329,A:AL,31,FALSE)-50),"-",(VLOOKUP($A329,'SegEnds_NonXtal_BW#'!$A:$Z,21,FALSE)+VLOOKUP($A329,A:AL,31,FALSE)-50))</f>
        <v>379</v>
      </c>
      <c r="AE329" s="3">
        <v>400</v>
      </c>
      <c r="AF329" s="3">
        <f>IF(ISERROR((VLOOKUP($A329,'SegEnds_NonXtal_BW#'!$A:$Z,22,FALSE)+VLOOKUP($A329,A:AL,31,FALSE)-50)),"-",(VLOOKUP($A329,'SegEnds_NonXtal_BW#'!$A:$Z,22,FALSE)+VLOOKUP($A329,A:AL,31,FALSE)-50))</f>
        <v>403</v>
      </c>
      <c r="AG329" s="3">
        <f>IF(ISERROR(VLOOKUP($A329,'SegEnds_NonXtal_BW#'!$A:$Z,23,FALSE)+VLOOKUP($A329,A:AL,34,FALSE)-50),"-",(VLOOKUP($A329,'SegEnds_NonXtal_BW#'!$A:$Z,23,FALSE)+VLOOKUP($A329,A:AL,34,FALSE)-50))</f>
        <v>410</v>
      </c>
      <c r="AH329" s="3">
        <v>432</v>
      </c>
      <c r="AI329" s="3">
        <f>IF(ISERROR((VLOOKUP($A329,'SegEnds_NonXtal_BW#'!$A:$Z,24,FALSE)+VLOOKUP($A329,A:AL,34,FALSE)-50)),"-",(VLOOKUP($A329,'SegEnds_NonXtal_BW#'!$A:$Z,24,FALSE)+VLOOKUP($A329,A:AL,34,FALSE)-50))</f>
        <v>438</v>
      </c>
      <c r="AJ329" s="3">
        <f>IF(ISERROR(VLOOKUP($A329,'SegEnds_NonXtal_BW#'!$A:$Z,25,FALSE)+VLOOKUP($A329,A:AL,37,FALSE)-50),"-",(VLOOKUP($A329,'SegEnds_NonXtal_BW#'!$A:$Z,25,FALSE)+VLOOKUP($A329,A:AL,37,FALSE)-50))</f>
        <v>439</v>
      </c>
      <c r="AK329" s="3">
        <v>442</v>
      </c>
      <c r="AL329" s="3">
        <f>IF(ISERROR((VLOOKUP($A329,'SegEnds_NonXtal_BW#'!$A:$Z,26,FALSE)+VLOOKUP($A329,A:AL,37,FALSE)-50)),"-",(VLOOKUP($A329,'SegEnds_NonXtal_BW#'!$A:$Z,26,FALSE)+VLOOKUP($A329,A:AL,37,FALSE)-50))</f>
        <v>455</v>
      </c>
      <c r="AM329" s="28" t="str">
        <f>VLOOKUP(A329,Classification!A:B,2,FALSE)</f>
        <v>B2</v>
      </c>
      <c r="AN329" s="28" t="b">
        <f t="shared" si="188"/>
        <v>1</v>
      </c>
      <c r="AO329" s="3" t="str">
        <f>IF(ISERROR(MATCH(A329,'SegEnds_Xtal_Prot#'!B:B, 0)), "NoXtal", "Xtal")</f>
        <v>NoXtal</v>
      </c>
      <c r="AP329" s="3">
        <f t="shared" ref="AP329:AP394" si="205">IF(ISERROR(F329-E329),"-",F329-E329)</f>
        <v>1</v>
      </c>
      <c r="AQ329" s="3">
        <f t="shared" ref="AQ329:AQ394" si="206">IF(ISERROR(I329-H329),"-",I329-H329)</f>
        <v>1</v>
      </c>
      <c r="AR329" s="3" t="str">
        <f t="shared" ref="AR329:AR394" si="207">IF(ISERROR(L329-K329),"-",L329-K329)</f>
        <v>-</v>
      </c>
      <c r="AS329" s="3" t="str">
        <f t="shared" ref="AS329:AS394" si="208">IF(ISERROR(O329-N329),"-",O329-N329)</f>
        <v>-</v>
      </c>
      <c r="AT329" s="3" t="str">
        <f t="shared" ref="AT329:AT394" si="209">IF(ISERROR(R329-Q329),"-",R329-Q329)</f>
        <v>-</v>
      </c>
      <c r="AU329" s="3" t="str">
        <f t="shared" ref="AU329:AU394" si="210">IF(ISERROR(U329-T329),"-",U329-T329)</f>
        <v>-</v>
      </c>
      <c r="AV329" s="3">
        <f t="shared" ref="AV329:AV394" si="211">IF(ISERROR(X329-W329),"-",X329-W329)</f>
        <v>5</v>
      </c>
      <c r="AW329" s="3">
        <f t="shared" ref="AW329:AW394" si="212">IF(ISERROR(AA329-Z329),"-",AA329-Z329)</f>
        <v>3</v>
      </c>
      <c r="AX329" s="3">
        <f t="shared" ref="AX329:AX394" si="213">IF(ISERROR(AD329-AC329),"-",AD329-AC329)</f>
        <v>12</v>
      </c>
      <c r="AY329" s="3">
        <f t="shared" ref="AY329:AY394" si="214">IF(ISERROR(AG329-AF329),"-",AG329-AF329)</f>
        <v>7</v>
      </c>
      <c r="AZ329" s="3">
        <f t="shared" ref="AZ329:AZ394" si="215">IF(ISERROR(AJ329-AI329),"-",AJ329-AI329)</f>
        <v>1</v>
      </c>
      <c r="BA329" s="3">
        <f>IF(ISERROR(LEN(VLOOKUP(A329,Seqs!A:E,2,FALSE))-AL329),"-",LEN(VLOOKUP(A329,Seqs!A:E,2,FALSE))-AL329)</f>
        <v>2</v>
      </c>
      <c r="BB329" s="16">
        <f t="shared" ref="BB329:BB394" si="216">J329-D329</f>
        <v>28</v>
      </c>
      <c r="BC329" s="9" t="str">
        <f t="shared" ref="BC329:BC394" si="217">IF(ISERROR(V329-S329),"-",V329-S329)</f>
        <v>-</v>
      </c>
      <c r="BD329" s="3">
        <f t="shared" ref="BD329:BD394" si="218">J329-D329</f>
        <v>28</v>
      </c>
      <c r="BE329" s="3">
        <f t="shared" ref="BE329:BE394" si="219">AE329-AB329</f>
        <v>52</v>
      </c>
      <c r="BF329" s="3">
        <f>AH329-AE329</f>
        <v>32</v>
      </c>
    </row>
    <row r="330" spans="1:59" s="3" customFormat="1" x14ac:dyDescent="0.2">
      <c r="A330" s="3" t="s">
        <v>1187</v>
      </c>
      <c r="B330" s="3" t="str">
        <f>LOWER(VLOOKUP(A330,Xtal_Templ!A:B,2,FALSE))</f>
        <v>pth1r_human</v>
      </c>
      <c r="C330" s="3">
        <f>VLOOKUP($A330,'SegEnds_NonXtal_BW#'!$A:$Z,3,FALSE)+D330-50</f>
        <v>573</v>
      </c>
      <c r="D330" s="3">
        <v>600</v>
      </c>
      <c r="E330" s="3">
        <f>IF(ISERROR(VLOOKUP($A330,'SegEnds_NonXtal_BW#'!$A:$Z,4,FALSE)+VLOOKUP($A330,A:AL,4,FALSE)-50),"-",(VLOOKUP($A330,'SegEnds_NonXtal_BW#'!$A:$Z,4,FALSE)+VLOOKUP($A330,A:AL,4,FALSE)-50))</f>
        <v>610</v>
      </c>
      <c r="F330" s="3" t="s">
        <v>23</v>
      </c>
      <c r="G330" s="3" t="s">
        <v>23</v>
      </c>
      <c r="H330" s="3" t="s">
        <v>23</v>
      </c>
      <c r="I330" s="3">
        <f>VLOOKUP($A330,'SegEnds_NonXtal_BW#'!$A:$Z,7,FALSE)+J330-50</f>
        <v>618</v>
      </c>
      <c r="J330" s="3">
        <v>631</v>
      </c>
      <c r="K330" s="3">
        <f>VLOOKUP($A330,'SegEnds_NonXtal_BW#'!$A:$Z,8,FALSE)+VLOOKUP($A330,A:AL,10,FALSE)-50</f>
        <v>644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655</v>
      </c>
      <c r="P330" s="3">
        <v>682</v>
      </c>
      <c r="Q330" s="3">
        <f>VLOOKUP($A330,'SegEnds_NonXtal_BW#'!$A:$Z,12,FALSE)+VLOOKUP($A330,A:AL,16,FALSE)-50</f>
        <v>688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694</v>
      </c>
      <c r="V330" s="3">
        <v>707</v>
      </c>
      <c r="W330" s="3">
        <f>IF(ISERROR(VLOOKUP($A330,'SegEnds_NonXtal_BW#'!$A:$Z,16,FALSE)+VLOOKUP($A330,A:AL,22,FALSE)-50),"-",(VLOOKUP($A330,'SegEnds_NonXtal_BW#'!$A:$Z,16,FALSE)+VLOOKUP($A330,A:AL,22,FALSE)-50))</f>
        <v>725</v>
      </c>
      <c r="X330" s="3">
        <f>IF(ISERROR(VLOOKUP($A330,'SegEnds_NonXtal_BW#'!$A:$Z,17,FALSE)+VLOOKUP($A330,A:AL,25,FALSE)-50),"-",(VLOOKUP($A330,'SegEnds_NonXtal_BW#'!$A:$Z,17,FALSE)+VLOOKUP($A330,A:AL,25,FALSE)-50))</f>
        <v>733</v>
      </c>
      <c r="Y330" s="3">
        <v>733</v>
      </c>
      <c r="Z330" s="3">
        <f t="shared" si="204"/>
        <v>735</v>
      </c>
      <c r="AA330" s="3">
        <f>IF(ISERROR(VLOOKUP($A330,'SegEnds_NonXtal_BW#'!$A:$Z,19,FALSE)+VLOOKUP($A330,A:AL,28,FALSE)-50),"-",(VLOOKUP($A330,'SegEnds_NonXtal_BW#'!$A:$Z,19,FALSE)+VLOOKUP($A330,A:AL,28,FALSE)-50))</f>
        <v>740</v>
      </c>
      <c r="AB330" s="3">
        <v>754</v>
      </c>
      <c r="AC330" s="3">
        <f>IF(ISERROR((VLOOKUP($A330,'SegEnds_NonXtal_BW#'!$A:$Z,20,FALSE)+VLOOKUP($A330,A:AL,28,FALSE)-50)),"-",(VLOOKUP($A330,'SegEnds_NonXtal_BW#'!$A:$Z,20,FALSE)+VLOOKUP($A330,A:AL,28,FALSE)-50))</f>
        <v>773</v>
      </c>
      <c r="AD330" s="3">
        <f>IF(ISERROR(VLOOKUP($A330,'SegEnds_NonXtal_BW#'!$A:$Z,21,FALSE)+VLOOKUP($A330,A:AL,31,FALSE)-50),"-",(VLOOKUP($A330,'SegEnds_NonXtal_BW#'!$A:$Z,21,FALSE)+VLOOKUP($A330,A:AL,31,FALSE)-50))</f>
        <v>785</v>
      </c>
      <c r="AE330" s="3">
        <v>806</v>
      </c>
      <c r="AF330" s="3">
        <f>IF(ISERROR((VLOOKUP($A330,'SegEnds_NonXtal_BW#'!$A:$Z,22,FALSE)+VLOOKUP($A330,A:AL,31,FALSE)-50)),"-",(VLOOKUP($A330,'SegEnds_NonXtal_BW#'!$A:$Z,22,FALSE)+VLOOKUP($A330,A:AL,31,FALSE)-50))</f>
        <v>810</v>
      </c>
      <c r="AG330" s="3">
        <f>IF(ISERROR(VLOOKUP($A330,'SegEnds_NonXtal_BW#'!$A:$Z,23,FALSE)+VLOOKUP($A330,A:AL,34,FALSE)-50),"-",(VLOOKUP($A330,'SegEnds_NonXtal_BW#'!$A:$Z,23,FALSE)+VLOOKUP($A330,A:AL,34,FALSE)-50))</f>
        <v>816</v>
      </c>
      <c r="AH330" s="3">
        <v>835</v>
      </c>
      <c r="AI330" s="3">
        <f>IF(ISERROR((VLOOKUP($A330,'SegEnds_NonXtal_BW#'!$A:$Z,24,FALSE)+VLOOKUP($A330,A:AL,34,FALSE)-50)),"-",(VLOOKUP($A330,'SegEnds_NonXtal_BW#'!$A:$Z,24,FALSE)+VLOOKUP($A330,A:AL,34,FALSE)-50))</f>
        <v>841</v>
      </c>
      <c r="AJ330" s="3">
        <f>IF(ISERROR(VLOOKUP($A330,'SegEnds_NonXtal_BW#'!$A:$Z,25,FALSE)+VLOOKUP($A330,A:AL,37,FALSE)-50),"-",(VLOOKUP($A330,'SegEnds_NonXtal_BW#'!$A:$Z,25,FALSE)+VLOOKUP($A330,A:AL,37,FALSE)-50))</f>
        <v>842</v>
      </c>
      <c r="AK330" s="3">
        <v>845</v>
      </c>
      <c r="AL330" s="3">
        <f>IF(ISERROR((VLOOKUP($A330,'SegEnds_NonXtal_BW#'!$A:$Z,26,FALSE)+VLOOKUP($A330,A:AL,37,FALSE)-50)),"-",(VLOOKUP($A330,'SegEnds_NonXtal_BW#'!$A:$Z,26,FALSE)+VLOOKUP($A330,A:AL,37,FALSE)-50))</f>
        <v>858</v>
      </c>
      <c r="AM330" s="28" t="str">
        <f>VLOOKUP(A330,Classification!A:B,2,FALSE)</f>
        <v>B2</v>
      </c>
      <c r="AN330" s="28" t="b">
        <f t="shared" ref="AN330:AN395" si="220">AND(IF(Y330="-",IF(AA330-W330&gt;3,TRUE,FALSE),TRUE),IF(M330="-",IF(O330-K330&gt;3,TRUE,FALSE),TRUE),IF(AG330-AF330&gt;1,TRUE,FALSE),C330&lt;E330,OR(E330&lt;F330,F330="-"),OR(F330&lt;H330,F330="-"),OR(H330&lt;I330,H330="-"),I330&lt;K330,OR(K330&lt;L330,L330="-"),OR(L330&lt;N330,L330="-"),OR(N330&lt;O330,N330="-"),O330&lt;Q330,OR(Q330&lt;R330,R330="-"),OR(R330&lt;T330,R330="-"),OR(T330&lt;U330,T330="-"),U330&lt;W330,OR(W330&lt;X330,X330="-"),OR(X330&lt;Z330,X330="-"),OR(Z330&lt;AA330,Z330="-"),AA330&lt;AC330,AC330&lt;AD330,AD330&lt;AF330,AF330&lt;AG330,AG330&lt;AI330,OR(AI330&lt;AJ330,AJ330="-"),OR(AJ330&lt;AL330,AJ330="-"))</f>
        <v>1</v>
      </c>
      <c r="AO330" s="3" t="str">
        <f>IF(ISERROR(MATCH(A330,'SegEnds_Xtal_Prot#'!B:B, 0)), "NoXtal", "Xtal")</f>
        <v>NoXtal</v>
      </c>
      <c r="AP330" s="3" t="str">
        <f t="shared" si="205"/>
        <v>-</v>
      </c>
      <c r="AQ330" s="3" t="str">
        <f t="shared" si="206"/>
        <v>-</v>
      </c>
      <c r="AR330" s="3" t="str">
        <f t="shared" si="207"/>
        <v>-</v>
      </c>
      <c r="AS330" s="3" t="str">
        <f t="shared" si="208"/>
        <v>-</v>
      </c>
      <c r="AT330" s="3" t="str">
        <f t="shared" si="209"/>
        <v>-</v>
      </c>
      <c r="AU330" s="3" t="str">
        <f t="shared" si="210"/>
        <v>-</v>
      </c>
      <c r="AV330" s="3">
        <f t="shared" si="211"/>
        <v>8</v>
      </c>
      <c r="AW330" s="3">
        <f t="shared" si="212"/>
        <v>5</v>
      </c>
      <c r="AX330" s="3">
        <f t="shared" si="213"/>
        <v>12</v>
      </c>
      <c r="AY330" s="3">
        <f t="shared" si="214"/>
        <v>6</v>
      </c>
      <c r="AZ330" s="3">
        <f t="shared" si="215"/>
        <v>1</v>
      </c>
      <c r="BA330" s="3">
        <f>IF(ISERROR(LEN(VLOOKUP(A330,Seqs!A:E,2,FALSE))-AL330),"-",LEN(VLOOKUP(A330,Seqs!A:E,2,FALSE))-AL330)</f>
        <v>52</v>
      </c>
      <c r="BB330" s="16">
        <f t="shared" si="216"/>
        <v>31</v>
      </c>
      <c r="BC330" s="9" t="str">
        <f t="shared" si="217"/>
        <v>-</v>
      </c>
      <c r="BD330" s="3">
        <f t="shared" si="218"/>
        <v>31</v>
      </c>
      <c r="BE330" s="3">
        <f t="shared" si="219"/>
        <v>52</v>
      </c>
    </row>
    <row r="331" spans="1:59" s="3" customFormat="1" x14ac:dyDescent="0.2">
      <c r="A331" s="3" t="s">
        <v>1188</v>
      </c>
      <c r="B331" s="3" t="str">
        <f>LOWER(VLOOKUP(A331,Xtal_Templ!A:B,2,FALSE))</f>
        <v>calrl_human</v>
      </c>
      <c r="C331" s="3">
        <f>VLOOKUP($A331,'SegEnds_NonXtal_BW#'!$A:$Z,3,FALSE)+D331-50</f>
        <v>434</v>
      </c>
      <c r="D331" s="3">
        <v>461</v>
      </c>
      <c r="E331" s="3">
        <f>IF(ISERROR(VLOOKUP($A331,'SegEnds_NonXtal_BW#'!$A:$Z,4,FALSE)+VLOOKUP($A331,A:AL,4,FALSE)-50),"-",(VLOOKUP($A331,'SegEnds_NonXtal_BW#'!$A:$Z,4,FALSE)+VLOOKUP($A331,A:AL,4,FALSE)-50))</f>
        <v>471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479</v>
      </c>
      <c r="J331" s="3">
        <v>492</v>
      </c>
      <c r="K331" s="3">
        <f>VLOOKUP($A331,'SegEnds_NonXtal_BW#'!$A:$Z,8,FALSE)+VLOOKUP($A331,A:AL,10,FALSE)-50</f>
        <v>505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516</v>
      </c>
      <c r="P331" s="3">
        <v>543</v>
      </c>
      <c r="Q331" s="3">
        <f>VLOOKUP($A331,'SegEnds_NonXtal_BW#'!$A:$Z,12,FALSE)+VLOOKUP($A331,A:AL,16,FALSE)-50</f>
        <v>549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559</v>
      </c>
      <c r="V331" s="3">
        <v>568</v>
      </c>
      <c r="W331" s="3">
        <f>IF(ISERROR(VLOOKUP($A331,'SegEnds_NonXtal_BW#'!$A:$Z,16,FALSE)+VLOOKUP($A331,A:AL,22,FALSE)-50),"-",(VLOOKUP($A331,'SegEnds_NonXtal_BW#'!$A:$Z,16,FALSE)+VLOOKUP($A331,A:AL,22,FALSE)-50))</f>
        <v>585</v>
      </c>
      <c r="X331" s="3">
        <f>IF(ISERROR(VLOOKUP($A331,'SegEnds_NonXtal_BW#'!$A:$Z,17,FALSE)+VLOOKUP($A331,A:AL,25,FALSE)-50),"-",(VLOOKUP($A331,'SegEnds_NonXtal_BW#'!$A:$Z,17,FALSE)+VLOOKUP($A331,A:AL,25,FALSE)-50))</f>
        <v>594</v>
      </c>
      <c r="Y331" s="3">
        <v>594</v>
      </c>
      <c r="Z331" s="3">
        <f t="shared" si="204"/>
        <v>596</v>
      </c>
      <c r="AA331" s="3">
        <f>IF(ISERROR(VLOOKUP($A331,'SegEnds_NonXtal_BW#'!$A:$Z,19,FALSE)+VLOOKUP($A331,A:AL,28,FALSE)-50),"-",(VLOOKUP($A331,'SegEnds_NonXtal_BW#'!$A:$Z,19,FALSE)+VLOOKUP($A331,A:AL,28,FALSE)-50))</f>
        <v>600</v>
      </c>
      <c r="AB331" s="3">
        <v>614</v>
      </c>
      <c r="AC331" s="3">
        <f>IF(ISERROR((VLOOKUP($A331,'SegEnds_NonXtal_BW#'!$A:$Z,20,FALSE)+VLOOKUP($A331,A:AL,28,FALSE)-50)),"-",(VLOOKUP($A331,'SegEnds_NonXtal_BW#'!$A:$Z,20,FALSE)+VLOOKUP($A331,A:AL,28,FALSE)-50))</f>
        <v>633</v>
      </c>
      <c r="AD331" s="3">
        <f>IF(ISERROR(VLOOKUP($A331,'SegEnds_NonXtal_BW#'!$A:$Z,21,FALSE)+VLOOKUP($A331,A:AL,31,FALSE)-50),"-",(VLOOKUP($A331,'SegEnds_NonXtal_BW#'!$A:$Z,21,FALSE)+VLOOKUP($A331,A:AL,31,FALSE)-50))</f>
        <v>650</v>
      </c>
      <c r="AE331" s="3">
        <v>671</v>
      </c>
      <c r="AF331" s="3">
        <f>IF(ISERROR((VLOOKUP($A331,'SegEnds_NonXtal_BW#'!$A:$Z,22,FALSE)+VLOOKUP($A331,A:AL,31,FALSE)-50)),"-",(VLOOKUP($A331,'SegEnds_NonXtal_BW#'!$A:$Z,22,FALSE)+VLOOKUP($A331,A:AL,31,FALSE)-50))</f>
        <v>671</v>
      </c>
      <c r="AG331" s="3">
        <f>IF(ISERROR(VLOOKUP($A331,'SegEnds_NonXtal_BW#'!$A:$Z,23,FALSE)+VLOOKUP($A331,A:AL,34,FALSE)-50),"-",(VLOOKUP($A331,'SegEnds_NonXtal_BW#'!$A:$Z,23,FALSE)+VLOOKUP($A331,A:AL,34,FALSE)-50))</f>
        <v>675</v>
      </c>
      <c r="AH331" s="3">
        <v>694</v>
      </c>
      <c r="AI331" s="3">
        <f>IF(ISERROR((VLOOKUP($A331,'SegEnds_NonXtal_BW#'!$A:$Z,24,FALSE)+VLOOKUP($A331,A:AL,34,FALSE)-50)),"-",(VLOOKUP($A331,'SegEnds_NonXtal_BW#'!$A:$Z,24,FALSE)+VLOOKUP($A331,A:AL,34,FALSE)-50))</f>
        <v>700</v>
      </c>
      <c r="AJ331" s="3" t="s">
        <v>23</v>
      </c>
      <c r="AK331" s="3" t="s">
        <v>23</v>
      </c>
      <c r="AL331" s="3" t="s">
        <v>23</v>
      </c>
      <c r="AM331" s="28" t="str">
        <f>VLOOKUP(A331,Classification!A:B,2,FALSE)</f>
        <v>B2</v>
      </c>
      <c r="AN331" s="28" t="b">
        <f t="shared" si="220"/>
        <v>1</v>
      </c>
      <c r="AO331" s="3" t="str">
        <f>IF(ISERROR(MATCH(A331,'SegEnds_Xtal_Prot#'!B:B, 0)), "NoXtal", "Xtal")</f>
        <v>NoXtal</v>
      </c>
      <c r="AP331" s="3" t="str">
        <f t="shared" si="205"/>
        <v>-</v>
      </c>
      <c r="AQ331" s="3" t="str">
        <f t="shared" si="206"/>
        <v>-</v>
      </c>
      <c r="AR331" s="3" t="str">
        <f t="shared" si="207"/>
        <v>-</v>
      </c>
      <c r="AS331" s="3" t="str">
        <f t="shared" si="208"/>
        <v>-</v>
      </c>
      <c r="AT331" s="3" t="str">
        <f t="shared" si="209"/>
        <v>-</v>
      </c>
      <c r="AU331" s="3" t="str">
        <f t="shared" si="210"/>
        <v>-</v>
      </c>
      <c r="AV331" s="3">
        <f t="shared" si="211"/>
        <v>9</v>
      </c>
      <c r="AW331" s="3">
        <f t="shared" si="212"/>
        <v>4</v>
      </c>
      <c r="AX331" s="3">
        <f t="shared" si="213"/>
        <v>17</v>
      </c>
      <c r="AY331" s="3">
        <f t="shared" si="214"/>
        <v>4</v>
      </c>
      <c r="AZ331" s="3" t="str">
        <f t="shared" si="215"/>
        <v>-</v>
      </c>
      <c r="BA331" s="3" t="str">
        <f>IF(ISERROR(LEN(VLOOKUP(A331,Seqs!A:E,2,FALSE))-AL331),"-",LEN(VLOOKUP(A331,Seqs!A:E,2,FALSE))-AL331)</f>
        <v>-</v>
      </c>
      <c r="BB331" s="16">
        <f t="shared" si="216"/>
        <v>31</v>
      </c>
      <c r="BC331" s="9" t="str">
        <f t="shared" si="217"/>
        <v>-</v>
      </c>
      <c r="BD331" s="3">
        <f t="shared" si="218"/>
        <v>31</v>
      </c>
      <c r="BE331" s="3">
        <f t="shared" si="219"/>
        <v>57</v>
      </c>
      <c r="BF331" s="3">
        <f>AH331-AE331</f>
        <v>23</v>
      </c>
      <c r="BG331" s="3" t="s">
        <v>1306</v>
      </c>
    </row>
    <row r="332" spans="1:59" s="3" customFormat="1" x14ac:dyDescent="0.2">
      <c r="A332" s="3" t="s">
        <v>1189</v>
      </c>
      <c r="B332" s="3" t="str">
        <f>LOWER(VLOOKUP(A332,Xtal_Templ!A:B,2,FALSE))</f>
        <v>calrl_human</v>
      </c>
      <c r="C332" s="3">
        <f>VLOOKUP($A332,'SegEnds_NonXtal_BW#'!$A:$Z,3,FALSE)+D332-50</f>
        <v>758</v>
      </c>
      <c r="D332" s="3">
        <v>785</v>
      </c>
      <c r="E332" s="3">
        <f>IF(ISERROR(VLOOKUP($A332,'SegEnds_NonXtal_BW#'!$A:$Z,4,FALSE)+VLOOKUP($A332,A:AL,4,FALSE)-50),"-",(VLOOKUP($A332,'SegEnds_NonXtal_BW#'!$A:$Z,4,FALSE)+VLOOKUP($A332,A:AL,4,FALSE)-50))</f>
        <v>795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803</v>
      </c>
      <c r="J332" s="3">
        <v>816</v>
      </c>
      <c r="K332" s="3">
        <f>VLOOKUP($A332,'SegEnds_NonXtal_BW#'!$A:$Z,8,FALSE)+VLOOKUP($A332,A:AL,10,FALSE)-50</f>
        <v>829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839</v>
      </c>
      <c r="P332" s="3">
        <v>866</v>
      </c>
      <c r="Q332" s="3">
        <f>VLOOKUP($A332,'SegEnds_NonXtal_BW#'!$A:$Z,12,FALSE)+VLOOKUP($A332,A:AL,16,FALSE)-50</f>
        <v>872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882</v>
      </c>
      <c r="V332" s="3">
        <v>891</v>
      </c>
      <c r="W332" s="3">
        <f>IF(ISERROR(VLOOKUP($A332,'SegEnds_NonXtal_BW#'!$A:$Z,16,FALSE)+VLOOKUP($A332,A:AL,22,FALSE)-50),"-",(VLOOKUP($A332,'SegEnds_NonXtal_BW#'!$A:$Z,16,FALSE)+VLOOKUP($A332,A:AL,22,FALSE)-50))</f>
        <v>908</v>
      </c>
      <c r="X332" s="3">
        <f>IF(ISERROR(VLOOKUP($A332,'SegEnds_NonXtal_BW#'!$A:$Z,17,FALSE)+VLOOKUP($A332,A:AL,25,FALSE)-50),"-",(VLOOKUP($A332,'SegEnds_NonXtal_BW#'!$A:$Z,17,FALSE)+VLOOKUP($A332,A:AL,25,FALSE)-50))</f>
        <v>917</v>
      </c>
      <c r="Y332" s="3">
        <v>917</v>
      </c>
      <c r="Z332" s="3">
        <f t="shared" si="204"/>
        <v>919</v>
      </c>
      <c r="AA332" s="3">
        <f>IF(ISERROR(VLOOKUP($A332,'SegEnds_NonXtal_BW#'!$A:$Z,19,FALSE)+VLOOKUP($A332,A:AL,28,FALSE)-50),"-",(VLOOKUP($A332,'SegEnds_NonXtal_BW#'!$A:$Z,19,FALSE)+VLOOKUP($A332,A:AL,28,FALSE)-50))</f>
        <v>922</v>
      </c>
      <c r="AB332" s="3">
        <v>936</v>
      </c>
      <c r="AC332" s="3">
        <f>IF(ISERROR((VLOOKUP($A332,'SegEnds_NonXtal_BW#'!$A:$Z,20,FALSE)+VLOOKUP($A332,A:AL,28,FALSE)-50)),"-",(VLOOKUP($A332,'SegEnds_NonXtal_BW#'!$A:$Z,20,FALSE)+VLOOKUP($A332,A:AL,28,FALSE)-50))</f>
        <v>955</v>
      </c>
      <c r="AD332" s="3">
        <f>IF(ISERROR(VLOOKUP($A332,'SegEnds_NonXtal_BW#'!$A:$Z,21,FALSE)+VLOOKUP($A332,A:AL,31,FALSE)-50),"-",(VLOOKUP($A332,'SegEnds_NonXtal_BW#'!$A:$Z,21,FALSE)+VLOOKUP($A332,A:AL,31,FALSE)-50))</f>
        <v>967</v>
      </c>
      <c r="AE332" s="3">
        <v>988</v>
      </c>
      <c r="AF332" s="3">
        <f>IF(ISERROR((VLOOKUP($A332,'SegEnds_NonXtal_BW#'!$A:$Z,22,FALSE)+VLOOKUP($A332,A:AL,31,FALSE)-50)),"-",(VLOOKUP($A332,'SegEnds_NonXtal_BW#'!$A:$Z,22,FALSE)+VLOOKUP($A332,A:AL,31,FALSE)-50))</f>
        <v>991</v>
      </c>
      <c r="AG332" s="3">
        <f>IF(ISERROR(VLOOKUP($A332,'SegEnds_NonXtal_BW#'!$A:$Z,23,FALSE)+VLOOKUP($A332,A:AL,34,FALSE)-50),"-",(VLOOKUP($A332,'SegEnds_NonXtal_BW#'!$A:$Z,23,FALSE)+VLOOKUP($A332,A:AL,34,FALSE)-50))</f>
        <v>998</v>
      </c>
      <c r="AH332" s="3">
        <v>1017</v>
      </c>
      <c r="AI332" s="3">
        <f>IF(ISERROR((VLOOKUP($A332,'SegEnds_NonXtal_BW#'!$A:$Z,24,FALSE)+VLOOKUP($A332,A:AL,34,FALSE)-50)),"-",(VLOOKUP($A332,'SegEnds_NonXtal_BW#'!$A:$Z,24,FALSE)+VLOOKUP($A332,A:AL,34,FALSE)-50))</f>
        <v>1023</v>
      </c>
      <c r="AJ332" s="3">
        <f>IF(ISERROR(VLOOKUP($A332,'SegEnds_NonXtal_BW#'!$A:$Z,25,FALSE)+VLOOKUP($A332,A:AL,37,FALSE)-50),"-",(VLOOKUP($A332,'SegEnds_NonXtal_BW#'!$A:$Z,25,FALSE)+VLOOKUP($A332,A:AL,37,FALSE)-50))</f>
        <v>1024</v>
      </c>
      <c r="AK332" s="3">
        <v>1027</v>
      </c>
      <c r="AL332" s="3">
        <f>IF(ISERROR((VLOOKUP($A332,'SegEnds_NonXtal_BW#'!$A:$Z,26,FALSE)+VLOOKUP($A332,A:AL,37,FALSE)-50)),"-",(VLOOKUP($A332,'SegEnds_NonXtal_BW#'!$A:$Z,26,FALSE)+VLOOKUP($A332,A:AL,37,FALSE)-50))</f>
        <v>1040</v>
      </c>
      <c r="AM332" s="28" t="str">
        <f>VLOOKUP(A332,Classification!A:B,2,FALSE)</f>
        <v>B2</v>
      </c>
      <c r="AN332" s="28" t="b">
        <f t="shared" si="220"/>
        <v>1</v>
      </c>
      <c r="AO332" s="3" t="str">
        <f>IF(ISERROR(MATCH(A332,'SegEnds_Xtal_Prot#'!B:B, 0)), "NoXtal", "Xtal")</f>
        <v>NoXtal</v>
      </c>
      <c r="AP332" s="3" t="str">
        <f t="shared" si="205"/>
        <v>-</v>
      </c>
      <c r="AQ332" s="3" t="str">
        <f t="shared" si="206"/>
        <v>-</v>
      </c>
      <c r="AR332" s="3" t="str">
        <f t="shared" si="207"/>
        <v>-</v>
      </c>
      <c r="AS332" s="3" t="str">
        <f t="shared" si="208"/>
        <v>-</v>
      </c>
      <c r="AT332" s="3" t="str">
        <f t="shared" si="209"/>
        <v>-</v>
      </c>
      <c r="AU332" s="3" t="str">
        <f t="shared" si="210"/>
        <v>-</v>
      </c>
      <c r="AV332" s="3">
        <f t="shared" si="211"/>
        <v>9</v>
      </c>
      <c r="AW332" s="3">
        <f t="shared" si="212"/>
        <v>3</v>
      </c>
      <c r="AX332" s="3">
        <f t="shared" si="213"/>
        <v>12</v>
      </c>
      <c r="AY332" s="3">
        <f t="shared" si="214"/>
        <v>7</v>
      </c>
      <c r="AZ332" s="3">
        <f t="shared" si="215"/>
        <v>1</v>
      </c>
      <c r="BA332" s="3">
        <f>IF(ISERROR(LEN(VLOOKUP(A332,Seqs!A:E,2,FALSE))-AL332),"-",LEN(VLOOKUP(A332,Seqs!A:E,2,FALSE))-AL332)</f>
        <v>39</v>
      </c>
      <c r="BB332" s="16">
        <f t="shared" si="216"/>
        <v>31</v>
      </c>
      <c r="BC332" s="9" t="str">
        <f t="shared" si="217"/>
        <v>-</v>
      </c>
      <c r="BD332" s="3">
        <f t="shared" si="218"/>
        <v>31</v>
      </c>
      <c r="BE332" s="3">
        <f t="shared" si="219"/>
        <v>52</v>
      </c>
    </row>
    <row r="333" spans="1:59" s="3" customFormat="1" x14ac:dyDescent="0.2">
      <c r="A333" s="3" t="s">
        <v>1190</v>
      </c>
      <c r="B333" s="3" t="str">
        <f>LOWER(VLOOKUP(A333,Xtal_Templ!A:B,2,FALSE))</f>
        <v>crfr1_human</v>
      </c>
      <c r="C333" s="3">
        <f>VLOOKUP($A333,'SegEnds_NonXtal_BW#'!$A:$Z,3,FALSE)+D333-50</f>
        <v>389</v>
      </c>
      <c r="D333" s="3">
        <v>416</v>
      </c>
      <c r="E333" s="3">
        <f>IF(ISERROR(VLOOKUP($A333,'SegEnds_NonXtal_BW#'!$A:$Z,4,FALSE)+VLOOKUP($A333,A:AL,4,FALSE)-50),"-",(VLOOKUP($A333,'SegEnds_NonXtal_BW#'!$A:$Z,4,FALSE)+VLOOKUP($A333,A:AL,4,FALSE)-50))</f>
        <v>426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434</v>
      </c>
      <c r="J333" s="3">
        <v>447</v>
      </c>
      <c r="K333" s="3">
        <f>VLOOKUP($A333,'SegEnds_NonXtal_BW#'!$A:$Z,8,FALSE)+VLOOKUP($A333,A:AL,10,FALSE)-50</f>
        <v>460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471</v>
      </c>
      <c r="P333" s="3">
        <v>498</v>
      </c>
      <c r="Q333" s="3">
        <f>VLOOKUP($A333,'SegEnds_NonXtal_BW#'!$A:$Z,12,FALSE)+VLOOKUP($A333,A:AL,16,FALSE)-50</f>
        <v>504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513</v>
      </c>
      <c r="V333" s="3">
        <v>523</v>
      </c>
      <c r="W333" s="3">
        <f>IF(ISERROR(VLOOKUP($A333,'SegEnds_NonXtal_BW#'!$A:$Z,16,FALSE)+VLOOKUP($A333,A:AL,22,FALSE)-50),"-",(VLOOKUP($A333,'SegEnds_NonXtal_BW#'!$A:$Z,16,FALSE)+VLOOKUP($A333,A:AL,22,FALSE)-50))</f>
        <v>541</v>
      </c>
      <c r="X333" s="3">
        <f>IF(ISERROR(VLOOKUP($A333,'SegEnds_NonXtal_BW#'!$A:$Z,17,FALSE)+VLOOKUP($A333,A:AL,25,FALSE)-50),"-",(VLOOKUP($A333,'SegEnds_NonXtal_BW#'!$A:$Z,17,FALSE)+VLOOKUP($A333,A:AL,25,FALSE)-50))</f>
        <v>549</v>
      </c>
      <c r="Y333" s="3">
        <v>549</v>
      </c>
      <c r="Z333" s="3">
        <f t="shared" si="204"/>
        <v>551</v>
      </c>
      <c r="AA333" s="3">
        <f>IF(ISERROR(VLOOKUP($A333,'SegEnds_NonXtal_BW#'!$A:$Z,19,FALSE)+VLOOKUP($A333,A:AL,28,FALSE)-50),"-",(VLOOKUP($A333,'SegEnds_NonXtal_BW#'!$A:$Z,19,FALSE)+VLOOKUP($A333,A:AL,28,FALSE)-50))</f>
        <v>555</v>
      </c>
      <c r="AB333" s="3">
        <v>569</v>
      </c>
      <c r="AC333" s="3">
        <f>IF(ISERROR((VLOOKUP($A333,'SegEnds_NonXtal_BW#'!$A:$Z,20,FALSE)+VLOOKUP($A333,A:AL,28,FALSE)-50)),"-",(VLOOKUP($A333,'SegEnds_NonXtal_BW#'!$A:$Z,20,FALSE)+VLOOKUP($A333,A:AL,28,FALSE)-50))</f>
        <v>588</v>
      </c>
      <c r="AD333" s="3">
        <f>IF(ISERROR(VLOOKUP($A333,'SegEnds_NonXtal_BW#'!$A:$Z,21,FALSE)+VLOOKUP($A333,A:AL,31,FALSE)-50),"-",(VLOOKUP($A333,'SegEnds_NonXtal_BW#'!$A:$Z,21,FALSE)+VLOOKUP($A333,A:AL,31,FALSE)-50))</f>
        <v>599</v>
      </c>
      <c r="AE333" s="3">
        <v>620</v>
      </c>
      <c r="AF333" s="3">
        <f>IF(ISERROR((VLOOKUP($A333,'SegEnds_NonXtal_BW#'!$A:$Z,22,FALSE)+VLOOKUP($A333,A:AL,31,FALSE)-50)),"-",(VLOOKUP($A333,'SegEnds_NonXtal_BW#'!$A:$Z,22,FALSE)+VLOOKUP($A333,A:AL,31,FALSE)-50))</f>
        <v>623</v>
      </c>
      <c r="AG333" s="3">
        <f>IF(ISERROR(VLOOKUP($A333,'SegEnds_NonXtal_BW#'!$A:$Z,23,FALSE)+VLOOKUP($A333,A:AL,34,FALSE)-50),"-",(VLOOKUP($A333,'SegEnds_NonXtal_BW#'!$A:$Z,23,FALSE)+VLOOKUP($A333,A:AL,34,FALSE)-50))</f>
        <v>630</v>
      </c>
      <c r="AH333" s="3">
        <v>649</v>
      </c>
      <c r="AI333" s="3">
        <f>IF(ISERROR((VLOOKUP($A333,'SegEnds_NonXtal_BW#'!$A:$Z,24,FALSE)+VLOOKUP($A333,A:AL,34,FALSE)-50)),"-",(VLOOKUP($A333,'SegEnds_NonXtal_BW#'!$A:$Z,24,FALSE)+VLOOKUP($A333,A:AL,34,FALSE)-50))</f>
        <v>655</v>
      </c>
      <c r="AJ333" s="3">
        <f>IF(ISERROR(VLOOKUP($A333,'SegEnds_NonXtal_BW#'!$A:$Z,25,FALSE)+VLOOKUP($A333,A:AL,37,FALSE)-50),"-",(VLOOKUP($A333,'SegEnds_NonXtal_BW#'!$A:$Z,25,FALSE)+VLOOKUP($A333,A:AL,37,FALSE)-50))</f>
        <v>656</v>
      </c>
      <c r="AK333" s="3">
        <v>659</v>
      </c>
      <c r="AL333" s="3">
        <f>IF(ISERROR((VLOOKUP($A333,'SegEnds_NonXtal_BW#'!$A:$Z,26,FALSE)+VLOOKUP($A333,A:AL,37,FALSE)-50)),"-",(VLOOKUP($A333,'SegEnds_NonXtal_BW#'!$A:$Z,26,FALSE)+VLOOKUP($A333,A:AL,37,FALSE)-50))</f>
        <v>672</v>
      </c>
      <c r="AM333" s="28" t="str">
        <f>VLOOKUP(A333,Classification!A:B,2,FALSE)</f>
        <v>B2</v>
      </c>
      <c r="AN333" s="28" t="b">
        <f t="shared" si="220"/>
        <v>1</v>
      </c>
      <c r="AO333" s="3" t="str">
        <f>IF(ISERROR(MATCH(A333,'SegEnds_Xtal_Prot#'!B:B, 0)), "NoXtal", "Xtal")</f>
        <v>NoXtal</v>
      </c>
      <c r="AP333" s="3" t="str">
        <f t="shared" si="205"/>
        <v>-</v>
      </c>
      <c r="AQ333" s="3" t="str">
        <f t="shared" si="206"/>
        <v>-</v>
      </c>
      <c r="AR333" s="3" t="str">
        <f t="shared" si="207"/>
        <v>-</v>
      </c>
      <c r="AS333" s="3" t="str">
        <f t="shared" si="208"/>
        <v>-</v>
      </c>
      <c r="AT333" s="3" t="str">
        <f t="shared" si="209"/>
        <v>-</v>
      </c>
      <c r="AU333" s="3" t="str">
        <f t="shared" si="210"/>
        <v>-</v>
      </c>
      <c r="AV333" s="3">
        <f t="shared" si="211"/>
        <v>8</v>
      </c>
      <c r="AW333" s="3">
        <f t="shared" si="212"/>
        <v>4</v>
      </c>
      <c r="AX333" s="3">
        <f t="shared" si="213"/>
        <v>11</v>
      </c>
      <c r="AY333" s="3">
        <f t="shared" si="214"/>
        <v>7</v>
      </c>
      <c r="AZ333" s="3">
        <f t="shared" si="215"/>
        <v>1</v>
      </c>
      <c r="BA333" s="3">
        <f>IF(ISERROR(LEN(VLOOKUP(A333,Seqs!A:E,2,FALSE))-AL333),"-",LEN(VLOOKUP(A333,Seqs!A:E,2,FALSE))-AL333)</f>
        <v>23</v>
      </c>
      <c r="BB333" s="16">
        <f t="shared" si="216"/>
        <v>31</v>
      </c>
      <c r="BC333" s="9" t="str">
        <f t="shared" si="217"/>
        <v>-</v>
      </c>
      <c r="BD333" s="3">
        <f t="shared" si="218"/>
        <v>31</v>
      </c>
      <c r="BE333" s="3">
        <f t="shared" si="219"/>
        <v>51</v>
      </c>
      <c r="BF333" s="3">
        <f>AH333-AE333</f>
        <v>29</v>
      </c>
    </row>
    <row r="334" spans="1:59" s="3" customFormat="1" x14ac:dyDescent="0.2">
      <c r="A334" s="3" t="s">
        <v>1191</v>
      </c>
      <c r="B334" s="3" t="str">
        <f>LOWER(VLOOKUP(A334,Xtal_Templ!A:B,2,FALSE))</f>
        <v>crfr1_human</v>
      </c>
      <c r="C334" s="3">
        <f>VLOOKUP($A334,'SegEnds_NonXtal_BW#'!$A:$Z,3,FALSE)+D334-50</f>
        <v>1000</v>
      </c>
      <c r="D334" s="3">
        <v>1027</v>
      </c>
      <c r="E334" s="3">
        <f>IF(ISERROR(VLOOKUP($A334,'SegEnds_NonXtal_BW#'!$A:$Z,4,FALSE)+VLOOKUP($A334,A:AL,4,FALSE)-50),"-",(VLOOKUP($A334,'SegEnds_NonXtal_BW#'!$A:$Z,4,FALSE)+VLOOKUP($A334,A:AL,4,FALSE)-50))</f>
        <v>1037</v>
      </c>
      <c r="F334" s="3">
        <f>G334-2</f>
        <v>1039</v>
      </c>
      <c r="G334" s="3">
        <v>1041</v>
      </c>
      <c r="H334" s="3">
        <f>G334+1</f>
        <v>1042</v>
      </c>
      <c r="I334" s="3">
        <f>H334+1</f>
        <v>1043</v>
      </c>
      <c r="J334" s="3">
        <v>1058</v>
      </c>
      <c r="K334" s="3">
        <f>VLOOKUP($A334,'SegEnds_NonXtal_BW#'!$A:$Z,8,FALSE)+VLOOKUP($A334,A:AL,10,FALSE)-50</f>
        <v>1071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1084</v>
      </c>
      <c r="P334" s="3">
        <v>1111</v>
      </c>
      <c r="Q334" s="3">
        <f>VLOOKUP($A334,'SegEnds_NonXtal_BW#'!$A:$Z,12,FALSE)+VLOOKUP($A334,A:AL,16,FALSE)-50</f>
        <v>1117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1126</v>
      </c>
      <c r="V334" s="3">
        <v>1136</v>
      </c>
      <c r="W334" s="3">
        <f>IF(ISERROR(VLOOKUP($A334,'SegEnds_NonXtal_BW#'!$A:$Z,16,FALSE)+VLOOKUP($A334,A:AL,22,FALSE)-50),"-",(VLOOKUP($A334,'SegEnds_NonXtal_BW#'!$A:$Z,16,FALSE)+VLOOKUP($A334,A:AL,22,FALSE)-50))</f>
        <v>1154</v>
      </c>
      <c r="X334" s="3">
        <f>IF(ISERROR(VLOOKUP($A334,'SegEnds_NonXtal_BW#'!$A:$Z,17,FALSE)+VLOOKUP($A334,A:AL,25,FALSE)-50),"-",(VLOOKUP($A334,'SegEnds_NonXtal_BW#'!$A:$Z,17,FALSE)+VLOOKUP($A334,A:AL,25,FALSE)-50))</f>
        <v>1162</v>
      </c>
      <c r="Y334" s="3">
        <v>1162</v>
      </c>
      <c r="Z334" s="3">
        <f t="shared" si="204"/>
        <v>1164</v>
      </c>
      <c r="AA334" s="3">
        <f>IF(ISERROR(VLOOKUP($A334,'SegEnds_NonXtal_BW#'!$A:$Z,19,FALSE)+VLOOKUP($A334,A:AL,28,FALSE)-50),"-",(VLOOKUP($A334,'SegEnds_NonXtal_BW#'!$A:$Z,19,FALSE)+VLOOKUP($A334,A:AL,28,FALSE)-50))</f>
        <v>1168</v>
      </c>
      <c r="AB334" s="3">
        <v>1182</v>
      </c>
      <c r="AC334" s="3">
        <f>IF(ISERROR((VLOOKUP($A334,'SegEnds_NonXtal_BW#'!$A:$Z,20,FALSE)+VLOOKUP($A334,A:AL,28,FALSE)-50)),"-",(VLOOKUP($A334,'SegEnds_NonXtal_BW#'!$A:$Z,20,FALSE)+VLOOKUP($A334,A:AL,28,FALSE)-50))</f>
        <v>1201</v>
      </c>
      <c r="AD334" s="3">
        <f>IF(ISERROR(VLOOKUP($A334,'SegEnds_NonXtal_BW#'!$A:$Z,21,FALSE)+VLOOKUP($A334,A:AL,31,FALSE)-50),"-",(VLOOKUP($A334,'SegEnds_NonXtal_BW#'!$A:$Z,21,FALSE)+VLOOKUP($A334,A:AL,31,FALSE)-50))</f>
        <v>1213</v>
      </c>
      <c r="AE334" s="3">
        <v>1234</v>
      </c>
      <c r="AF334" s="3">
        <f>IF(ISERROR((VLOOKUP($A334,'SegEnds_NonXtal_BW#'!$A:$Z,22,FALSE)+VLOOKUP($A334,A:AL,31,FALSE)-50)),"-",(VLOOKUP($A334,'SegEnds_NonXtal_BW#'!$A:$Z,22,FALSE)+VLOOKUP($A334,A:AL,31,FALSE)-50))</f>
        <v>1237</v>
      </c>
      <c r="AG334" s="3">
        <f>IF(ISERROR(VLOOKUP($A334,'SegEnds_NonXtal_BW#'!$A:$Z,23,FALSE)+VLOOKUP($A334,A:AL,34,FALSE)-50),"-",(VLOOKUP($A334,'SegEnds_NonXtal_BW#'!$A:$Z,23,FALSE)+VLOOKUP($A334,A:AL,34,FALSE)-50))</f>
        <v>1244</v>
      </c>
      <c r="AH334" s="3">
        <v>1263</v>
      </c>
      <c r="AI334" s="3">
        <f>IF(ISERROR((VLOOKUP($A334,'SegEnds_NonXtal_BW#'!$A:$Z,24,FALSE)+VLOOKUP($A334,A:AL,34,FALSE)-50)),"-",(VLOOKUP($A334,'SegEnds_NonXtal_BW#'!$A:$Z,24,FALSE)+VLOOKUP($A334,A:AL,34,FALSE)-50))</f>
        <v>1269</v>
      </c>
      <c r="AJ334" s="3">
        <f>IF(ISERROR(VLOOKUP($A334,'SegEnds_NonXtal_BW#'!$A:$Z,25,FALSE)+VLOOKUP($A334,A:AL,37,FALSE)-50),"-",(VLOOKUP($A334,'SegEnds_NonXtal_BW#'!$A:$Z,25,FALSE)+VLOOKUP($A334,A:AL,37,FALSE)-50))</f>
        <v>1270</v>
      </c>
      <c r="AK334" s="3">
        <v>1273</v>
      </c>
      <c r="AL334" s="3">
        <f>IF(ISERROR((VLOOKUP($A334,'SegEnds_NonXtal_BW#'!$A:$Z,26,FALSE)+VLOOKUP($A334,A:AL,37,FALSE)-50)),"-",(VLOOKUP($A334,'SegEnds_NonXtal_BW#'!$A:$Z,26,FALSE)+VLOOKUP($A334,A:AL,37,FALSE)-50))</f>
        <v>1286</v>
      </c>
      <c r="AM334" s="28" t="str">
        <f>VLOOKUP(A334,Classification!A:B,2,FALSE)</f>
        <v>B2</v>
      </c>
      <c r="AN334" s="28" t="b">
        <f t="shared" si="220"/>
        <v>1</v>
      </c>
      <c r="AO334" s="3" t="str">
        <f>IF(ISERROR(MATCH(A334,'SegEnds_Xtal_Prot#'!B:B, 0)), "NoXtal", "Xtal")</f>
        <v>NoXtal</v>
      </c>
      <c r="AP334" s="3">
        <f t="shared" si="205"/>
        <v>2</v>
      </c>
      <c r="AQ334" s="3">
        <f t="shared" si="206"/>
        <v>1</v>
      </c>
      <c r="AR334" s="3" t="str">
        <f t="shared" si="207"/>
        <v>-</v>
      </c>
      <c r="AS334" s="3" t="str">
        <f t="shared" si="208"/>
        <v>-</v>
      </c>
      <c r="AT334" s="3" t="str">
        <f t="shared" si="209"/>
        <v>-</v>
      </c>
      <c r="AU334" s="3" t="str">
        <f t="shared" si="210"/>
        <v>-</v>
      </c>
      <c r="AV334" s="3">
        <f t="shared" si="211"/>
        <v>8</v>
      </c>
      <c r="AW334" s="3">
        <f t="shared" si="212"/>
        <v>4</v>
      </c>
      <c r="AX334" s="3">
        <f t="shared" si="213"/>
        <v>12</v>
      </c>
      <c r="AY334" s="3">
        <f t="shared" si="214"/>
        <v>7</v>
      </c>
      <c r="AZ334" s="3">
        <f t="shared" si="215"/>
        <v>1</v>
      </c>
      <c r="BA334" s="3">
        <f>IF(ISERROR(LEN(VLOOKUP(A334,Seqs!A:E,2,FALSE))-AL334),"-",LEN(VLOOKUP(A334,Seqs!A:E,2,FALSE))-AL334)</f>
        <v>60</v>
      </c>
      <c r="BB334" s="16">
        <f t="shared" si="216"/>
        <v>31</v>
      </c>
      <c r="BC334" s="9" t="str">
        <f t="shared" si="217"/>
        <v>-</v>
      </c>
      <c r="BD334" s="3">
        <f t="shared" si="218"/>
        <v>31</v>
      </c>
      <c r="BE334" s="3">
        <f t="shared" si="219"/>
        <v>52</v>
      </c>
    </row>
    <row r="335" spans="1:59" s="3" customFormat="1" x14ac:dyDescent="0.2">
      <c r="A335" s="3" t="s">
        <v>1192</v>
      </c>
      <c r="B335" s="3" t="str">
        <f>LOWER(VLOOKUP(A335,Xtal_Templ!A:B,2,FALSE))</f>
        <v>glr_human</v>
      </c>
      <c r="C335" s="3">
        <f>VLOOKUP($A335,'SegEnds_NonXtal_BW#'!$A:$Z,3,FALSE)+D335-50</f>
        <v>391</v>
      </c>
      <c r="D335" s="3">
        <v>418</v>
      </c>
      <c r="E335" s="3">
        <f>IF(ISERROR(VLOOKUP($A335,'SegEnds_NonXtal_BW#'!$A:$Z,4,FALSE)+VLOOKUP($A335,A:AL,4,FALSE)-50),"-",(VLOOKUP($A335,'SegEnds_NonXtal_BW#'!$A:$Z,4,FALSE)+VLOOKUP($A335,A:AL,4,FALSE)-50))</f>
        <v>428</v>
      </c>
      <c r="F335" s="3">
        <f>G335-2</f>
        <v>430</v>
      </c>
      <c r="G335" s="3">
        <v>432</v>
      </c>
      <c r="H335" s="3">
        <f>G335+1</f>
        <v>433</v>
      </c>
      <c r="I335" s="3">
        <f>H335+1</f>
        <v>434</v>
      </c>
      <c r="J335" s="3">
        <v>453</v>
      </c>
      <c r="K335" s="3">
        <f>VLOOKUP($A335,'SegEnds_NonXtal_BW#'!$A:$Z,8,FALSE)+VLOOKUP($A335,A:AL,10,FALSE)-50</f>
        <v>466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473</v>
      </c>
      <c r="P335" s="3">
        <v>500</v>
      </c>
      <c r="Q335" s="3">
        <f>VLOOKUP($A335,'SegEnds_NonXtal_BW#'!$A:$Z,12,FALSE)+VLOOKUP($A335,A:AL,16,FALSE)-50</f>
        <v>506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514</v>
      </c>
      <c r="V335" s="3">
        <v>524</v>
      </c>
      <c r="W335" s="3">
        <f>IF(ISERROR(VLOOKUP($A335,'SegEnds_NonXtal_BW#'!$A:$Z,16,FALSE)+VLOOKUP($A335,A:AL,22,FALSE)-50),"-",(VLOOKUP($A335,'SegEnds_NonXtal_BW#'!$A:$Z,16,FALSE)+VLOOKUP($A335,A:AL,22,FALSE)-50))</f>
        <v>542</v>
      </c>
      <c r="X335" s="3">
        <f>IF(ISERROR(VLOOKUP($A335,'SegEnds_NonXtal_BW#'!$A:$Z,17,FALSE)+VLOOKUP($A335,A:AL,25,FALSE)-50),"-",(VLOOKUP($A335,'SegEnds_NonXtal_BW#'!$A:$Z,17,FALSE)+VLOOKUP($A335,A:AL,25,FALSE)-50))</f>
        <v>562</v>
      </c>
      <c r="Y335" s="3">
        <v>562</v>
      </c>
      <c r="Z335" s="3">
        <f t="shared" si="204"/>
        <v>564</v>
      </c>
      <c r="AA335" s="3">
        <f>IF(ISERROR(VLOOKUP($A335,'SegEnds_NonXtal_BW#'!$A:$Z,19,FALSE)+VLOOKUP($A335,A:AL,28,FALSE)-50),"-",(VLOOKUP($A335,'SegEnds_NonXtal_BW#'!$A:$Z,19,FALSE)+VLOOKUP($A335,A:AL,28,FALSE)-50))</f>
        <v>567</v>
      </c>
      <c r="AB335" s="3">
        <v>581</v>
      </c>
      <c r="AC335" s="3">
        <f>IF(ISERROR((VLOOKUP($A335,'SegEnds_NonXtal_BW#'!$A:$Z,20,FALSE)+VLOOKUP($A335,A:AL,28,FALSE)-50)),"-",(VLOOKUP($A335,'SegEnds_NonXtal_BW#'!$A:$Z,20,FALSE)+VLOOKUP($A335,A:AL,28,FALSE)-50))</f>
        <v>600</v>
      </c>
      <c r="AD335" s="3">
        <f>IF(ISERROR(VLOOKUP($A335,'SegEnds_NonXtal_BW#'!$A:$Z,21,FALSE)+VLOOKUP($A335,A:AL,31,FALSE)-50),"-",(VLOOKUP($A335,'SegEnds_NonXtal_BW#'!$A:$Z,21,FALSE)+VLOOKUP($A335,A:AL,31,FALSE)-50))</f>
        <v>604</v>
      </c>
      <c r="AE335" s="3">
        <v>625</v>
      </c>
      <c r="AF335" s="3">
        <f>IF(ISERROR((VLOOKUP($A335,'SegEnds_NonXtal_BW#'!$A:$Z,22,FALSE)+VLOOKUP($A335,A:AL,31,FALSE)-50)),"-",(VLOOKUP($A335,'SegEnds_NonXtal_BW#'!$A:$Z,22,FALSE)+VLOOKUP($A335,A:AL,31,FALSE)-50))</f>
        <v>628</v>
      </c>
      <c r="AG335" s="3">
        <f>IF(ISERROR(VLOOKUP($A335,'SegEnds_NonXtal_BW#'!$A:$Z,23,FALSE)+VLOOKUP($A335,A:AL,34,FALSE)-50),"-",(VLOOKUP($A335,'SegEnds_NonXtal_BW#'!$A:$Z,23,FALSE)+VLOOKUP($A335,A:AL,34,FALSE)-50))</f>
        <v>633</v>
      </c>
      <c r="AH335" s="3">
        <v>655</v>
      </c>
      <c r="AI335" s="3">
        <f>IF(ISERROR((VLOOKUP($A335,'SegEnds_NonXtal_BW#'!$A:$Z,24,FALSE)+VLOOKUP($A335,A:AL,34,FALSE)-50)),"-",(VLOOKUP($A335,'SegEnds_NonXtal_BW#'!$A:$Z,24,FALSE)+VLOOKUP($A335,A:AL,34,FALSE)-50))</f>
        <v>661</v>
      </c>
      <c r="AJ335" s="3">
        <f>IF(ISERROR(VLOOKUP($A335,'SegEnds_NonXtal_BW#'!$A:$Z,25,FALSE)+VLOOKUP($A335,A:AL,37,FALSE)-50),"-",(VLOOKUP($A335,'SegEnds_NonXtal_BW#'!$A:$Z,25,FALSE)+VLOOKUP($A335,A:AL,37,FALSE)-50))</f>
        <v>662</v>
      </c>
      <c r="AK335" s="3">
        <v>665</v>
      </c>
      <c r="AL335" s="3">
        <f>IF(ISERROR((VLOOKUP($A335,'SegEnds_NonXtal_BW#'!$A:$Z,26,FALSE)+VLOOKUP($A335,A:AL,37,FALSE)-50)),"-",(VLOOKUP($A335,'SegEnds_NonXtal_BW#'!$A:$Z,26,FALSE)+VLOOKUP($A335,A:AL,37,FALSE)-50))</f>
        <v>678</v>
      </c>
      <c r="AM335" s="28" t="str">
        <f>VLOOKUP(A335,Classification!A:B,2,FALSE)</f>
        <v>B2</v>
      </c>
      <c r="AN335" s="28" t="b">
        <f t="shared" si="220"/>
        <v>1</v>
      </c>
      <c r="AO335" s="3" t="str">
        <f>IF(ISERROR(MATCH(A335,'SegEnds_Xtal_Prot#'!B:B, 0)), "NoXtal", "Xtal")</f>
        <v>NoXtal</v>
      </c>
      <c r="AP335" s="3">
        <f t="shared" si="205"/>
        <v>2</v>
      </c>
      <c r="AQ335" s="3">
        <f t="shared" si="206"/>
        <v>1</v>
      </c>
      <c r="AR335" s="3" t="str">
        <f t="shared" si="207"/>
        <v>-</v>
      </c>
      <c r="AS335" s="3" t="str">
        <f t="shared" si="208"/>
        <v>-</v>
      </c>
      <c r="AT335" s="3" t="str">
        <f t="shared" si="209"/>
        <v>-</v>
      </c>
      <c r="AU335" s="3" t="str">
        <f t="shared" si="210"/>
        <v>-</v>
      </c>
      <c r="AV335" s="3">
        <f t="shared" si="211"/>
        <v>20</v>
      </c>
      <c r="AW335" s="3">
        <f t="shared" si="212"/>
        <v>3</v>
      </c>
      <c r="AX335" s="3">
        <f t="shared" si="213"/>
        <v>4</v>
      </c>
      <c r="AY335" s="3">
        <f t="shared" si="214"/>
        <v>5</v>
      </c>
      <c r="AZ335" s="3">
        <f t="shared" si="215"/>
        <v>1</v>
      </c>
      <c r="BA335" s="3">
        <f>IF(ISERROR(LEN(VLOOKUP(A335,Seqs!A:E,2,FALSE))-AL335),"-",LEN(VLOOKUP(A335,Seqs!A:E,2,FALSE))-AL335)</f>
        <v>15</v>
      </c>
      <c r="BB335" s="16">
        <f t="shared" si="216"/>
        <v>35</v>
      </c>
      <c r="BC335" s="9" t="str">
        <f t="shared" si="217"/>
        <v>-</v>
      </c>
      <c r="BD335" s="3">
        <f t="shared" si="218"/>
        <v>35</v>
      </c>
      <c r="BE335" s="3">
        <f t="shared" si="219"/>
        <v>44</v>
      </c>
      <c r="BF335" s="3">
        <f>AH335-AE335</f>
        <v>30</v>
      </c>
    </row>
    <row r="336" spans="1:59" s="3" customFormat="1" x14ac:dyDescent="0.2">
      <c r="A336" s="3" t="s">
        <v>1193</v>
      </c>
      <c r="B336" s="3" t="str">
        <f>LOWER(VLOOKUP(A336,Xtal_Templ!A:B,2,FALSE))</f>
        <v>pacr_human</v>
      </c>
      <c r="C336" s="3">
        <f>VLOOKUP($A336,'SegEnds_NonXtal_BW#'!$A:$Z,3,FALSE)+D336-50</f>
        <v>616</v>
      </c>
      <c r="D336" s="3">
        <v>643</v>
      </c>
      <c r="E336" s="3">
        <f>IF(ISERROR(VLOOKUP($A336,'SegEnds_NonXtal_BW#'!$A:$Z,4,FALSE)+VLOOKUP($A336,A:AL,4,FALSE)-50),"-",(VLOOKUP($A336,'SegEnds_NonXtal_BW#'!$A:$Z,4,FALSE)+VLOOKUP($A336,A:AL,4,FALSE)-50))</f>
        <v>653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659</v>
      </c>
      <c r="J336" s="3">
        <v>672</v>
      </c>
      <c r="K336" s="3">
        <f>VLOOKUP($A336,'SegEnds_NonXtal_BW#'!$A:$Z,8,FALSE)+VLOOKUP($A336,A:AL,10,FALSE)-50</f>
        <v>685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692</v>
      </c>
      <c r="P336" s="3">
        <v>719</v>
      </c>
      <c r="Q336" s="3">
        <f>VLOOKUP($A336,'SegEnds_NonXtal_BW#'!$A:$Z,12,FALSE)+VLOOKUP($A336,A:AL,16,FALSE)-50</f>
        <v>725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733</v>
      </c>
      <c r="V336" s="3">
        <v>743</v>
      </c>
      <c r="W336" s="3">
        <f>IF(ISERROR(VLOOKUP($A336,'SegEnds_NonXtal_BW#'!$A:$Z,16,FALSE)+VLOOKUP($A336,A:AL,22,FALSE)-50),"-",(VLOOKUP($A336,'SegEnds_NonXtal_BW#'!$A:$Z,16,FALSE)+VLOOKUP($A336,A:AL,22,FALSE)-50))</f>
        <v>761</v>
      </c>
      <c r="X336" s="3">
        <f>IF(ISERROR(VLOOKUP($A336,'SegEnds_NonXtal_BW#'!$A:$Z,17,FALSE)+VLOOKUP($A336,A:AL,25,FALSE)-50),"-",(VLOOKUP($A336,'SegEnds_NonXtal_BW#'!$A:$Z,17,FALSE)+VLOOKUP($A336,A:AL,25,FALSE)-50))</f>
        <v>778</v>
      </c>
      <c r="Y336" s="3">
        <v>778</v>
      </c>
      <c r="Z336" s="3">
        <f t="shared" si="204"/>
        <v>780</v>
      </c>
      <c r="AA336" s="3">
        <f>IF(ISERROR(VLOOKUP($A336,'SegEnds_NonXtal_BW#'!$A:$Z,19,FALSE)+VLOOKUP($A336,A:AL,28,FALSE)-50),"-",(VLOOKUP($A336,'SegEnds_NonXtal_BW#'!$A:$Z,19,FALSE)+VLOOKUP($A336,A:AL,28,FALSE)-50))</f>
        <v>783</v>
      </c>
      <c r="AB336" s="3">
        <v>797</v>
      </c>
      <c r="AC336" s="3">
        <f>IF(ISERROR((VLOOKUP($A336,'SegEnds_NonXtal_BW#'!$A:$Z,20,FALSE)+VLOOKUP($A336,A:AL,28,FALSE)-50)),"-",(VLOOKUP($A336,'SegEnds_NonXtal_BW#'!$A:$Z,20,FALSE)+VLOOKUP($A336,A:AL,28,FALSE)-50))</f>
        <v>816</v>
      </c>
      <c r="AD336" s="3">
        <f>IF(ISERROR(VLOOKUP($A336,'SegEnds_NonXtal_BW#'!$A:$Z,21,FALSE)+VLOOKUP($A336,A:AL,31,FALSE)-50),"-",(VLOOKUP($A336,'SegEnds_NonXtal_BW#'!$A:$Z,21,FALSE)+VLOOKUP($A336,A:AL,31,FALSE)-50))</f>
        <v>827</v>
      </c>
      <c r="AE336" s="3">
        <v>848</v>
      </c>
      <c r="AF336" s="3">
        <f>IF(ISERROR((VLOOKUP($A336,'SegEnds_NonXtal_BW#'!$A:$Z,22,FALSE)+VLOOKUP($A336,A:AL,31,FALSE)-50)),"-",(VLOOKUP($A336,'SegEnds_NonXtal_BW#'!$A:$Z,22,FALSE)+VLOOKUP($A336,A:AL,31,FALSE)-50))</f>
        <v>852</v>
      </c>
      <c r="AG336" s="3">
        <f>IF(ISERROR(VLOOKUP($A336,'SegEnds_NonXtal_BW#'!$A:$Z,23,FALSE)+VLOOKUP($A336,A:AL,34,FALSE)-50),"-",(VLOOKUP($A336,'SegEnds_NonXtal_BW#'!$A:$Z,23,FALSE)+VLOOKUP($A336,A:AL,34,FALSE)-50))</f>
        <v>857</v>
      </c>
      <c r="AH336" s="3">
        <v>876</v>
      </c>
      <c r="AI336" s="3">
        <f>IF(ISERROR((VLOOKUP($A336,'SegEnds_NonXtal_BW#'!$A:$Z,24,FALSE)+VLOOKUP($A336,A:AL,34,FALSE)-50)),"-",(VLOOKUP($A336,'SegEnds_NonXtal_BW#'!$A:$Z,24,FALSE)+VLOOKUP($A336,A:AL,34,FALSE)-50))</f>
        <v>882</v>
      </c>
      <c r="AJ336" s="3">
        <f>IF(ISERROR(VLOOKUP($A336,'SegEnds_NonXtal_BW#'!$A:$Z,25,FALSE)+VLOOKUP($A336,A:AL,37,FALSE)-50),"-",(VLOOKUP($A336,'SegEnds_NonXtal_BW#'!$A:$Z,25,FALSE)+VLOOKUP($A336,A:AL,37,FALSE)-50))</f>
        <v>883</v>
      </c>
      <c r="AK336" s="3">
        <v>886</v>
      </c>
      <c r="AL336" s="3">
        <f>IF(ISERROR((VLOOKUP($A336,'SegEnds_NonXtal_BW#'!$A:$Z,26,FALSE)+VLOOKUP($A336,A:AL,37,FALSE)-50)),"-",(VLOOKUP($A336,'SegEnds_NonXtal_BW#'!$A:$Z,26,FALSE)+VLOOKUP($A336,A:AL,37,FALSE)-50))</f>
        <v>899</v>
      </c>
      <c r="AM336" s="28" t="str">
        <f>VLOOKUP(A336,Classification!A:B,2,FALSE)</f>
        <v>B2</v>
      </c>
      <c r="AN336" s="28" t="b">
        <f t="shared" si="220"/>
        <v>1</v>
      </c>
      <c r="AO336" s="3" t="str">
        <f>IF(ISERROR(MATCH(A336,'SegEnds_Xtal_Prot#'!B:B, 0)), "NoXtal", "Xtal")</f>
        <v>NoXtal</v>
      </c>
      <c r="AP336" s="3" t="str">
        <f t="shared" si="205"/>
        <v>-</v>
      </c>
      <c r="AQ336" s="3" t="str">
        <f t="shared" si="206"/>
        <v>-</v>
      </c>
      <c r="AR336" s="3" t="str">
        <f t="shared" si="207"/>
        <v>-</v>
      </c>
      <c r="AS336" s="3" t="str">
        <f t="shared" si="208"/>
        <v>-</v>
      </c>
      <c r="AT336" s="3" t="str">
        <f t="shared" si="209"/>
        <v>-</v>
      </c>
      <c r="AU336" s="3" t="str">
        <f t="shared" si="210"/>
        <v>-</v>
      </c>
      <c r="AV336" s="3">
        <f t="shared" si="211"/>
        <v>17</v>
      </c>
      <c r="AW336" s="3">
        <f t="shared" si="212"/>
        <v>3</v>
      </c>
      <c r="AX336" s="3">
        <f t="shared" si="213"/>
        <v>11</v>
      </c>
      <c r="AY336" s="3">
        <f t="shared" si="214"/>
        <v>5</v>
      </c>
      <c r="AZ336" s="3">
        <f t="shared" si="215"/>
        <v>1</v>
      </c>
      <c r="BA336" s="3">
        <f>IF(ISERROR(LEN(VLOOKUP(A336,Seqs!A:E,2,FALSE))-AL336),"-",LEN(VLOOKUP(A336,Seqs!A:E,2,FALSE))-AL336)</f>
        <v>118</v>
      </c>
      <c r="BB336" s="16">
        <f t="shared" si="216"/>
        <v>29</v>
      </c>
      <c r="BC336" s="9" t="str">
        <f t="shared" si="217"/>
        <v>-</v>
      </c>
      <c r="BD336" s="3">
        <f t="shared" si="218"/>
        <v>29</v>
      </c>
      <c r="BE336" s="3">
        <f t="shared" si="219"/>
        <v>51</v>
      </c>
    </row>
    <row r="337" spans="1:58" s="3" customFormat="1" x14ac:dyDescent="0.2">
      <c r="A337" s="3" t="s">
        <v>1194</v>
      </c>
      <c r="B337" s="3" t="str">
        <f>LOWER(VLOOKUP(A337,Xtal_Templ!A:B,2,FALSE))</f>
        <v>pth1r_human</v>
      </c>
      <c r="C337" s="3">
        <f>VLOOKUP($A337,'SegEnds_NonXtal_BW#'!$A:$Z,3,FALSE)+D337-50</f>
        <v>256</v>
      </c>
      <c r="D337" s="3">
        <v>283</v>
      </c>
      <c r="E337" s="3">
        <f>IF(ISERROR(VLOOKUP($A337,'SegEnds_NonXtal_BW#'!$A:$Z,4,FALSE)+VLOOKUP($A337,A:AL,4,FALSE)-50),"-",(VLOOKUP($A337,'SegEnds_NonXtal_BW#'!$A:$Z,4,FALSE)+VLOOKUP($A337,A:AL,4,FALSE)-50))</f>
        <v>293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303</v>
      </c>
      <c r="J337" s="3">
        <v>316</v>
      </c>
      <c r="K337" s="3">
        <f>VLOOKUP($A337,'SegEnds_NonXtal_BW#'!$A:$Z,8,FALSE)+VLOOKUP($A337,A:AL,10,FALSE)-50</f>
        <v>329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336</v>
      </c>
      <c r="P337" s="3">
        <v>363</v>
      </c>
      <c r="Q337" s="3">
        <f>VLOOKUP($A337,'SegEnds_NonXtal_BW#'!$A:$Z,12,FALSE)+VLOOKUP($A337,A:AL,16,FALSE)-50</f>
        <v>369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374</v>
      </c>
      <c r="V337" s="3">
        <v>387</v>
      </c>
      <c r="W337" s="3">
        <f>IF(ISERROR(VLOOKUP($A337,'SegEnds_NonXtal_BW#'!$A:$Z,16,FALSE)+VLOOKUP($A337,A:AL,22,FALSE)-50),"-",(VLOOKUP($A337,'SegEnds_NonXtal_BW#'!$A:$Z,16,FALSE)+VLOOKUP($A337,A:AL,22,FALSE)-50))</f>
        <v>405</v>
      </c>
      <c r="X337" s="3">
        <f>IF(ISERROR(VLOOKUP($A337,'SegEnds_NonXtal_BW#'!$A:$Z,17,FALSE)+VLOOKUP($A337,A:AL,25,FALSE)-50),"-",(VLOOKUP($A337,'SegEnds_NonXtal_BW#'!$A:$Z,17,FALSE)+VLOOKUP($A337,A:AL,25,FALSE)-50))</f>
        <v>420</v>
      </c>
      <c r="Y337" s="3">
        <v>420</v>
      </c>
      <c r="Z337" s="3">
        <f t="shared" si="204"/>
        <v>422</v>
      </c>
      <c r="AA337" s="3">
        <f>IF(ISERROR(VLOOKUP($A337,'SegEnds_NonXtal_BW#'!$A:$Z,19,FALSE)+VLOOKUP($A337,A:AL,28,FALSE)-50),"-",(VLOOKUP($A337,'SegEnds_NonXtal_BW#'!$A:$Z,19,FALSE)+VLOOKUP($A337,A:AL,28,FALSE)-50))</f>
        <v>424</v>
      </c>
      <c r="AB337" s="3">
        <v>438</v>
      </c>
      <c r="AC337" s="3">
        <f>IF(ISERROR((VLOOKUP($A337,'SegEnds_NonXtal_BW#'!$A:$Z,20,FALSE)+VLOOKUP($A337,A:AL,28,FALSE)-50)),"-",(VLOOKUP($A337,'SegEnds_NonXtal_BW#'!$A:$Z,20,FALSE)+VLOOKUP($A337,A:AL,28,FALSE)-50))</f>
        <v>457</v>
      </c>
      <c r="AD337" s="3">
        <f>IF(ISERROR(VLOOKUP($A337,'SegEnds_NonXtal_BW#'!$A:$Z,21,FALSE)+VLOOKUP($A337,A:AL,31,FALSE)-50),"-",(VLOOKUP($A337,'SegEnds_NonXtal_BW#'!$A:$Z,21,FALSE)+VLOOKUP($A337,A:AL,31,FALSE)-50))</f>
        <v>471</v>
      </c>
      <c r="AE337" s="3">
        <v>492</v>
      </c>
      <c r="AF337" s="3">
        <f>IF(ISERROR((VLOOKUP($A337,'SegEnds_NonXtal_BW#'!$A:$Z,22,FALSE)+VLOOKUP($A337,A:AL,31,FALSE)-50)),"-",(VLOOKUP($A337,'SegEnds_NonXtal_BW#'!$A:$Z,22,FALSE)+VLOOKUP($A337,A:AL,31,FALSE)-50))</f>
        <v>492</v>
      </c>
      <c r="AG337" s="3">
        <f>IF(ISERROR(VLOOKUP($A337,'SegEnds_NonXtal_BW#'!$A:$Z,23,FALSE)+VLOOKUP($A337,A:AL,34,FALSE)-50),"-",(VLOOKUP($A337,'SegEnds_NonXtal_BW#'!$A:$Z,23,FALSE)+VLOOKUP($A337,A:AL,34,FALSE)-50))</f>
        <v>499</v>
      </c>
      <c r="AH337" s="3">
        <v>518</v>
      </c>
      <c r="AI337" s="3">
        <f>IF(ISERROR((VLOOKUP($A337,'SegEnds_NonXtal_BW#'!$A:$Z,24,FALSE)+VLOOKUP($A337,A:AL,34,FALSE)-50)),"-",(VLOOKUP($A337,'SegEnds_NonXtal_BW#'!$A:$Z,24,FALSE)+VLOOKUP($A337,A:AL,34,FALSE)-50))</f>
        <v>524</v>
      </c>
      <c r="AJ337" s="3">
        <f>IF(ISERROR(VLOOKUP($A337,'SegEnds_NonXtal_BW#'!$A:$Z,25,FALSE)+VLOOKUP($A337,A:AL,37,FALSE)-50),"-",(VLOOKUP($A337,'SegEnds_NonXtal_BW#'!$A:$Z,25,FALSE)+VLOOKUP($A337,A:AL,37,FALSE)-50))</f>
        <v>525</v>
      </c>
      <c r="AK337" s="3">
        <v>528</v>
      </c>
      <c r="AL337" s="3">
        <f>IF(ISERROR((VLOOKUP($A337,'SegEnds_NonXtal_BW#'!$A:$Z,26,FALSE)+VLOOKUP($A337,A:AL,37,FALSE)-50)),"-",(VLOOKUP($A337,'SegEnds_NonXtal_BW#'!$A:$Z,26,FALSE)+VLOOKUP($A337,A:AL,37,FALSE)-50))</f>
        <v>541</v>
      </c>
      <c r="AM337" s="28" t="str">
        <f>VLOOKUP(A337,Classification!A:B,2,FALSE)</f>
        <v>B2</v>
      </c>
      <c r="AN337" s="28" t="b">
        <f t="shared" si="220"/>
        <v>1</v>
      </c>
      <c r="AO337" s="3" t="str">
        <f>IF(ISERROR(MATCH(A337,'SegEnds_Xtal_Prot#'!B:B, 0)), "NoXtal", "Xtal")</f>
        <v>NoXtal</v>
      </c>
      <c r="AP337" s="3" t="str">
        <f t="shared" si="205"/>
        <v>-</v>
      </c>
      <c r="AQ337" s="3" t="str">
        <f t="shared" si="206"/>
        <v>-</v>
      </c>
      <c r="AR337" s="3" t="str">
        <f t="shared" si="207"/>
        <v>-</v>
      </c>
      <c r="AS337" s="3" t="str">
        <f t="shared" si="208"/>
        <v>-</v>
      </c>
      <c r="AT337" s="3" t="str">
        <f t="shared" si="209"/>
        <v>-</v>
      </c>
      <c r="AU337" s="3" t="str">
        <f t="shared" si="210"/>
        <v>-</v>
      </c>
      <c r="AV337" s="3">
        <f t="shared" si="211"/>
        <v>15</v>
      </c>
      <c r="AW337" s="3">
        <f t="shared" si="212"/>
        <v>2</v>
      </c>
      <c r="AX337" s="3">
        <f t="shared" si="213"/>
        <v>14</v>
      </c>
      <c r="AY337" s="3">
        <f t="shared" si="214"/>
        <v>7</v>
      </c>
      <c r="AZ337" s="3">
        <f t="shared" si="215"/>
        <v>1</v>
      </c>
      <c r="BA337" s="3">
        <f>IF(ISERROR(LEN(VLOOKUP(A337,Seqs!A:E,2,FALSE))-AL337),"-",LEN(VLOOKUP(A337,Seqs!A:E,2,FALSE))-AL337)</f>
        <v>8</v>
      </c>
      <c r="BB337" s="16">
        <f t="shared" si="216"/>
        <v>33</v>
      </c>
      <c r="BC337" s="9" t="str">
        <f t="shared" si="217"/>
        <v>-</v>
      </c>
      <c r="BD337" s="3">
        <f t="shared" si="218"/>
        <v>33</v>
      </c>
      <c r="BE337" s="3">
        <f t="shared" si="219"/>
        <v>54</v>
      </c>
      <c r="BF337" s="3">
        <f>AH337-AE337</f>
        <v>26</v>
      </c>
    </row>
    <row r="338" spans="1:58" s="3" customFormat="1" x14ac:dyDescent="0.2">
      <c r="A338" s="3" t="s">
        <v>1195</v>
      </c>
      <c r="B338" s="3" t="str">
        <f>LOWER(VLOOKUP(A338,Xtal_Templ!A:B,2,FALSE))</f>
        <v>pth1r_human</v>
      </c>
      <c r="C338" s="3">
        <f>VLOOKUP($A338,'SegEnds_NonXtal_BW#'!$A:$Z,3,FALSE)+D338-50</f>
        <v>2731</v>
      </c>
      <c r="D338" s="3">
        <v>2758</v>
      </c>
      <c r="E338" s="3">
        <f>IF(ISERROR(VLOOKUP($A338,'SegEnds_NonXtal_BW#'!$A:$Z,4,FALSE)+VLOOKUP($A338,A:AL,4,FALSE)-50),"-",(VLOOKUP($A338,'SegEnds_NonXtal_BW#'!$A:$Z,4,FALSE)+VLOOKUP($A338,A:AL,4,FALSE)-50))</f>
        <v>2768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2774</v>
      </c>
      <c r="J338" s="3">
        <v>2787</v>
      </c>
      <c r="K338" s="3">
        <f>VLOOKUP($A338,'SegEnds_NonXtal_BW#'!$A:$Z,8,FALSE)+VLOOKUP($A338,A:AL,10,FALSE)-50</f>
        <v>2800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2807</v>
      </c>
      <c r="P338" s="3">
        <v>2834</v>
      </c>
      <c r="Q338" s="3">
        <f>VLOOKUP($A338,'SegEnds_NonXtal_BW#'!$A:$Z,12,FALSE)+VLOOKUP($A338,A:AL,16,FALSE)-50</f>
        <v>2840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2845</v>
      </c>
      <c r="V338" s="3">
        <v>2858</v>
      </c>
      <c r="W338" s="3">
        <f>IF(ISERROR(VLOOKUP($A338,'SegEnds_NonXtal_BW#'!$A:$Z,16,FALSE)+VLOOKUP($A338,A:AL,22,FALSE)-50),"-",(VLOOKUP($A338,'SegEnds_NonXtal_BW#'!$A:$Z,16,FALSE)+VLOOKUP($A338,A:AL,22,FALSE)-50))</f>
        <v>2876</v>
      </c>
      <c r="X338" s="3">
        <f>IF(ISERROR(VLOOKUP($A338,'SegEnds_NonXtal_BW#'!$A:$Z,17,FALSE)+VLOOKUP($A338,A:AL,25,FALSE)-50),"-",(VLOOKUP($A338,'SegEnds_NonXtal_BW#'!$A:$Z,17,FALSE)+VLOOKUP($A338,A:AL,25,FALSE)-50))</f>
        <v>2886</v>
      </c>
      <c r="Y338" s="3">
        <v>2886</v>
      </c>
      <c r="Z338" s="3">
        <f t="shared" si="204"/>
        <v>2888</v>
      </c>
      <c r="AA338" s="3">
        <f>IF(ISERROR(VLOOKUP($A338,'SegEnds_NonXtal_BW#'!$A:$Z,19,FALSE)+VLOOKUP($A338,A:AL,28,FALSE)-50),"-",(VLOOKUP($A338,'SegEnds_NonXtal_BW#'!$A:$Z,19,FALSE)+VLOOKUP($A338,A:AL,28,FALSE)-50))</f>
        <v>2891</v>
      </c>
      <c r="AB338" s="3">
        <v>2905</v>
      </c>
      <c r="AC338" s="3">
        <f>IF(ISERROR((VLOOKUP($A338,'SegEnds_NonXtal_BW#'!$A:$Z,20,FALSE)+VLOOKUP($A338,A:AL,28,FALSE)-50)),"-",(VLOOKUP($A338,'SegEnds_NonXtal_BW#'!$A:$Z,20,FALSE)+VLOOKUP($A338,A:AL,28,FALSE)-50))</f>
        <v>2924</v>
      </c>
      <c r="AD338" s="3">
        <f>IF(ISERROR(VLOOKUP($A338,'SegEnds_NonXtal_BW#'!$A:$Z,21,FALSE)+VLOOKUP($A338,A:AL,31,FALSE)-50),"-",(VLOOKUP($A338,'SegEnds_NonXtal_BW#'!$A:$Z,21,FALSE)+VLOOKUP($A338,A:AL,31,FALSE)-50))</f>
        <v>2934</v>
      </c>
      <c r="AE338" s="3">
        <v>2955</v>
      </c>
      <c r="AF338" s="3">
        <f>IF(ISERROR((VLOOKUP($A338,'SegEnds_NonXtal_BW#'!$A:$Z,22,FALSE)+VLOOKUP($A338,A:AL,31,FALSE)-50)),"-",(VLOOKUP($A338,'SegEnds_NonXtal_BW#'!$A:$Z,22,FALSE)+VLOOKUP($A338,A:AL,31,FALSE)-50))</f>
        <v>2959</v>
      </c>
      <c r="AG338" s="3">
        <f>IF(ISERROR(VLOOKUP($A338,'SegEnds_NonXtal_BW#'!$A:$Z,23,FALSE)+VLOOKUP($A338,A:AL,34,FALSE)-50),"-",(VLOOKUP($A338,'SegEnds_NonXtal_BW#'!$A:$Z,23,FALSE)+VLOOKUP($A338,A:AL,34,FALSE)-50))</f>
        <v>2964</v>
      </c>
      <c r="AH338" s="3">
        <v>2983</v>
      </c>
      <c r="AI338" s="3">
        <f>IF(ISERROR((VLOOKUP($A338,'SegEnds_NonXtal_BW#'!$A:$Z,24,FALSE)+VLOOKUP($A338,A:AL,34,FALSE)-50)),"-",(VLOOKUP($A338,'SegEnds_NonXtal_BW#'!$A:$Z,24,FALSE)+VLOOKUP($A338,A:AL,34,FALSE)-50))</f>
        <v>2989</v>
      </c>
      <c r="AJ338" s="3">
        <f>IF(ISERROR(VLOOKUP($A338,'SegEnds_NonXtal_BW#'!$A:$Z,25,FALSE)+VLOOKUP($A338,A:AL,37,FALSE)-50),"-",(VLOOKUP($A338,'SegEnds_NonXtal_BW#'!$A:$Z,25,FALSE)+VLOOKUP($A338,A:AL,37,FALSE)-50))</f>
        <v>2990</v>
      </c>
      <c r="AK338" s="3">
        <v>2993</v>
      </c>
      <c r="AL338" s="3">
        <f>IF(ISERROR((VLOOKUP($A338,'SegEnds_NonXtal_BW#'!$A:$Z,26,FALSE)+VLOOKUP($A338,A:AL,37,FALSE)-50)),"-",(VLOOKUP($A338,'SegEnds_NonXtal_BW#'!$A:$Z,26,FALSE)+VLOOKUP($A338,A:AL,37,FALSE)-50))</f>
        <v>3006</v>
      </c>
      <c r="AM338" s="28" t="str">
        <f>VLOOKUP(A338,Classification!A:B,2,FALSE)</f>
        <v>B2</v>
      </c>
      <c r="AN338" s="28" t="b">
        <f t="shared" si="220"/>
        <v>1</v>
      </c>
      <c r="AO338" s="3" t="str">
        <f>IF(ISERROR(MATCH(A338,'SegEnds_Xtal_Prot#'!B:B, 0)), "NoXtal", "Xtal")</f>
        <v>NoXtal</v>
      </c>
      <c r="AP338" s="3" t="str">
        <f t="shared" si="205"/>
        <v>-</v>
      </c>
      <c r="AQ338" s="3" t="str">
        <f t="shared" si="206"/>
        <v>-</v>
      </c>
      <c r="AR338" s="3" t="str">
        <f t="shared" si="207"/>
        <v>-</v>
      </c>
      <c r="AS338" s="3" t="str">
        <f t="shared" si="208"/>
        <v>-</v>
      </c>
      <c r="AT338" s="3" t="str">
        <f t="shared" si="209"/>
        <v>-</v>
      </c>
      <c r="AU338" s="3" t="str">
        <f t="shared" si="210"/>
        <v>-</v>
      </c>
      <c r="AV338" s="3">
        <f t="shared" si="211"/>
        <v>10</v>
      </c>
      <c r="AW338" s="3">
        <f t="shared" si="212"/>
        <v>3</v>
      </c>
      <c r="AX338" s="3">
        <f t="shared" si="213"/>
        <v>10</v>
      </c>
      <c r="AY338" s="3">
        <f t="shared" si="214"/>
        <v>5</v>
      </c>
      <c r="AZ338" s="3">
        <f t="shared" si="215"/>
        <v>1</v>
      </c>
      <c r="BA338" s="3">
        <f>IF(ISERROR(LEN(VLOOKUP(A338,Seqs!A:E,2,FALSE))-AL338),"-",LEN(VLOOKUP(A338,Seqs!A:E,2,FALSE))-AL338)</f>
        <v>74</v>
      </c>
      <c r="BB338" s="16">
        <f t="shared" si="216"/>
        <v>29</v>
      </c>
      <c r="BC338" s="9" t="str">
        <f t="shared" si="217"/>
        <v>-</v>
      </c>
      <c r="BD338" s="3">
        <f t="shared" si="218"/>
        <v>29</v>
      </c>
      <c r="BE338" s="3">
        <f t="shared" si="219"/>
        <v>50</v>
      </c>
    </row>
    <row r="339" spans="1:58" s="3" customFormat="1" x14ac:dyDescent="0.2">
      <c r="A339" s="3" t="s">
        <v>1196</v>
      </c>
      <c r="B339" s="3" t="str">
        <f>LOWER(VLOOKUP(A339,Xtal_Templ!A:B,2,FALSE))</f>
        <v>pth1r_human</v>
      </c>
      <c r="C339" s="3">
        <f>VLOOKUP($A339,'SegEnds_NonXtal_BW#'!$A:$Z,3,FALSE)+D339-50</f>
        <v>236</v>
      </c>
      <c r="D339" s="3">
        <v>263</v>
      </c>
      <c r="E339" s="3">
        <f>IF(ISERROR(VLOOKUP($A339,'SegEnds_NonXtal_BW#'!$A:$Z,4,FALSE)+VLOOKUP($A339,A:AL,4,FALSE)-50),"-",(VLOOKUP($A339,'SegEnds_NonXtal_BW#'!$A:$Z,4,FALSE)+VLOOKUP($A339,A:AL,4,FALSE)-50))</f>
        <v>273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278</v>
      </c>
      <c r="J339" s="3">
        <v>291</v>
      </c>
      <c r="K339" s="3">
        <f>VLOOKUP($A339,'SegEnds_NonXtal_BW#'!$A:$Z,8,FALSE)+VLOOKUP($A339,A:AL,10,FALSE)-50</f>
        <v>304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312</v>
      </c>
      <c r="P339" s="3">
        <v>339</v>
      </c>
      <c r="Q339" s="3">
        <f>VLOOKUP($A339,'SegEnds_NonXtal_BW#'!$A:$Z,12,FALSE)+VLOOKUP($A339,A:AL,16,FALSE)-50</f>
        <v>345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350</v>
      </c>
      <c r="V339" s="3">
        <v>363</v>
      </c>
      <c r="W339" s="3">
        <f>IF(ISERROR(VLOOKUP($A339,'SegEnds_NonXtal_BW#'!$A:$Z,16,FALSE)+VLOOKUP($A339,A:AL,22,FALSE)-50),"-",(VLOOKUP($A339,'SegEnds_NonXtal_BW#'!$A:$Z,16,FALSE)+VLOOKUP($A339,A:AL,22,FALSE)-50))</f>
        <v>381</v>
      </c>
      <c r="X339" s="3">
        <f>IF(ISERROR(VLOOKUP($A339,'SegEnds_NonXtal_BW#'!$A:$Z,17,FALSE)+VLOOKUP($A339,A:AL,25,FALSE)-50),"-",(VLOOKUP($A339,'SegEnds_NonXtal_BW#'!$A:$Z,17,FALSE)+VLOOKUP($A339,A:AL,25,FALSE)-50))</f>
        <v>404</v>
      </c>
      <c r="Y339" s="3">
        <v>404</v>
      </c>
      <c r="Z339" s="3">
        <f t="shared" si="204"/>
        <v>406</v>
      </c>
      <c r="AA339" s="3">
        <f>IF(ISERROR(VLOOKUP($A339,'SegEnds_NonXtal_BW#'!$A:$Z,19,FALSE)+VLOOKUP($A339,A:AL,28,FALSE)-50),"-",(VLOOKUP($A339,'SegEnds_NonXtal_BW#'!$A:$Z,19,FALSE)+VLOOKUP($A339,A:AL,28,FALSE)-50))</f>
        <v>409</v>
      </c>
      <c r="AB339" s="3">
        <v>423</v>
      </c>
      <c r="AC339" s="3">
        <f>IF(ISERROR((VLOOKUP($A339,'SegEnds_NonXtal_BW#'!$A:$Z,20,FALSE)+VLOOKUP($A339,A:AL,28,FALSE)-50)),"-",(VLOOKUP($A339,'SegEnds_NonXtal_BW#'!$A:$Z,20,FALSE)+VLOOKUP($A339,A:AL,28,FALSE)-50))</f>
        <v>442</v>
      </c>
      <c r="AD339" s="3">
        <f>IF(ISERROR(VLOOKUP($A339,'SegEnds_NonXtal_BW#'!$A:$Z,21,FALSE)+VLOOKUP($A339,A:AL,31,FALSE)-50),"-",(VLOOKUP($A339,'SegEnds_NonXtal_BW#'!$A:$Z,21,FALSE)+VLOOKUP($A339,A:AL,31,FALSE)-50))</f>
        <v>451</v>
      </c>
      <c r="AE339" s="3">
        <v>472</v>
      </c>
      <c r="AF339" s="3">
        <f>IF(ISERROR((VLOOKUP($A339,'SegEnds_NonXtal_BW#'!$A:$Z,22,FALSE)+VLOOKUP($A339,A:AL,31,FALSE)-50)),"-",(VLOOKUP($A339,'SegEnds_NonXtal_BW#'!$A:$Z,22,FALSE)+VLOOKUP($A339,A:AL,31,FALSE)-50))</f>
        <v>476</v>
      </c>
      <c r="AG339" s="3">
        <f>IF(ISERROR(VLOOKUP($A339,'SegEnds_NonXtal_BW#'!$A:$Z,23,FALSE)+VLOOKUP($A339,A:AL,34,FALSE)-50),"-",(VLOOKUP($A339,'SegEnds_NonXtal_BW#'!$A:$Z,23,FALSE)+VLOOKUP($A339,A:AL,34,FALSE)-50))</f>
        <v>481</v>
      </c>
      <c r="AH339" s="3">
        <v>500</v>
      </c>
      <c r="AI339" s="3">
        <f>IF(ISERROR((VLOOKUP($A339,'SegEnds_NonXtal_BW#'!$A:$Z,24,FALSE)+VLOOKUP($A339,A:AL,34,FALSE)-50)),"-",(VLOOKUP($A339,'SegEnds_NonXtal_BW#'!$A:$Z,24,FALSE)+VLOOKUP($A339,A:AL,34,FALSE)-50))</f>
        <v>506</v>
      </c>
      <c r="AJ339" s="3">
        <f>IF(ISERROR(VLOOKUP($A339,'SegEnds_NonXtal_BW#'!$A:$Z,25,FALSE)+VLOOKUP($A339,A:AL,37,FALSE)-50),"-",(VLOOKUP($A339,'SegEnds_NonXtal_BW#'!$A:$Z,25,FALSE)+VLOOKUP($A339,A:AL,37,FALSE)-50))</f>
        <v>507</v>
      </c>
      <c r="AK339" s="3">
        <v>510</v>
      </c>
      <c r="AL339" s="3">
        <f>IF(ISERROR((VLOOKUP($A339,'SegEnds_NonXtal_BW#'!$A:$Z,26,FALSE)+VLOOKUP($A339,A:AL,37,FALSE)-50)),"-",(VLOOKUP($A339,'SegEnds_NonXtal_BW#'!$A:$Z,26,FALSE)+VLOOKUP($A339,A:AL,37,FALSE)-50))</f>
        <v>523</v>
      </c>
      <c r="AM339" s="28" t="str">
        <f>VLOOKUP(A339,Classification!A:B,2,FALSE)</f>
        <v>B2</v>
      </c>
      <c r="AN339" s="28" t="b">
        <f t="shared" si="220"/>
        <v>1</v>
      </c>
      <c r="AO339" s="3" t="str">
        <f>IF(ISERROR(MATCH(A339,'SegEnds_Xtal_Prot#'!B:B, 0)), "NoXtal", "Xtal")</f>
        <v>NoXtal</v>
      </c>
      <c r="AP339" s="3" t="str">
        <f t="shared" si="205"/>
        <v>-</v>
      </c>
      <c r="AQ339" s="3" t="str">
        <f t="shared" si="206"/>
        <v>-</v>
      </c>
      <c r="AR339" s="3" t="str">
        <f t="shared" si="207"/>
        <v>-</v>
      </c>
      <c r="AS339" s="3" t="str">
        <f t="shared" si="208"/>
        <v>-</v>
      </c>
      <c r="AT339" s="3" t="str">
        <f t="shared" si="209"/>
        <v>-</v>
      </c>
      <c r="AU339" s="3" t="str">
        <f t="shared" si="210"/>
        <v>-</v>
      </c>
      <c r="AV339" s="3">
        <f t="shared" si="211"/>
        <v>23</v>
      </c>
      <c r="AW339" s="3">
        <f t="shared" si="212"/>
        <v>3</v>
      </c>
      <c r="AX339" s="3">
        <f t="shared" si="213"/>
        <v>9</v>
      </c>
      <c r="AY339" s="3">
        <f t="shared" si="214"/>
        <v>5</v>
      </c>
      <c r="AZ339" s="3">
        <f t="shared" si="215"/>
        <v>1</v>
      </c>
      <c r="BA339" s="3">
        <f>IF(ISERROR(LEN(VLOOKUP(A339,Seqs!A:E,2,FALSE))-AL339),"-",LEN(VLOOKUP(A339,Seqs!A:E,2,FALSE))-AL339)</f>
        <v>5</v>
      </c>
      <c r="BB339" s="16">
        <f t="shared" si="216"/>
        <v>28</v>
      </c>
      <c r="BC339" s="9" t="str">
        <f t="shared" si="217"/>
        <v>-</v>
      </c>
      <c r="BD339" s="3">
        <f t="shared" si="218"/>
        <v>28</v>
      </c>
      <c r="BE339" s="3">
        <f t="shared" si="219"/>
        <v>49</v>
      </c>
      <c r="BF339" s="3">
        <f>AH339-AE339</f>
        <v>28</v>
      </c>
    </row>
    <row r="340" spans="1:58" s="3" customFormat="1" x14ac:dyDescent="0.2">
      <c r="A340" s="3" t="s">
        <v>1413</v>
      </c>
      <c r="B340" s="3" t="str">
        <f>LOWER(VLOOKUP(A340,Xtal_Templ!A:B,2,FALSE))</f>
        <v>crfr2_human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908</v>
      </c>
      <c r="K340" s="3">
        <f>VLOOKUP($A340,'SegEnds_NonXtal_BW#'!$A:$Z,8,FALSE)+VLOOKUP($A340,A:AL,10,FALSE)-50</f>
        <v>921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928</v>
      </c>
      <c r="P340" s="3">
        <v>955</v>
      </c>
      <c r="Q340" s="3">
        <f>VLOOKUP($A340,'SegEnds_NonXtal_BW#'!$A:$Z,12,FALSE)+VLOOKUP($A340,A:AL,16,FALSE)-50</f>
        <v>961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970</v>
      </c>
      <c r="V340" s="3">
        <v>979</v>
      </c>
      <c r="W340" s="3">
        <f>IF(ISERROR(VLOOKUP($A340,'SegEnds_NonXtal_BW#'!$A:$Z,16,FALSE)+VLOOKUP($A340,A:AL,22,FALSE)-50),"-",(VLOOKUP($A340,'SegEnds_NonXtal_BW#'!$A:$Z,16,FALSE)+VLOOKUP($A340,A:AL,22,FALSE)-50))</f>
        <v>997</v>
      </c>
      <c r="X340" s="3">
        <f>IF(ISERROR(VLOOKUP($A340,'SegEnds_NonXtal_BW#'!$A:$Z,17,FALSE)+VLOOKUP($A340,A:AL,25,FALSE)-50),"-",(VLOOKUP($A340,'SegEnds_NonXtal_BW#'!$A:$Z,17,FALSE)+VLOOKUP($A340,A:AL,25,FALSE)-50))</f>
        <v>1013</v>
      </c>
      <c r="Y340" s="3">
        <v>1013</v>
      </c>
      <c r="Z340" s="3">
        <f t="shared" si="204"/>
        <v>1015</v>
      </c>
      <c r="AA340" s="3">
        <f>IF(ISERROR(VLOOKUP($A340,'SegEnds_NonXtal_BW#'!$A:$Z,19,FALSE)+VLOOKUP($A340,A:AL,28,FALSE)-50),"-",(VLOOKUP($A340,'SegEnds_NonXtal_BW#'!$A:$Z,19,FALSE)+VLOOKUP($A340,A:AL,28,FALSE)-50))</f>
        <v>1018</v>
      </c>
      <c r="AB340" s="3">
        <v>1032</v>
      </c>
      <c r="AC340" s="3">
        <f>IF(ISERROR((VLOOKUP($A340,'SegEnds_NonXtal_BW#'!$A:$Z,20,FALSE)+VLOOKUP($A340,A:AL,28,FALSE)-50)),"-",(VLOOKUP($A340,'SegEnds_NonXtal_BW#'!$A:$Z,20,FALSE)+VLOOKUP($A340,A:AL,28,FALSE)-50))</f>
        <v>1051</v>
      </c>
      <c r="AD340" s="3">
        <f>IF(ISERROR(VLOOKUP($A340,'SegEnds_NonXtal_BW#'!$A:$Z,21,FALSE)+VLOOKUP($A340,A:AL,31,FALSE)-50),"-",(VLOOKUP($A340,'SegEnds_NonXtal_BW#'!$A:$Z,21,FALSE)+VLOOKUP($A340,A:AL,31,FALSE)-50))</f>
        <v>1062</v>
      </c>
      <c r="AE340" s="3">
        <v>1083</v>
      </c>
      <c r="AF340" s="3">
        <f>IF(ISERROR((VLOOKUP($A340,'SegEnds_NonXtal_BW#'!$A:$Z,22,FALSE)+VLOOKUP($A340,A:AL,31,FALSE)-50)),"-",(VLOOKUP($A340,'SegEnds_NonXtal_BW#'!$A:$Z,22,FALSE)+VLOOKUP($A340,A:AL,31,FALSE)-50))</f>
        <v>1086</v>
      </c>
      <c r="AG340" s="3">
        <f>IF(ISERROR(VLOOKUP($A340,'SegEnds_NonXtal_BW#'!$A:$Z,23,FALSE)+VLOOKUP($A340,A:AL,34,FALSE)-50),"-",(VLOOKUP($A340,'SegEnds_NonXtal_BW#'!$A:$Z,23,FALSE)+VLOOKUP($A340,A:AL,34,FALSE)-50))</f>
        <v>1092</v>
      </c>
      <c r="AH340" s="3">
        <v>1111</v>
      </c>
      <c r="AI340" s="3">
        <f>IF(ISERROR((VLOOKUP($A340,'SegEnds_NonXtal_BW#'!$A:$Z,24,FALSE)+VLOOKUP($A340,A:AL,34,FALSE)-50)),"-",(VLOOKUP($A340,'SegEnds_NonXtal_BW#'!$A:$Z,24,FALSE)+VLOOKUP($A340,A:AL,34,FALSE)-50))</f>
        <v>1117</v>
      </c>
      <c r="AJ340" s="3">
        <f>IF(ISERROR(VLOOKUP($A340,'SegEnds_NonXtal_BW#'!$A:$Z,25,FALSE)+VLOOKUP($A340,A:AL,37,FALSE)-50),"-",(VLOOKUP($A340,'SegEnds_NonXtal_BW#'!$A:$Z,25,FALSE)+VLOOKUP($A340,A:AL,37,FALSE)-50))</f>
        <v>1118</v>
      </c>
      <c r="AK340" s="3">
        <v>1121</v>
      </c>
      <c r="AL340" s="3">
        <f>IF(ISERROR((VLOOKUP($A340,'SegEnds_NonXtal_BW#'!$A:$Z,26,FALSE)+VLOOKUP($A340,A:AL,37,FALSE)-50)),"-",(VLOOKUP($A340,'SegEnds_NonXtal_BW#'!$A:$Z,26,FALSE)+VLOOKUP($A340,A:AL,37,FALSE)-50))</f>
        <v>1134</v>
      </c>
      <c r="AM340" s="28" t="str">
        <f>VLOOKUP(A340,Classification!A:B,2,FALSE)</f>
        <v>B2</v>
      </c>
      <c r="AN340" s="28" t="b">
        <f t="shared" si="220"/>
        <v>1</v>
      </c>
      <c r="AO340" s="3" t="str">
        <f>IF(ISERROR(MATCH(A340,'SegEnds_Xtal_Prot#'!B:B, 0)), "NoXtal", "Xtal")</f>
        <v>NoXtal</v>
      </c>
      <c r="AP340" s="3">
        <f t="shared" si="205"/>
        <v>1</v>
      </c>
      <c r="AQ340" s="3">
        <f t="shared" si="206"/>
        <v>1</v>
      </c>
      <c r="AR340" s="3" t="str">
        <f t="shared" si="207"/>
        <v>-</v>
      </c>
      <c r="AS340" s="3" t="str">
        <f t="shared" si="208"/>
        <v>-</v>
      </c>
      <c r="AT340" s="3" t="str">
        <f t="shared" si="209"/>
        <v>-</v>
      </c>
      <c r="AU340" s="3" t="str">
        <f t="shared" si="210"/>
        <v>-</v>
      </c>
      <c r="AV340" s="3">
        <f t="shared" si="211"/>
        <v>16</v>
      </c>
      <c r="AW340" s="3">
        <f t="shared" si="212"/>
        <v>3</v>
      </c>
      <c r="AX340" s="3">
        <f t="shared" si="213"/>
        <v>11</v>
      </c>
      <c r="AY340" s="3">
        <f t="shared" si="214"/>
        <v>6</v>
      </c>
      <c r="AZ340" s="3">
        <f t="shared" si="215"/>
        <v>1</v>
      </c>
      <c r="BA340" s="3">
        <f>IF(ISERROR(LEN(VLOOKUP(A340,Seqs!A:E,2,FALSE))-AL340),"-",LEN(VLOOKUP(A340,Seqs!A:E,2,FALSE))-AL340)</f>
        <v>87</v>
      </c>
      <c r="BB340" s="16">
        <f t="shared" si="216"/>
        <v>29</v>
      </c>
      <c r="BC340" s="9" t="str">
        <f t="shared" si="217"/>
        <v>-</v>
      </c>
      <c r="BD340" s="3">
        <f t="shared" si="218"/>
        <v>29</v>
      </c>
      <c r="BE340" s="3">
        <f t="shared" si="219"/>
        <v>51</v>
      </c>
    </row>
    <row r="341" spans="1:58" s="3" customFormat="1" x14ac:dyDescent="0.2">
      <c r="A341" s="3" t="s">
        <v>1197</v>
      </c>
      <c r="B341" s="3" t="str">
        <f>LOWER(VLOOKUP(A341,Xtal_Templ!A:B,2,FALSE))</f>
        <v>pth1r_human</v>
      </c>
      <c r="C341" s="3">
        <f>VLOOKUP($A341,'SegEnds_NonXtal_BW#'!$A:$Z,3,FALSE)+D341-50</f>
        <v>422</v>
      </c>
      <c r="D341" s="3">
        <v>449</v>
      </c>
      <c r="E341" s="3">
        <f>IF(ISERROR(VLOOKUP($A341,'SegEnds_NonXtal_BW#'!$A:$Z,4,FALSE)+VLOOKUP($A341,A:AL,4,FALSE)-50),"-",(VLOOKUP($A341,'SegEnds_NonXtal_BW#'!$A:$Z,4,FALSE)+VLOOKUP($A341,A:AL,4,FALSE)-50))</f>
        <v>459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465</v>
      </c>
      <c r="J341" s="3">
        <v>478</v>
      </c>
      <c r="K341" s="3">
        <f>VLOOKUP($A341,'SegEnds_NonXtal_BW#'!$A:$Z,8,FALSE)+VLOOKUP($A341,A:AL,10,FALSE)-50</f>
        <v>493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519</v>
      </c>
      <c r="P341" s="3">
        <v>551</v>
      </c>
      <c r="Q341" s="3">
        <f>VLOOKUP($A341,'SegEnds_NonXtal_BW#'!$A:$Z,12,FALSE)+VLOOKUP($A341,A:AL,16,FALSE)-50</f>
        <v>557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562</v>
      </c>
      <c r="V341" s="3">
        <v>575</v>
      </c>
      <c r="W341" s="3">
        <f>IF(ISERROR(VLOOKUP($A341,'SegEnds_NonXtal_BW#'!$A:$Z,16,FALSE)+VLOOKUP($A341,A:AL,22,FALSE)-50),"-",(VLOOKUP($A341,'SegEnds_NonXtal_BW#'!$A:$Z,16,FALSE)+VLOOKUP($A341,A:AL,22,FALSE)-50))</f>
        <v>593</v>
      </c>
      <c r="X341" s="3">
        <f>IF(ISERROR(VLOOKUP($A341,'SegEnds_NonXtal_BW#'!$A:$Z,17,FALSE)+VLOOKUP($A341,A:AL,25,FALSE)-50),"-",(VLOOKUP($A341,'SegEnds_NonXtal_BW#'!$A:$Z,17,FALSE)+VLOOKUP($A341,A:AL,25,FALSE)-50))</f>
        <v>609</v>
      </c>
      <c r="Y341" s="3">
        <v>609</v>
      </c>
      <c r="Z341" s="3">
        <f t="shared" si="204"/>
        <v>611</v>
      </c>
      <c r="AA341" s="3">
        <f>IF(ISERROR(VLOOKUP($A341,'SegEnds_NonXtal_BW#'!$A:$Z,19,FALSE)+VLOOKUP($A341,A:AL,28,FALSE)-50),"-",(VLOOKUP($A341,'SegEnds_NonXtal_BW#'!$A:$Z,19,FALSE)+VLOOKUP($A341,A:AL,28,FALSE)-50))</f>
        <v>621</v>
      </c>
      <c r="AB341" s="3">
        <v>635</v>
      </c>
      <c r="AC341" s="3">
        <f>IF(ISERROR((VLOOKUP($A341,'SegEnds_NonXtal_BW#'!$A:$Z,20,FALSE)+VLOOKUP($A341,A:AL,28,FALSE)-50)),"-",(VLOOKUP($A341,'SegEnds_NonXtal_BW#'!$A:$Z,20,FALSE)+VLOOKUP($A341,A:AL,28,FALSE)-50))</f>
        <v>654</v>
      </c>
      <c r="AD341" s="3">
        <f>IF(ISERROR(VLOOKUP($A341,'SegEnds_NonXtal_BW#'!$A:$Z,21,FALSE)+VLOOKUP($A341,A:AL,31,FALSE)-50),"-",(VLOOKUP($A341,'SegEnds_NonXtal_BW#'!$A:$Z,21,FALSE)+VLOOKUP($A341,A:AL,31,FALSE)-50))</f>
        <v>665</v>
      </c>
      <c r="AE341" s="3">
        <v>686</v>
      </c>
      <c r="AF341" s="3">
        <f>IF(ISERROR((VLOOKUP($A341,'SegEnds_NonXtal_BW#'!$A:$Z,22,FALSE)+VLOOKUP($A341,A:AL,31,FALSE)-50)),"-",(VLOOKUP($A341,'SegEnds_NonXtal_BW#'!$A:$Z,22,FALSE)+VLOOKUP($A341,A:AL,31,FALSE)-50))</f>
        <v>690</v>
      </c>
      <c r="AG341" s="3">
        <f>IF(ISERROR(VLOOKUP($A341,'SegEnds_NonXtal_BW#'!$A:$Z,23,FALSE)+VLOOKUP($A341,A:AL,34,FALSE)-50),"-",(VLOOKUP($A341,'SegEnds_NonXtal_BW#'!$A:$Z,23,FALSE)+VLOOKUP($A341,A:AL,34,FALSE)-50))</f>
        <v>696</v>
      </c>
      <c r="AH341" s="3">
        <v>717</v>
      </c>
      <c r="AI341" s="3">
        <f>IF(ISERROR((VLOOKUP($A341,'SegEnds_NonXtal_BW#'!$A:$Z,24,FALSE)+VLOOKUP($A341,A:AL,34,FALSE)-50)),"-",(VLOOKUP($A341,'SegEnds_NonXtal_BW#'!$A:$Z,24,FALSE)+VLOOKUP($A341,A:AL,34,FALSE)-50))</f>
        <v>723</v>
      </c>
      <c r="AJ341" s="3">
        <f>IF(ISERROR(VLOOKUP($A341,'SegEnds_NonXtal_BW#'!$A:$Z,25,FALSE)+VLOOKUP($A341,A:AL,37,FALSE)-50),"-",(VLOOKUP($A341,'SegEnds_NonXtal_BW#'!$A:$Z,25,FALSE)+VLOOKUP($A341,A:AL,37,FALSE)-50))</f>
        <v>724</v>
      </c>
      <c r="AK341" s="3">
        <v>727</v>
      </c>
      <c r="AL341" s="3">
        <f>IF(ISERROR((VLOOKUP($A341,'SegEnds_NonXtal_BW#'!$A:$Z,26,FALSE)+VLOOKUP($A341,A:AL,37,FALSE)-50)),"-",(VLOOKUP($A341,'SegEnds_NonXtal_BW#'!$A:$Z,26,FALSE)+VLOOKUP($A341,A:AL,37,FALSE)-50))</f>
        <v>740</v>
      </c>
      <c r="AM341" s="28" t="str">
        <f>VLOOKUP(A341,Classification!A:B,2,FALSE)</f>
        <v>B2</v>
      </c>
      <c r="AN341" s="28" t="b">
        <f t="shared" si="220"/>
        <v>1</v>
      </c>
      <c r="AO341" s="3" t="str">
        <f>IF(ISERROR(MATCH(A341,'SegEnds_Xtal_Prot#'!B:B, 0)), "NoXtal", "Xtal")</f>
        <v>NoXtal</v>
      </c>
      <c r="AP341" s="3" t="str">
        <f t="shared" si="205"/>
        <v>-</v>
      </c>
      <c r="AQ341" s="3" t="str">
        <f t="shared" si="206"/>
        <v>-</v>
      </c>
      <c r="AR341" s="3" t="str">
        <f t="shared" si="207"/>
        <v>-</v>
      </c>
      <c r="AS341" s="3" t="str">
        <f t="shared" si="208"/>
        <v>-</v>
      </c>
      <c r="AT341" s="3" t="str">
        <f t="shared" si="209"/>
        <v>-</v>
      </c>
      <c r="AU341" s="3" t="str">
        <f t="shared" si="210"/>
        <v>-</v>
      </c>
      <c r="AV341" s="3">
        <f t="shared" si="211"/>
        <v>16</v>
      </c>
      <c r="AW341" s="3">
        <f t="shared" si="212"/>
        <v>10</v>
      </c>
      <c r="AX341" s="3">
        <f t="shared" si="213"/>
        <v>11</v>
      </c>
      <c r="AY341" s="3">
        <f t="shared" si="214"/>
        <v>6</v>
      </c>
      <c r="AZ341" s="3">
        <f t="shared" si="215"/>
        <v>1</v>
      </c>
      <c r="BA341" s="3">
        <f>IF(ISERROR(LEN(VLOOKUP(A341,Seqs!A:E,2,FALSE))-AL341),"-",LEN(VLOOKUP(A341,Seqs!A:E,2,FALSE))-AL341)</f>
        <v>57</v>
      </c>
      <c r="BB341" s="16">
        <f t="shared" si="216"/>
        <v>29</v>
      </c>
      <c r="BC341" s="9" t="str">
        <f t="shared" si="217"/>
        <v>-</v>
      </c>
      <c r="BD341" s="3">
        <f t="shared" si="218"/>
        <v>29</v>
      </c>
      <c r="BE341" s="3">
        <f t="shared" si="219"/>
        <v>51</v>
      </c>
    </row>
    <row r="342" spans="1:58" s="3" customFormat="1" x14ac:dyDescent="0.2">
      <c r="A342" s="3" t="s">
        <v>1198</v>
      </c>
      <c r="B342" s="3" t="str">
        <f>LOWER(VLOOKUP(A342,Xtal_Templ!A:B,2,FALSE))</f>
        <v>crfr2_human</v>
      </c>
      <c r="C342" s="3">
        <f>VLOOKUP($A342,'SegEnds_NonXtal_BW#'!$A:$Z,3,FALSE)+D342-50</f>
        <v>848</v>
      </c>
      <c r="D342" s="3">
        <v>875</v>
      </c>
      <c r="E342" s="3">
        <f>IF(ISERROR(VLOOKUP($A342,'SegEnds_NonXtal_BW#'!$A:$Z,4,FALSE)+VLOOKUP($A342,A:AL,4,FALSE)-50),"-",(VLOOKUP($A342,'SegEnds_NonXtal_BW#'!$A:$Z,4,FALSE)+VLOOKUP($A342,A:AL,4,FALSE)-50))</f>
        <v>885</v>
      </c>
      <c r="F342" s="3">
        <f>G342-2</f>
        <v>886</v>
      </c>
      <c r="G342" s="3">
        <v>888</v>
      </c>
      <c r="H342" s="3">
        <f>G342+1</f>
        <v>889</v>
      </c>
      <c r="I342" s="3">
        <f>H342+1</f>
        <v>890</v>
      </c>
      <c r="J342" s="3">
        <v>903</v>
      </c>
      <c r="K342" s="3">
        <f>VLOOKUP($A342,'SegEnds_NonXtal_BW#'!$A:$Z,8,FALSE)+VLOOKUP($A342,A:AL,10,FALSE)-50</f>
        <v>916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921</v>
      </c>
      <c r="P342" s="3">
        <v>948</v>
      </c>
      <c r="Q342" s="3">
        <f>VLOOKUP($A342,'SegEnds_NonXtal_BW#'!$A:$Z,12,FALSE)+VLOOKUP($A342,A:AL,16,FALSE)-50</f>
        <v>954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962</v>
      </c>
      <c r="V342" s="3">
        <v>971</v>
      </c>
      <c r="W342" s="3">
        <f>IF(ISERROR(VLOOKUP($A342,'SegEnds_NonXtal_BW#'!$A:$Z,16,FALSE)+VLOOKUP($A342,A:AL,22,FALSE)-50),"-",(VLOOKUP($A342,'SegEnds_NonXtal_BW#'!$A:$Z,16,FALSE)+VLOOKUP($A342,A:AL,22,FALSE)-50))</f>
        <v>989</v>
      </c>
      <c r="X342" s="3">
        <f>IF(ISERROR(VLOOKUP($A342,'SegEnds_NonXtal_BW#'!$A:$Z,17,FALSE)+VLOOKUP($A342,A:AL,25,FALSE)-50),"-",(VLOOKUP($A342,'SegEnds_NonXtal_BW#'!$A:$Z,17,FALSE)+VLOOKUP($A342,A:AL,25,FALSE)-50))</f>
        <v>995</v>
      </c>
      <c r="Y342" s="3">
        <v>995</v>
      </c>
      <c r="Z342" s="3">
        <f t="shared" si="204"/>
        <v>997</v>
      </c>
      <c r="AA342" s="3">
        <f>IF(ISERROR(VLOOKUP($A342,'SegEnds_NonXtal_BW#'!$A:$Z,19,FALSE)+VLOOKUP($A342,A:AL,28,FALSE)-50),"-",(VLOOKUP($A342,'SegEnds_NonXtal_BW#'!$A:$Z,19,FALSE)+VLOOKUP($A342,A:AL,28,FALSE)-50))</f>
        <v>1000</v>
      </c>
      <c r="AB342" s="3">
        <v>1014</v>
      </c>
      <c r="AC342" s="3">
        <f>IF(ISERROR((VLOOKUP($A342,'SegEnds_NonXtal_BW#'!$A:$Z,20,FALSE)+VLOOKUP($A342,A:AL,28,FALSE)-50)),"-",(VLOOKUP($A342,'SegEnds_NonXtal_BW#'!$A:$Z,20,FALSE)+VLOOKUP($A342,A:AL,28,FALSE)-50))</f>
        <v>1033</v>
      </c>
      <c r="AD342" s="3">
        <f>IF(ISERROR(VLOOKUP($A342,'SegEnds_NonXtal_BW#'!$A:$Z,21,FALSE)+VLOOKUP($A342,A:AL,31,FALSE)-50),"-",(VLOOKUP($A342,'SegEnds_NonXtal_BW#'!$A:$Z,21,FALSE)+VLOOKUP($A342,A:AL,31,FALSE)-50))</f>
        <v>1045</v>
      </c>
      <c r="AE342" s="3">
        <v>1066</v>
      </c>
      <c r="AF342" s="3">
        <f>IF(ISERROR((VLOOKUP($A342,'SegEnds_NonXtal_BW#'!$A:$Z,22,FALSE)+VLOOKUP($A342,A:AL,31,FALSE)-50)),"-",(VLOOKUP($A342,'SegEnds_NonXtal_BW#'!$A:$Z,22,FALSE)+VLOOKUP($A342,A:AL,31,FALSE)-50))</f>
        <v>1069</v>
      </c>
      <c r="AG342" s="3">
        <f>IF(ISERROR(VLOOKUP($A342,'SegEnds_NonXtal_BW#'!$A:$Z,23,FALSE)+VLOOKUP($A342,A:AL,34,FALSE)-50),"-",(VLOOKUP($A342,'SegEnds_NonXtal_BW#'!$A:$Z,23,FALSE)+VLOOKUP($A342,A:AL,34,FALSE)-50))</f>
        <v>1075</v>
      </c>
      <c r="AH342" s="3">
        <v>1094</v>
      </c>
      <c r="AI342" s="3">
        <f>IF(ISERROR((VLOOKUP($A342,'SegEnds_NonXtal_BW#'!$A:$Z,24,FALSE)+VLOOKUP($A342,A:AL,34,FALSE)-50)),"-",(VLOOKUP($A342,'SegEnds_NonXtal_BW#'!$A:$Z,24,FALSE)+VLOOKUP($A342,A:AL,34,FALSE)-50))</f>
        <v>1100</v>
      </c>
      <c r="AJ342" s="3">
        <f>IF(ISERROR(VLOOKUP($A342,'SegEnds_NonXtal_BW#'!$A:$Z,25,FALSE)+VLOOKUP($A342,A:AL,37,FALSE)-50),"-",(VLOOKUP($A342,'SegEnds_NonXtal_BW#'!$A:$Z,25,FALSE)+VLOOKUP($A342,A:AL,37,FALSE)-50))</f>
        <v>1101</v>
      </c>
      <c r="AK342" s="3">
        <v>1104</v>
      </c>
      <c r="AL342" s="3">
        <f>IF(ISERROR((VLOOKUP($A342,'SegEnds_NonXtal_BW#'!$A:$Z,26,FALSE)+VLOOKUP($A342,A:AL,37,FALSE)-50)),"-",(VLOOKUP($A342,'SegEnds_NonXtal_BW#'!$A:$Z,26,FALSE)+VLOOKUP($A342,A:AL,37,FALSE)-50))</f>
        <v>1117</v>
      </c>
      <c r="AM342" s="28" t="str">
        <f>VLOOKUP(A342,Classification!A:B,2,FALSE)</f>
        <v>B2</v>
      </c>
      <c r="AN342" s="28" t="b">
        <f t="shared" si="220"/>
        <v>1</v>
      </c>
      <c r="AO342" s="3" t="str">
        <f>IF(ISERROR(MATCH(A342,'SegEnds_Xtal_Prot#'!B:B, 0)), "NoXtal", "Xtal")</f>
        <v>NoXtal</v>
      </c>
      <c r="AP342" s="3">
        <f t="shared" si="205"/>
        <v>1</v>
      </c>
      <c r="AQ342" s="3">
        <f t="shared" si="206"/>
        <v>1</v>
      </c>
      <c r="AR342" s="3" t="str">
        <f t="shared" si="207"/>
        <v>-</v>
      </c>
      <c r="AS342" s="3" t="str">
        <f t="shared" si="208"/>
        <v>-</v>
      </c>
      <c r="AT342" s="3" t="str">
        <f t="shared" si="209"/>
        <v>-</v>
      </c>
      <c r="AU342" s="3" t="str">
        <f t="shared" si="210"/>
        <v>-</v>
      </c>
      <c r="AV342" s="3">
        <f t="shared" si="211"/>
        <v>6</v>
      </c>
      <c r="AW342" s="3">
        <f t="shared" si="212"/>
        <v>3</v>
      </c>
      <c r="AX342" s="3">
        <f t="shared" si="213"/>
        <v>12</v>
      </c>
      <c r="AY342" s="3">
        <f t="shared" si="214"/>
        <v>6</v>
      </c>
      <c r="AZ342" s="3">
        <f t="shared" si="215"/>
        <v>1</v>
      </c>
      <c r="BA342" s="3">
        <f>IF(ISERROR(LEN(VLOOKUP(A342,Seqs!A:E,2,FALSE))-AL342),"-",LEN(VLOOKUP(A342,Seqs!A:E,2,FALSE))-AL342)</f>
        <v>357</v>
      </c>
      <c r="BB342" s="16">
        <f t="shared" si="216"/>
        <v>28</v>
      </c>
      <c r="BC342" s="9" t="str">
        <f t="shared" si="217"/>
        <v>-</v>
      </c>
      <c r="BD342" s="3">
        <f t="shared" si="218"/>
        <v>28</v>
      </c>
      <c r="BE342" s="3">
        <f t="shared" si="219"/>
        <v>52</v>
      </c>
    </row>
    <row r="343" spans="1:58" s="3" customFormat="1" x14ac:dyDescent="0.2">
      <c r="A343" s="3" t="s">
        <v>1199</v>
      </c>
      <c r="B343" s="3" t="str">
        <f>LOWER(VLOOKUP(A343,Xtal_Templ!A:B,2,FALSE))</f>
        <v>crfr2_human</v>
      </c>
      <c r="C343" s="3">
        <f>VLOOKUP($A343,'SegEnds_NonXtal_BW#'!$A:$Z,3,FALSE)+D343-50</f>
        <v>835</v>
      </c>
      <c r="D343" s="3">
        <v>862</v>
      </c>
      <c r="E343" s="3">
        <f>IF(ISERROR(VLOOKUP($A343,'SegEnds_NonXtal_BW#'!$A:$Z,4,FALSE)+VLOOKUP($A343,A:AL,4,FALSE)-50),"-",(VLOOKUP($A343,'SegEnds_NonXtal_BW#'!$A:$Z,4,FALSE)+VLOOKUP($A343,A:AL,4,FALSE)-50))</f>
        <v>872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877</v>
      </c>
      <c r="J343" s="3">
        <v>890</v>
      </c>
      <c r="K343" s="3">
        <f>VLOOKUP($A343,'SegEnds_NonXtal_BW#'!$A:$Z,8,FALSE)+VLOOKUP($A343,A:AL,10,FALSE)-50</f>
        <v>903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908</v>
      </c>
      <c r="P343" s="3">
        <v>935</v>
      </c>
      <c r="Q343" s="3">
        <f>VLOOKUP($A343,'SegEnds_NonXtal_BW#'!$A:$Z,12,FALSE)+VLOOKUP($A343,A:AL,16,FALSE)-50</f>
        <v>941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949</v>
      </c>
      <c r="V343" s="3">
        <v>958</v>
      </c>
      <c r="W343" s="3">
        <f>IF(ISERROR(VLOOKUP($A343,'SegEnds_NonXtal_BW#'!$A:$Z,16,FALSE)+VLOOKUP($A343,A:AL,22,FALSE)-50),"-",(VLOOKUP($A343,'SegEnds_NonXtal_BW#'!$A:$Z,16,FALSE)+VLOOKUP($A343,A:AL,22,FALSE)-50))</f>
        <v>976</v>
      </c>
      <c r="X343" s="3">
        <f>IF(ISERROR(VLOOKUP($A343,'SegEnds_NonXtal_BW#'!$A:$Z,17,FALSE)+VLOOKUP($A343,A:AL,25,FALSE)-50),"-",(VLOOKUP($A343,'SegEnds_NonXtal_BW#'!$A:$Z,17,FALSE)+VLOOKUP($A343,A:AL,25,FALSE)-50))</f>
        <v>982</v>
      </c>
      <c r="Y343" s="3">
        <v>982</v>
      </c>
      <c r="Z343" s="3">
        <f t="shared" si="204"/>
        <v>984</v>
      </c>
      <c r="AA343" s="3">
        <f>IF(ISERROR(VLOOKUP($A343,'SegEnds_NonXtal_BW#'!$A:$Z,19,FALSE)+VLOOKUP($A343,A:AL,28,FALSE)-50),"-",(VLOOKUP($A343,'SegEnds_NonXtal_BW#'!$A:$Z,19,FALSE)+VLOOKUP($A343,A:AL,28,FALSE)-50))</f>
        <v>987</v>
      </c>
      <c r="AB343" s="3">
        <v>1001</v>
      </c>
      <c r="AC343" s="3">
        <f>IF(ISERROR((VLOOKUP($A343,'SegEnds_NonXtal_BW#'!$A:$Z,20,FALSE)+VLOOKUP($A343,A:AL,28,FALSE)-50)),"-",(VLOOKUP($A343,'SegEnds_NonXtal_BW#'!$A:$Z,20,FALSE)+VLOOKUP($A343,A:AL,28,FALSE)-50))</f>
        <v>1020</v>
      </c>
      <c r="AD343" s="3">
        <f>IF(ISERROR(VLOOKUP($A343,'SegEnds_NonXtal_BW#'!$A:$Z,21,FALSE)+VLOOKUP($A343,A:AL,31,FALSE)-50),"-",(VLOOKUP($A343,'SegEnds_NonXtal_BW#'!$A:$Z,21,FALSE)+VLOOKUP($A343,A:AL,31,FALSE)-50))</f>
        <v>1032</v>
      </c>
      <c r="AE343" s="3">
        <v>1053</v>
      </c>
      <c r="AF343" s="3">
        <f>IF(ISERROR((VLOOKUP($A343,'SegEnds_NonXtal_BW#'!$A:$Z,22,FALSE)+VLOOKUP($A343,A:AL,31,FALSE)-50)),"-",(VLOOKUP($A343,'SegEnds_NonXtal_BW#'!$A:$Z,22,FALSE)+VLOOKUP($A343,A:AL,31,FALSE)-50))</f>
        <v>1056</v>
      </c>
      <c r="AG343" s="3">
        <f>IF(ISERROR(VLOOKUP($A343,'SegEnds_NonXtal_BW#'!$A:$Z,23,FALSE)+VLOOKUP($A343,A:AL,34,FALSE)-50),"-",(VLOOKUP($A343,'SegEnds_NonXtal_BW#'!$A:$Z,23,FALSE)+VLOOKUP($A343,A:AL,34,FALSE)-50))</f>
        <v>1062</v>
      </c>
      <c r="AH343" s="3">
        <v>1081</v>
      </c>
      <c r="AI343" s="3">
        <f>IF(ISERROR((VLOOKUP($A343,'SegEnds_NonXtal_BW#'!$A:$Z,24,FALSE)+VLOOKUP($A343,A:AL,34,FALSE)-50)),"-",(VLOOKUP($A343,'SegEnds_NonXtal_BW#'!$A:$Z,24,FALSE)+VLOOKUP($A343,A:AL,34,FALSE)-50))</f>
        <v>1087</v>
      </c>
      <c r="AJ343" s="3">
        <f>IF(ISERROR(VLOOKUP($A343,'SegEnds_NonXtal_BW#'!$A:$Z,25,FALSE)+VLOOKUP($A343,A:AL,37,FALSE)-50),"-",(VLOOKUP($A343,'SegEnds_NonXtal_BW#'!$A:$Z,25,FALSE)+VLOOKUP($A343,A:AL,37,FALSE)-50))</f>
        <v>1088</v>
      </c>
      <c r="AK343" s="3">
        <v>1091</v>
      </c>
      <c r="AL343" s="3">
        <f>IF(ISERROR((VLOOKUP($A343,'SegEnds_NonXtal_BW#'!$A:$Z,26,FALSE)+VLOOKUP($A343,A:AL,37,FALSE)-50)),"-",(VLOOKUP($A343,'SegEnds_NonXtal_BW#'!$A:$Z,26,FALSE)+VLOOKUP($A343,A:AL,37,FALSE)-50))</f>
        <v>1104</v>
      </c>
      <c r="AM343" s="28" t="str">
        <f>VLOOKUP(A343,Classification!A:B,2,FALSE)</f>
        <v>B2</v>
      </c>
      <c r="AN343" s="28" t="b">
        <f t="shared" si="220"/>
        <v>1</v>
      </c>
      <c r="AO343" s="3" t="str">
        <f>IF(ISERROR(MATCH(A343,'SegEnds_Xtal_Prot#'!B:B, 0)), "NoXtal", "Xtal")</f>
        <v>NoXtal</v>
      </c>
      <c r="AP343" s="3" t="str">
        <f t="shared" si="205"/>
        <v>-</v>
      </c>
      <c r="AQ343" s="3" t="str">
        <f t="shared" si="206"/>
        <v>-</v>
      </c>
      <c r="AR343" s="3" t="str">
        <f t="shared" si="207"/>
        <v>-</v>
      </c>
      <c r="AS343" s="3" t="str">
        <f t="shared" si="208"/>
        <v>-</v>
      </c>
      <c r="AT343" s="3" t="str">
        <f t="shared" si="209"/>
        <v>-</v>
      </c>
      <c r="AU343" s="3" t="str">
        <f t="shared" si="210"/>
        <v>-</v>
      </c>
      <c r="AV343" s="3">
        <f t="shared" si="211"/>
        <v>6</v>
      </c>
      <c r="AW343" s="3">
        <f t="shared" si="212"/>
        <v>3</v>
      </c>
      <c r="AX343" s="3">
        <f t="shared" si="213"/>
        <v>12</v>
      </c>
      <c r="AY343" s="3">
        <f t="shared" si="214"/>
        <v>6</v>
      </c>
      <c r="AZ343" s="3">
        <f t="shared" si="215"/>
        <v>1</v>
      </c>
      <c r="BA343" s="3">
        <f>IF(ISERROR(LEN(VLOOKUP(A343,Seqs!A:E,2,FALSE))-AL343),"-",LEN(VLOOKUP(A343,Seqs!A:E,2,FALSE))-AL343)</f>
        <v>355</v>
      </c>
      <c r="BB343" s="16">
        <f t="shared" si="216"/>
        <v>28</v>
      </c>
      <c r="BC343" s="9" t="str">
        <f t="shared" si="217"/>
        <v>-</v>
      </c>
      <c r="BD343" s="3">
        <f t="shared" si="218"/>
        <v>28</v>
      </c>
      <c r="BE343" s="3">
        <f t="shared" si="219"/>
        <v>52</v>
      </c>
    </row>
    <row r="344" spans="1:58" s="3" customFormat="1" x14ac:dyDescent="0.2">
      <c r="A344" s="3" t="s">
        <v>1200</v>
      </c>
      <c r="B344" s="3" t="str">
        <f>LOWER(VLOOKUP(A344,Xtal_Templ!A:B,2,FALSE))</f>
        <v>crfr2_human</v>
      </c>
      <c r="C344" s="3">
        <f>VLOOKUP($A344,'SegEnds_NonXtal_BW#'!$A:$Z,3,FALSE)+D344-50</f>
        <v>852</v>
      </c>
      <c r="D344" s="3">
        <v>879</v>
      </c>
      <c r="E344" s="3">
        <f>IF(ISERROR(VLOOKUP($A344,'SegEnds_NonXtal_BW#'!$A:$Z,4,FALSE)+VLOOKUP($A344,A:AL,4,FALSE)-50),"-",(VLOOKUP($A344,'SegEnds_NonXtal_BW#'!$A:$Z,4,FALSE)+VLOOKUP($A344,A:AL,4,FALSE)-50))</f>
        <v>889</v>
      </c>
      <c r="F344" s="3">
        <f>G344-2</f>
        <v>890</v>
      </c>
      <c r="G344" s="3">
        <v>892</v>
      </c>
      <c r="H344" s="3">
        <f>G344+1</f>
        <v>893</v>
      </c>
      <c r="I344" s="3">
        <f>H344+1</f>
        <v>894</v>
      </c>
      <c r="J344" s="3">
        <v>907</v>
      </c>
      <c r="K344" s="3">
        <f>VLOOKUP($A344,'SegEnds_NonXtal_BW#'!$A:$Z,8,FALSE)+VLOOKUP($A344,A:AL,10,FALSE)-50</f>
        <v>920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925</v>
      </c>
      <c r="P344" s="3">
        <v>952</v>
      </c>
      <c r="Q344" s="3">
        <f>VLOOKUP($A344,'SegEnds_NonXtal_BW#'!$A:$Z,12,FALSE)+VLOOKUP($A344,A:AL,16,FALSE)-50</f>
        <v>958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966</v>
      </c>
      <c r="V344" s="3">
        <v>975</v>
      </c>
      <c r="W344" s="3">
        <f>IF(ISERROR(VLOOKUP($A344,'SegEnds_NonXtal_BW#'!$A:$Z,16,FALSE)+VLOOKUP($A344,A:AL,22,FALSE)-50),"-",(VLOOKUP($A344,'SegEnds_NonXtal_BW#'!$A:$Z,16,FALSE)+VLOOKUP($A344,A:AL,22,FALSE)-50))</f>
        <v>993</v>
      </c>
      <c r="X344" s="3">
        <f>IF(ISERROR(VLOOKUP($A344,'SegEnds_NonXtal_BW#'!$A:$Z,17,FALSE)+VLOOKUP($A344,A:AL,25,FALSE)-50),"-",(VLOOKUP($A344,'SegEnds_NonXtal_BW#'!$A:$Z,17,FALSE)+VLOOKUP($A344,A:AL,25,FALSE)-50))</f>
        <v>999</v>
      </c>
      <c r="Y344" s="3">
        <v>999</v>
      </c>
      <c r="Z344" s="3">
        <f t="shared" si="204"/>
        <v>1001</v>
      </c>
      <c r="AA344" s="3">
        <f>IF(ISERROR(VLOOKUP($A344,'SegEnds_NonXtal_BW#'!$A:$Z,19,FALSE)+VLOOKUP($A344,A:AL,28,FALSE)-50),"-",(VLOOKUP($A344,'SegEnds_NonXtal_BW#'!$A:$Z,19,FALSE)+VLOOKUP($A344,A:AL,28,FALSE)-50))</f>
        <v>1004</v>
      </c>
      <c r="AB344" s="3">
        <v>1018</v>
      </c>
      <c r="AC344" s="3">
        <f>IF(ISERROR((VLOOKUP($A344,'SegEnds_NonXtal_BW#'!$A:$Z,20,FALSE)+VLOOKUP($A344,A:AL,28,FALSE)-50)),"-",(VLOOKUP($A344,'SegEnds_NonXtal_BW#'!$A:$Z,20,FALSE)+VLOOKUP($A344,A:AL,28,FALSE)-50))</f>
        <v>1037</v>
      </c>
      <c r="AD344" s="3">
        <f>IF(ISERROR(VLOOKUP($A344,'SegEnds_NonXtal_BW#'!$A:$Z,21,FALSE)+VLOOKUP($A344,A:AL,31,FALSE)-50),"-",(VLOOKUP($A344,'SegEnds_NonXtal_BW#'!$A:$Z,21,FALSE)+VLOOKUP($A344,A:AL,31,FALSE)-50))</f>
        <v>1049</v>
      </c>
      <c r="AE344" s="3">
        <v>1070</v>
      </c>
      <c r="AF344" s="3">
        <f>IF(ISERROR((VLOOKUP($A344,'SegEnds_NonXtal_BW#'!$A:$Z,22,FALSE)+VLOOKUP($A344,A:AL,31,FALSE)-50)),"-",(VLOOKUP($A344,'SegEnds_NonXtal_BW#'!$A:$Z,22,FALSE)+VLOOKUP($A344,A:AL,31,FALSE)-50))</f>
        <v>1073</v>
      </c>
      <c r="AG344" s="3">
        <f>IF(ISERROR(VLOOKUP($A344,'SegEnds_NonXtal_BW#'!$A:$Z,23,FALSE)+VLOOKUP($A344,A:AL,34,FALSE)-50),"-",(VLOOKUP($A344,'SegEnds_NonXtal_BW#'!$A:$Z,23,FALSE)+VLOOKUP($A344,A:AL,34,FALSE)-50))</f>
        <v>1079</v>
      </c>
      <c r="AH344" s="3">
        <v>1098</v>
      </c>
      <c r="AI344" s="3">
        <f>IF(ISERROR((VLOOKUP($A344,'SegEnds_NonXtal_BW#'!$A:$Z,24,FALSE)+VLOOKUP($A344,A:AL,34,FALSE)-50)),"-",(VLOOKUP($A344,'SegEnds_NonXtal_BW#'!$A:$Z,24,FALSE)+VLOOKUP($A344,A:AL,34,FALSE)-50))</f>
        <v>1104</v>
      </c>
      <c r="AJ344" s="3">
        <f>IF(ISERROR(VLOOKUP($A344,'SegEnds_NonXtal_BW#'!$A:$Z,25,FALSE)+VLOOKUP($A344,A:AL,37,FALSE)-50),"-",(VLOOKUP($A344,'SegEnds_NonXtal_BW#'!$A:$Z,25,FALSE)+VLOOKUP($A344,A:AL,37,FALSE)-50))</f>
        <v>1105</v>
      </c>
      <c r="AK344" s="3">
        <v>1108</v>
      </c>
      <c r="AL344" s="3">
        <f>IF(ISERROR((VLOOKUP($A344,'SegEnds_NonXtal_BW#'!$A:$Z,26,FALSE)+VLOOKUP($A344,A:AL,37,FALSE)-50)),"-",(VLOOKUP($A344,'SegEnds_NonXtal_BW#'!$A:$Z,26,FALSE)+VLOOKUP($A344,A:AL,37,FALSE)-50))</f>
        <v>1121</v>
      </c>
      <c r="AM344" s="28" t="str">
        <f>VLOOKUP(A344,Classification!A:B,2,FALSE)</f>
        <v>B2</v>
      </c>
      <c r="AN344" s="28" t="b">
        <f t="shared" si="220"/>
        <v>1</v>
      </c>
      <c r="AO344" s="3" t="str">
        <f>IF(ISERROR(MATCH(A344,'SegEnds_Xtal_Prot#'!B:B, 0)), "NoXtal", "Xtal")</f>
        <v>NoXtal</v>
      </c>
      <c r="AP344" s="3">
        <f t="shared" si="205"/>
        <v>1</v>
      </c>
      <c r="AQ344" s="3">
        <f t="shared" si="206"/>
        <v>1</v>
      </c>
      <c r="AR344" s="3" t="str">
        <f t="shared" si="207"/>
        <v>-</v>
      </c>
      <c r="AS344" s="3" t="str">
        <f t="shared" si="208"/>
        <v>-</v>
      </c>
      <c r="AT344" s="3" t="str">
        <f t="shared" si="209"/>
        <v>-</v>
      </c>
      <c r="AU344" s="3" t="str">
        <f t="shared" si="210"/>
        <v>-</v>
      </c>
      <c r="AV344" s="3">
        <f t="shared" si="211"/>
        <v>6</v>
      </c>
      <c r="AW344" s="3">
        <f t="shared" si="212"/>
        <v>3</v>
      </c>
      <c r="AX344" s="3">
        <f t="shared" si="213"/>
        <v>12</v>
      </c>
      <c r="AY344" s="3">
        <f t="shared" si="214"/>
        <v>6</v>
      </c>
      <c r="AZ344" s="3">
        <f t="shared" si="215"/>
        <v>1</v>
      </c>
      <c r="BA344" s="3">
        <f>IF(ISERROR(LEN(VLOOKUP(A344,Seqs!A:E,2,FALSE))-AL344),"-",LEN(VLOOKUP(A344,Seqs!A:E,2,FALSE))-AL344)</f>
        <v>326</v>
      </c>
      <c r="BB344" s="16">
        <f t="shared" si="216"/>
        <v>28</v>
      </c>
      <c r="BC344" s="9" t="str">
        <f t="shared" si="217"/>
        <v>-</v>
      </c>
      <c r="BD344" s="3">
        <f t="shared" si="218"/>
        <v>28</v>
      </c>
      <c r="BE344" s="3">
        <f t="shared" si="219"/>
        <v>52</v>
      </c>
    </row>
    <row r="345" spans="1:58" s="3" customFormat="1" x14ac:dyDescent="0.2">
      <c r="A345" s="3" t="s">
        <v>1201</v>
      </c>
      <c r="B345" s="3" t="str">
        <f>LOWER(VLOOKUP(A345,Xtal_Templ!A:B,2,FALSE))</f>
        <v>crfr1_human</v>
      </c>
      <c r="C345" s="3">
        <f>VLOOKUP($A345,'SegEnds_NonXtal_BW#'!$A:$Z,3,FALSE)+D345-50</f>
        <v>415</v>
      </c>
      <c r="D345" s="3">
        <v>442</v>
      </c>
      <c r="E345" s="3">
        <f>IF(ISERROR(VLOOKUP($A345,'SegEnds_NonXtal_BW#'!$A:$Z,4,FALSE)+VLOOKUP($A345,A:AL,4,FALSE)-50),"-",(VLOOKUP($A345,'SegEnds_NonXtal_BW#'!$A:$Z,4,FALSE)+VLOOKUP($A345,A:AL,4,FALSE)-50))</f>
        <v>452</v>
      </c>
      <c r="F345" s="3" t="s">
        <v>23</v>
      </c>
      <c r="G345" s="3" t="s">
        <v>23</v>
      </c>
      <c r="H345" s="3" t="s">
        <v>23</v>
      </c>
      <c r="I345" s="3">
        <f>VLOOKUP($A345,'SegEnds_NonXtal_BW#'!$A:$Z,7,FALSE)+J345-50</f>
        <v>457</v>
      </c>
      <c r="J345" s="3">
        <v>470</v>
      </c>
      <c r="K345" s="3">
        <f>VLOOKUP($A345,'SegEnds_NonXtal_BW#'!$A:$Z,8,FALSE)+VLOOKUP($A345,A:AL,10,FALSE)-50</f>
        <v>483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488</v>
      </c>
      <c r="P345" s="3">
        <v>515</v>
      </c>
      <c r="Q345" s="3">
        <f>VLOOKUP($A345,'SegEnds_NonXtal_BW#'!$A:$Z,12,FALSE)+VLOOKUP($A345,A:AL,16,FALSE)-50</f>
        <v>521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528</v>
      </c>
      <c r="V345" s="3">
        <v>538</v>
      </c>
      <c r="W345" s="3">
        <f>IF(ISERROR(VLOOKUP($A345,'SegEnds_NonXtal_BW#'!$A:$Z,16,FALSE)+VLOOKUP($A345,A:AL,22,FALSE)-50),"-",(VLOOKUP($A345,'SegEnds_NonXtal_BW#'!$A:$Z,16,FALSE)+VLOOKUP($A345,A:AL,22,FALSE)-50))</f>
        <v>556</v>
      </c>
      <c r="X345" s="3">
        <f>IF(ISERROR(VLOOKUP($A345,'SegEnds_NonXtal_BW#'!$A:$Z,17,FALSE)+VLOOKUP($A345,A:AL,25,FALSE)-50),"-",(VLOOKUP($A345,'SegEnds_NonXtal_BW#'!$A:$Z,17,FALSE)+VLOOKUP($A345,A:AL,25,FALSE)-50))</f>
        <v>562</v>
      </c>
      <c r="Y345" s="3">
        <v>562</v>
      </c>
      <c r="Z345" s="3">
        <f t="shared" si="204"/>
        <v>564</v>
      </c>
      <c r="AA345" s="3">
        <f>IF(ISERROR(VLOOKUP($A345,'SegEnds_NonXtal_BW#'!$A:$Z,19,FALSE)+VLOOKUP($A345,A:AL,28,FALSE)-50),"-",(VLOOKUP($A345,'SegEnds_NonXtal_BW#'!$A:$Z,19,FALSE)+VLOOKUP($A345,A:AL,28,FALSE)-50))</f>
        <v>567</v>
      </c>
      <c r="AB345" s="3">
        <v>581</v>
      </c>
      <c r="AC345" s="3">
        <f>IF(ISERROR((VLOOKUP($A345,'SegEnds_NonXtal_BW#'!$A:$Z,20,FALSE)+VLOOKUP($A345,A:AL,28,FALSE)-50)),"-",(VLOOKUP($A345,'SegEnds_NonXtal_BW#'!$A:$Z,20,FALSE)+VLOOKUP($A345,A:AL,28,FALSE)-50))</f>
        <v>600</v>
      </c>
      <c r="AD345" s="3">
        <f>IF(ISERROR(VLOOKUP($A345,'SegEnds_NonXtal_BW#'!$A:$Z,21,FALSE)+VLOOKUP($A345,A:AL,31,FALSE)-50),"-",(VLOOKUP($A345,'SegEnds_NonXtal_BW#'!$A:$Z,21,FALSE)+VLOOKUP($A345,A:AL,31,FALSE)-50))</f>
        <v>612</v>
      </c>
      <c r="AE345" s="3">
        <v>633</v>
      </c>
      <c r="AF345" s="3">
        <f>IF(ISERROR((VLOOKUP($A345,'SegEnds_NonXtal_BW#'!$A:$Z,22,FALSE)+VLOOKUP($A345,A:AL,31,FALSE)-50)),"-",(VLOOKUP($A345,'SegEnds_NonXtal_BW#'!$A:$Z,22,FALSE)+VLOOKUP($A345,A:AL,31,FALSE)-50))</f>
        <v>636</v>
      </c>
      <c r="AG345" s="3">
        <f>IF(ISERROR(VLOOKUP($A345,'SegEnds_NonXtal_BW#'!$A:$Z,23,FALSE)+VLOOKUP($A345,A:AL,34,FALSE)-50),"-",(VLOOKUP($A345,'SegEnds_NonXtal_BW#'!$A:$Z,23,FALSE)+VLOOKUP($A345,A:AL,34,FALSE)-50))</f>
        <v>642</v>
      </c>
      <c r="AH345" s="3">
        <v>661</v>
      </c>
      <c r="AI345" s="3">
        <f>IF(ISERROR((VLOOKUP($A345,'SegEnds_NonXtal_BW#'!$A:$Z,24,FALSE)+VLOOKUP($A345,A:AL,34,FALSE)-50)),"-",(VLOOKUP($A345,'SegEnds_NonXtal_BW#'!$A:$Z,24,FALSE)+VLOOKUP($A345,A:AL,34,FALSE)-50))</f>
        <v>667</v>
      </c>
      <c r="AJ345" s="3">
        <f>IF(ISERROR(VLOOKUP($A345,'SegEnds_NonXtal_BW#'!$A:$Z,25,FALSE)+VLOOKUP($A345,A:AL,37,FALSE)-50),"-",(VLOOKUP($A345,'SegEnds_NonXtal_BW#'!$A:$Z,25,FALSE)+VLOOKUP($A345,A:AL,37,FALSE)-50))</f>
        <v>668</v>
      </c>
      <c r="AK345" s="3">
        <v>671</v>
      </c>
      <c r="AL345" s="3">
        <f>IF(ISERROR((VLOOKUP($A345,'SegEnds_NonXtal_BW#'!$A:$Z,26,FALSE)+VLOOKUP($A345,A:AL,37,FALSE)-50)),"-",(VLOOKUP($A345,'SegEnds_NonXtal_BW#'!$A:$Z,26,FALSE)+VLOOKUP($A345,A:AL,37,FALSE)-50))</f>
        <v>684</v>
      </c>
      <c r="AM345" s="28" t="str">
        <f>VLOOKUP(A345,Classification!A:B,2,FALSE)</f>
        <v>B2</v>
      </c>
      <c r="AN345" s="28" t="b">
        <f t="shared" si="220"/>
        <v>1</v>
      </c>
      <c r="AO345" s="3" t="str">
        <f>IF(ISERROR(MATCH(A345,'SegEnds_Xtal_Prot#'!B:B, 0)), "NoXtal", "Xtal")</f>
        <v>NoXtal</v>
      </c>
      <c r="AP345" s="3" t="str">
        <f t="shared" si="205"/>
        <v>-</v>
      </c>
      <c r="AQ345" s="3" t="str">
        <f t="shared" si="206"/>
        <v>-</v>
      </c>
      <c r="AR345" s="3" t="str">
        <f t="shared" si="207"/>
        <v>-</v>
      </c>
      <c r="AS345" s="3" t="str">
        <f t="shared" si="208"/>
        <v>-</v>
      </c>
      <c r="AT345" s="3" t="str">
        <f t="shared" si="209"/>
        <v>-</v>
      </c>
      <c r="AU345" s="3" t="str">
        <f t="shared" si="210"/>
        <v>-</v>
      </c>
      <c r="AV345" s="3">
        <f t="shared" si="211"/>
        <v>6</v>
      </c>
      <c r="AW345" s="3">
        <f t="shared" si="212"/>
        <v>3</v>
      </c>
      <c r="AX345" s="3">
        <f t="shared" si="213"/>
        <v>12</v>
      </c>
      <c r="AY345" s="3">
        <f t="shared" si="214"/>
        <v>6</v>
      </c>
      <c r="AZ345" s="3">
        <f t="shared" si="215"/>
        <v>1</v>
      </c>
      <c r="BA345" s="3">
        <f>IF(ISERROR(LEN(VLOOKUP(A345,Seqs!A:E,2,FALSE))-AL345),"-",LEN(VLOOKUP(A345,Seqs!A:E,2,FALSE))-AL345)</f>
        <v>6</v>
      </c>
      <c r="BB345" s="16">
        <f t="shared" si="216"/>
        <v>28</v>
      </c>
      <c r="BC345" s="9" t="str">
        <f t="shared" si="217"/>
        <v>-</v>
      </c>
      <c r="BD345" s="3">
        <f t="shared" si="218"/>
        <v>28</v>
      </c>
      <c r="BE345" s="3">
        <f t="shared" si="219"/>
        <v>52</v>
      </c>
      <c r="BF345" s="3">
        <f>AH345-AE345</f>
        <v>28</v>
      </c>
    </row>
    <row r="346" spans="1:58" s="3" customFormat="1" x14ac:dyDescent="0.2">
      <c r="A346" s="3" t="s">
        <v>414</v>
      </c>
      <c r="B346" s="3" t="str">
        <f>LOWER(VLOOKUP(A346,Xtal_Templ!A:B,2,FALSE))</f>
        <v>crfr1_human</v>
      </c>
      <c r="C346" s="3">
        <f>VLOOKUP($A346,'SegEnds_NonXtal_BW#'!$A:$Z,3,FALSE)+D346-50</f>
        <v>935</v>
      </c>
      <c r="D346" s="3">
        <v>962</v>
      </c>
      <c r="E346" s="3">
        <f>IF(ISERROR(VLOOKUP($A346,'SegEnds_NonXtal_BW#'!$A:$Z,4,FALSE)+VLOOKUP($A346,A:AL,4,FALSE)-50),"-",(VLOOKUP($A346,'SegEnds_NonXtal_BW#'!$A:$Z,4,FALSE)+VLOOKUP($A346,A:AL,4,FALSE)-50))</f>
        <v>972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978</v>
      </c>
      <c r="J346" s="3">
        <v>991</v>
      </c>
      <c r="K346" s="3">
        <f>VLOOKUP($A346,'SegEnds_NonXtal_BW#'!$A:$Z,8,FALSE)+VLOOKUP($A346,A:AL,10,FALSE)-50</f>
        <v>1004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1009</v>
      </c>
      <c r="P346" s="3">
        <v>1036</v>
      </c>
      <c r="Q346" s="3">
        <f>VLOOKUP($A346,'SegEnds_NonXtal_BW#'!$A:$Z,12,FALSE)+VLOOKUP($A346,A:AL,16,FALSE)-50</f>
        <v>1042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1048</v>
      </c>
      <c r="V346" s="3">
        <v>1058</v>
      </c>
      <c r="W346" s="3">
        <f>IF(ISERROR(VLOOKUP($A346,'SegEnds_NonXtal_BW#'!$A:$Z,16,FALSE)+VLOOKUP($A346,A:AL,22,FALSE)-50),"-",(VLOOKUP($A346,'SegEnds_NonXtal_BW#'!$A:$Z,16,FALSE)+VLOOKUP($A346,A:AL,22,FALSE)-50))</f>
        <v>1076</v>
      </c>
      <c r="X346" s="3">
        <f>IF(ISERROR(VLOOKUP($A346,'SegEnds_NonXtal_BW#'!$A:$Z,17,FALSE)+VLOOKUP($A346,A:AL,25,FALSE)-50),"-",(VLOOKUP($A346,'SegEnds_NonXtal_BW#'!$A:$Z,17,FALSE)+VLOOKUP($A346,A:AL,25,FALSE)-50))</f>
        <v>1083</v>
      </c>
      <c r="Y346" s="3">
        <v>1083</v>
      </c>
      <c r="Z346" s="3">
        <f t="shared" si="204"/>
        <v>1085</v>
      </c>
      <c r="AA346" s="3">
        <f>IF(ISERROR(VLOOKUP($A346,'SegEnds_NonXtal_BW#'!$A:$Z,19,FALSE)+VLOOKUP($A346,A:AL,28,FALSE)-50),"-",(VLOOKUP($A346,'SegEnds_NonXtal_BW#'!$A:$Z,19,FALSE)+VLOOKUP($A346,A:AL,28,FALSE)-50))</f>
        <v>1088</v>
      </c>
      <c r="AB346" s="3">
        <v>1102</v>
      </c>
      <c r="AC346" s="3">
        <f>IF(ISERROR((VLOOKUP($A346,'SegEnds_NonXtal_BW#'!$A:$Z,20,FALSE)+VLOOKUP($A346,A:AL,28,FALSE)-50)),"-",(VLOOKUP($A346,'SegEnds_NonXtal_BW#'!$A:$Z,20,FALSE)+VLOOKUP($A346,A:AL,28,FALSE)-50))</f>
        <v>1121</v>
      </c>
      <c r="AD346" s="3">
        <f>IF(ISERROR(VLOOKUP($A346,'SegEnds_NonXtal_BW#'!$A:$Z,21,FALSE)+VLOOKUP($A346,A:AL,31,FALSE)-50),"-",(VLOOKUP($A346,'SegEnds_NonXtal_BW#'!$A:$Z,21,FALSE)+VLOOKUP($A346,A:AL,31,FALSE)-50))</f>
        <v>1131</v>
      </c>
      <c r="AE346" s="3">
        <v>1152</v>
      </c>
      <c r="AF346" s="3">
        <f>IF(ISERROR((VLOOKUP($A346,'SegEnds_NonXtal_BW#'!$A:$Z,22,FALSE)+VLOOKUP($A346,A:AL,31,FALSE)-50)),"-",(VLOOKUP($A346,'SegEnds_NonXtal_BW#'!$A:$Z,22,FALSE)+VLOOKUP($A346,A:AL,31,FALSE)-50))</f>
        <v>1155</v>
      </c>
      <c r="AG346" s="3">
        <f>IF(ISERROR(VLOOKUP($A346,'SegEnds_NonXtal_BW#'!$A:$Z,23,FALSE)+VLOOKUP($A346,A:AL,34,FALSE)-50),"-",(VLOOKUP($A346,'SegEnds_NonXtal_BW#'!$A:$Z,23,FALSE)+VLOOKUP($A346,A:AL,34,FALSE)-50))</f>
        <v>1162</v>
      </c>
      <c r="AH346" s="3">
        <v>1181</v>
      </c>
      <c r="AI346" s="3">
        <f>IF(ISERROR((VLOOKUP($A346,'SegEnds_NonXtal_BW#'!$A:$Z,24,FALSE)+VLOOKUP($A346,A:AL,34,FALSE)-50)),"-",(VLOOKUP($A346,'SegEnds_NonXtal_BW#'!$A:$Z,24,FALSE)+VLOOKUP($A346,A:AL,34,FALSE)-50))</f>
        <v>1187</v>
      </c>
      <c r="AJ346" s="3">
        <f>IF(ISERROR(VLOOKUP($A346,'SegEnds_NonXtal_BW#'!$A:$Z,25,FALSE)+VLOOKUP($A346,A:AL,37,FALSE)-50),"-",(VLOOKUP($A346,'SegEnds_NonXtal_BW#'!$A:$Z,25,FALSE)+VLOOKUP($A346,A:AL,37,FALSE)-50))</f>
        <v>1188</v>
      </c>
      <c r="AK346" s="3">
        <v>1191</v>
      </c>
      <c r="AL346" s="3">
        <f>IF(ISERROR((VLOOKUP($A346,'SegEnds_NonXtal_BW#'!$A:$Z,26,FALSE)+VLOOKUP($A346,A:AL,37,FALSE)-50)),"-",(VLOOKUP($A346,'SegEnds_NonXtal_BW#'!$A:$Z,26,FALSE)+VLOOKUP($A346,A:AL,37,FALSE)-50))</f>
        <v>1204</v>
      </c>
      <c r="AM346" s="28" t="str">
        <f>VLOOKUP(A346,Classification!A:B,2,FALSE)</f>
        <v>B2</v>
      </c>
      <c r="AN346" s="28" t="b">
        <f t="shared" si="220"/>
        <v>1</v>
      </c>
      <c r="AO346" s="3" t="str">
        <f>IF(ISERROR(MATCH(A346,'SegEnds_Xtal_Prot#'!B:B, 0)), "NoXtal", "Xtal")</f>
        <v>NoXtal</v>
      </c>
      <c r="AP346" s="3" t="str">
        <f t="shared" si="205"/>
        <v>-</v>
      </c>
      <c r="AQ346" s="3" t="str">
        <f t="shared" si="206"/>
        <v>-</v>
      </c>
      <c r="AR346" s="3" t="str">
        <f t="shared" si="207"/>
        <v>-</v>
      </c>
      <c r="AS346" s="3" t="str">
        <f t="shared" si="208"/>
        <v>-</v>
      </c>
      <c r="AT346" s="3" t="str">
        <f t="shared" si="209"/>
        <v>-</v>
      </c>
      <c r="AU346" s="3" t="str">
        <f t="shared" si="210"/>
        <v>-</v>
      </c>
      <c r="AV346" s="3">
        <f t="shared" si="211"/>
        <v>7</v>
      </c>
      <c r="AW346" s="3">
        <f t="shared" si="212"/>
        <v>3</v>
      </c>
      <c r="AX346" s="3">
        <f t="shared" si="213"/>
        <v>10</v>
      </c>
      <c r="AY346" s="3">
        <f t="shared" si="214"/>
        <v>7</v>
      </c>
      <c r="AZ346" s="3">
        <f t="shared" si="215"/>
        <v>1</v>
      </c>
      <c r="BA346" s="3">
        <f>IF(ISERROR(LEN(VLOOKUP(A346,Seqs!A:E,2,FALSE))-AL346),"-",LEN(VLOOKUP(A346,Seqs!A:E,2,FALSE))-AL346)</f>
        <v>380</v>
      </c>
      <c r="BB346" s="16">
        <f t="shared" si="216"/>
        <v>29</v>
      </c>
      <c r="BC346" s="9" t="str">
        <f t="shared" si="217"/>
        <v>-</v>
      </c>
      <c r="BD346" s="3">
        <f t="shared" si="218"/>
        <v>29</v>
      </c>
      <c r="BE346" s="3">
        <f t="shared" si="219"/>
        <v>50</v>
      </c>
    </row>
    <row r="347" spans="1:58" s="3" customFormat="1" x14ac:dyDescent="0.2">
      <c r="A347" s="3" t="s">
        <v>417</v>
      </c>
      <c r="B347" s="3" t="str">
        <f>LOWER(VLOOKUP(A347,Xtal_Templ!A:B,2,FALSE))</f>
        <v>glp1r_human</v>
      </c>
      <c r="C347" s="3">
        <f>VLOOKUP($A347,'SegEnds_NonXtal_BW#'!$A:$Z,3,FALSE)+D347-50</f>
        <v>535</v>
      </c>
      <c r="D347" s="3">
        <v>562</v>
      </c>
      <c r="E347" s="3">
        <f>IF(ISERROR(VLOOKUP($A347,'SegEnds_NonXtal_BW#'!$A:$Z,4,FALSE)+VLOOKUP($A347,A:AL,4,FALSE)-50),"-",(VLOOKUP($A347,'SegEnds_NonXtal_BW#'!$A:$Z,4,FALSE)+VLOOKUP($A347,A:AL,4,FALSE)-50))</f>
        <v>572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577</v>
      </c>
      <c r="J347" s="3">
        <v>590</v>
      </c>
      <c r="K347" s="3">
        <f>VLOOKUP($A347,'SegEnds_NonXtal_BW#'!$A:$Z,8,FALSE)+VLOOKUP($A347,A:AL,10,FALSE)-50</f>
        <v>603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610</v>
      </c>
      <c r="P347" s="3">
        <v>637</v>
      </c>
      <c r="Q347" s="3">
        <f>VLOOKUP($A347,'SegEnds_NonXtal_BW#'!$A:$Z,12,FALSE)+VLOOKUP($A347,A:AL,16,FALSE)-50</f>
        <v>643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648</v>
      </c>
      <c r="V347" s="3">
        <v>660</v>
      </c>
      <c r="W347" s="3">
        <f>IF(ISERROR(VLOOKUP($A347,'SegEnds_NonXtal_BW#'!$A:$Z,16,FALSE)+VLOOKUP($A347,A:AL,22,FALSE)-50),"-",(VLOOKUP($A347,'SegEnds_NonXtal_BW#'!$A:$Z,16,FALSE)+VLOOKUP($A347,A:AL,22,FALSE)-50))</f>
        <v>678</v>
      </c>
      <c r="X347" s="3">
        <f>IF(ISERROR(VLOOKUP($A347,'SegEnds_NonXtal_BW#'!$A:$Z,17,FALSE)+VLOOKUP($A347,A:AL,25,FALSE)-50),"-",(VLOOKUP($A347,'SegEnds_NonXtal_BW#'!$A:$Z,17,FALSE)+VLOOKUP($A347,A:AL,25,FALSE)-50))</f>
        <v>684</v>
      </c>
      <c r="Y347" s="3">
        <v>684</v>
      </c>
      <c r="Z347" s="3">
        <f t="shared" si="204"/>
        <v>686</v>
      </c>
      <c r="AA347" s="3">
        <f>IF(ISERROR(VLOOKUP($A347,'SegEnds_NonXtal_BW#'!$A:$Z,19,FALSE)+VLOOKUP($A347,A:AL,28,FALSE)-50),"-",(VLOOKUP($A347,'SegEnds_NonXtal_BW#'!$A:$Z,19,FALSE)+VLOOKUP($A347,A:AL,28,FALSE)-50))</f>
        <v>689</v>
      </c>
      <c r="AB347" s="3">
        <v>703</v>
      </c>
      <c r="AC347" s="3">
        <f>IF(ISERROR((VLOOKUP($A347,'SegEnds_NonXtal_BW#'!$A:$Z,20,FALSE)+VLOOKUP($A347,A:AL,28,FALSE)-50)),"-",(VLOOKUP($A347,'SegEnds_NonXtal_BW#'!$A:$Z,20,FALSE)+VLOOKUP($A347,A:AL,28,FALSE)-50))</f>
        <v>722</v>
      </c>
      <c r="AD347" s="3">
        <f>IF(ISERROR(VLOOKUP($A347,'SegEnds_NonXtal_BW#'!$A:$Z,21,FALSE)+VLOOKUP($A347,A:AL,31,FALSE)-50),"-",(VLOOKUP($A347,'SegEnds_NonXtal_BW#'!$A:$Z,21,FALSE)+VLOOKUP($A347,A:AL,31,FALSE)-50))</f>
        <v>734</v>
      </c>
      <c r="AE347" s="3">
        <v>755</v>
      </c>
      <c r="AF347" s="3">
        <f>IF(ISERROR((VLOOKUP($A347,'SegEnds_NonXtal_BW#'!$A:$Z,22,FALSE)+VLOOKUP($A347,A:AL,31,FALSE)-50)),"-",(VLOOKUP($A347,'SegEnds_NonXtal_BW#'!$A:$Z,22,FALSE)+VLOOKUP($A347,A:AL,31,FALSE)-50))</f>
        <v>758</v>
      </c>
      <c r="AG347" s="3">
        <f>IF(ISERROR(VLOOKUP($A347,'SegEnds_NonXtal_BW#'!$A:$Z,23,FALSE)+VLOOKUP($A347,A:AL,34,FALSE)-50),"-",(VLOOKUP($A347,'SegEnds_NonXtal_BW#'!$A:$Z,23,FALSE)+VLOOKUP($A347,A:AL,34,FALSE)-50))</f>
        <v>764</v>
      </c>
      <c r="AH347" s="3">
        <v>783</v>
      </c>
      <c r="AI347" s="3">
        <f>IF(ISERROR((VLOOKUP($A347,'SegEnds_NonXtal_BW#'!$A:$Z,24,FALSE)+VLOOKUP($A347,A:AL,34,FALSE)-50)),"-",(VLOOKUP($A347,'SegEnds_NonXtal_BW#'!$A:$Z,24,FALSE)+VLOOKUP($A347,A:AL,34,FALSE)-50))</f>
        <v>789</v>
      </c>
      <c r="AJ347" s="3">
        <f>IF(ISERROR(VLOOKUP($A347,'SegEnds_NonXtal_BW#'!$A:$Z,25,FALSE)+VLOOKUP($A347,A:AL,37,FALSE)-50),"-",(VLOOKUP($A347,'SegEnds_NonXtal_BW#'!$A:$Z,25,FALSE)+VLOOKUP($A347,A:AL,37,FALSE)-50))</f>
        <v>790</v>
      </c>
      <c r="AK347" s="3">
        <v>793</v>
      </c>
      <c r="AL347" s="3">
        <f>IF(ISERROR((VLOOKUP($A347,'SegEnds_NonXtal_BW#'!$A:$Z,26,FALSE)+VLOOKUP($A347,A:AL,37,FALSE)-50)),"-",(VLOOKUP($A347,'SegEnds_NonXtal_BW#'!$A:$Z,26,FALSE)+VLOOKUP($A347,A:AL,37,FALSE)-50))</f>
        <v>806</v>
      </c>
      <c r="AM347" s="28" t="str">
        <f>VLOOKUP(A347,Classification!A:B,2,FALSE)</f>
        <v>B2</v>
      </c>
      <c r="AN347" s="28" t="b">
        <f t="shared" si="220"/>
        <v>1</v>
      </c>
      <c r="AO347" s="3" t="str">
        <f>IF(ISERROR(MATCH(A347,'SegEnds_Xtal_Prot#'!B:B, 0)), "NoXtal", "Xtal")</f>
        <v>NoXtal</v>
      </c>
      <c r="AP347" s="3" t="str">
        <f t="shared" si="205"/>
        <v>-</v>
      </c>
      <c r="AQ347" s="3" t="str">
        <f t="shared" si="206"/>
        <v>-</v>
      </c>
      <c r="AR347" s="3" t="str">
        <f t="shared" si="207"/>
        <v>-</v>
      </c>
      <c r="AS347" s="3" t="str">
        <f t="shared" si="208"/>
        <v>-</v>
      </c>
      <c r="AT347" s="3" t="str">
        <f t="shared" si="209"/>
        <v>-</v>
      </c>
      <c r="AU347" s="3" t="str">
        <f t="shared" si="210"/>
        <v>-</v>
      </c>
      <c r="AV347" s="3">
        <f t="shared" si="211"/>
        <v>6</v>
      </c>
      <c r="AW347" s="3">
        <f t="shared" si="212"/>
        <v>3</v>
      </c>
      <c r="AX347" s="3">
        <f t="shared" si="213"/>
        <v>12</v>
      </c>
      <c r="AY347" s="3">
        <f t="shared" si="214"/>
        <v>6</v>
      </c>
      <c r="AZ347" s="3">
        <f t="shared" si="215"/>
        <v>1</v>
      </c>
      <c r="BA347" s="3">
        <f>IF(ISERROR(LEN(VLOOKUP(A347,Seqs!A:E,2,FALSE))-AL347),"-",LEN(VLOOKUP(A347,Seqs!A:E,2,FALSE))-AL347)</f>
        <v>29</v>
      </c>
      <c r="BB347" s="16">
        <f t="shared" si="216"/>
        <v>28</v>
      </c>
      <c r="BC347" s="9" t="str">
        <f t="shared" si="217"/>
        <v>-</v>
      </c>
      <c r="BD347" s="3">
        <f t="shared" si="218"/>
        <v>28</v>
      </c>
      <c r="BE347" s="3">
        <f t="shared" si="219"/>
        <v>52</v>
      </c>
      <c r="BF347" s="3">
        <f>AH347-AE347</f>
        <v>28</v>
      </c>
    </row>
    <row r="348" spans="1:58" s="3" customFormat="1" x14ac:dyDescent="0.2">
      <c r="A348" s="3" t="s">
        <v>418</v>
      </c>
      <c r="B348" s="3" t="str">
        <f>LOWER(VLOOKUP(A348,Xtal_Templ!A:B,2,FALSE))</f>
        <v>calcr_human</v>
      </c>
      <c r="C348" s="3">
        <f>VLOOKUP($A348,'SegEnds_NonXtal_BW#'!$A:$Z,3,FALSE)+D348-50</f>
        <v>2456</v>
      </c>
      <c r="D348" s="3">
        <v>2483</v>
      </c>
      <c r="E348" s="3">
        <f>IF(ISERROR(VLOOKUP($A348,'SegEnds_NonXtal_BW#'!$A:$Z,4,FALSE)+VLOOKUP($A348,A:AL,4,FALSE)-50),"-",(VLOOKUP($A348,'SegEnds_NonXtal_BW#'!$A:$Z,4,FALSE)+VLOOKUP($A348,A:AL,4,FALSE)-50))</f>
        <v>2493</v>
      </c>
      <c r="F348" s="3">
        <f>G348-2</f>
        <v>2494</v>
      </c>
      <c r="G348" s="3">
        <v>2496</v>
      </c>
      <c r="H348" s="3">
        <f t="shared" ref="H348:I350" si="221">G348+1</f>
        <v>2497</v>
      </c>
      <c r="I348" s="3">
        <f t="shared" si="221"/>
        <v>2498</v>
      </c>
      <c r="J348" s="3">
        <v>2511</v>
      </c>
      <c r="K348" s="3">
        <f>VLOOKUP($A348,'SegEnds_NonXtal_BW#'!$A:$Z,8,FALSE)+VLOOKUP($A348,A:AL,10,FALSE)-50</f>
        <v>2524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2529</v>
      </c>
      <c r="P348" s="3">
        <v>2556</v>
      </c>
      <c r="Q348" s="3">
        <f>VLOOKUP($A348,'SegEnds_NonXtal_BW#'!$A:$Z,12,FALSE)+VLOOKUP($A348,A:AL,16,FALSE)-50</f>
        <v>2562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2570</v>
      </c>
      <c r="V348" s="3">
        <v>2579</v>
      </c>
      <c r="W348" s="3">
        <f>IF(ISERROR(VLOOKUP($A348,'SegEnds_NonXtal_BW#'!$A:$Z,16,FALSE)+VLOOKUP($A348,A:AL,22,FALSE)-50),"-",(VLOOKUP($A348,'SegEnds_NonXtal_BW#'!$A:$Z,16,FALSE)+VLOOKUP($A348,A:AL,22,FALSE)-50))</f>
        <v>2597</v>
      </c>
      <c r="X348" s="3">
        <f>IF(ISERROR(VLOOKUP($A348,'SegEnds_NonXtal_BW#'!$A:$Z,17,FALSE)+VLOOKUP($A348,A:AL,25,FALSE)-50),"-",(VLOOKUP($A348,'SegEnds_NonXtal_BW#'!$A:$Z,17,FALSE)+VLOOKUP($A348,A:AL,25,FALSE)-50))</f>
        <v>2603</v>
      </c>
      <c r="Y348" s="3">
        <v>2603</v>
      </c>
      <c r="Z348" s="3">
        <f t="shared" si="204"/>
        <v>2605</v>
      </c>
      <c r="AA348" s="3">
        <f>IF(ISERROR(VLOOKUP($A348,'SegEnds_NonXtal_BW#'!$A:$Z,19,FALSE)+VLOOKUP($A348,A:AL,28,FALSE)-50),"-",(VLOOKUP($A348,'SegEnds_NonXtal_BW#'!$A:$Z,19,FALSE)+VLOOKUP($A348,A:AL,28,FALSE)-50))</f>
        <v>2608</v>
      </c>
      <c r="AB348" s="3">
        <v>2622</v>
      </c>
      <c r="AC348" s="3">
        <f>IF(ISERROR((VLOOKUP($A348,'SegEnds_NonXtal_BW#'!$A:$Z,20,FALSE)+VLOOKUP($A348,A:AL,28,FALSE)-50)),"-",(VLOOKUP($A348,'SegEnds_NonXtal_BW#'!$A:$Z,20,FALSE)+VLOOKUP($A348,A:AL,28,FALSE)-50))</f>
        <v>2641</v>
      </c>
      <c r="AD348" s="3">
        <f>IF(ISERROR(VLOOKUP($A348,'SegEnds_NonXtal_BW#'!$A:$Z,21,FALSE)+VLOOKUP($A348,A:AL,31,FALSE)-50),"-",(VLOOKUP($A348,'SegEnds_NonXtal_BW#'!$A:$Z,21,FALSE)+VLOOKUP($A348,A:AL,31,FALSE)-50))</f>
        <v>2649</v>
      </c>
      <c r="AE348" s="3">
        <v>2670</v>
      </c>
      <c r="AF348" s="3">
        <f>IF(ISERROR((VLOOKUP($A348,'SegEnds_NonXtal_BW#'!$A:$Z,22,FALSE)+VLOOKUP($A348,A:AL,31,FALSE)-50)),"-",(VLOOKUP($A348,'SegEnds_NonXtal_BW#'!$A:$Z,22,FALSE)+VLOOKUP($A348,A:AL,31,FALSE)-50))</f>
        <v>2673</v>
      </c>
      <c r="AG348" s="3">
        <f>IF(ISERROR(VLOOKUP($A348,'SegEnds_NonXtal_BW#'!$A:$Z,23,FALSE)+VLOOKUP($A348,A:AL,34,FALSE)-50),"-",(VLOOKUP($A348,'SegEnds_NonXtal_BW#'!$A:$Z,23,FALSE)+VLOOKUP($A348,A:AL,34,FALSE)-50))</f>
        <v>2679</v>
      </c>
      <c r="AH348" s="3">
        <v>2698</v>
      </c>
      <c r="AI348" s="3">
        <f>IF(ISERROR((VLOOKUP($A348,'SegEnds_NonXtal_BW#'!$A:$Z,24,FALSE)+VLOOKUP($A348,A:AL,34,FALSE)-50)),"-",(VLOOKUP($A348,'SegEnds_NonXtal_BW#'!$A:$Z,24,FALSE)+VLOOKUP($A348,A:AL,34,FALSE)-50))</f>
        <v>2704</v>
      </c>
      <c r="AJ348" s="3">
        <f>IF(ISERROR(VLOOKUP($A348,'SegEnds_NonXtal_BW#'!$A:$Z,25,FALSE)+VLOOKUP($A348,A:AL,37,FALSE)-50),"-",(VLOOKUP($A348,'SegEnds_NonXtal_BW#'!$A:$Z,25,FALSE)+VLOOKUP($A348,A:AL,37,FALSE)-50))</f>
        <v>2705</v>
      </c>
      <c r="AK348" s="3">
        <v>2708</v>
      </c>
      <c r="AL348" s="3">
        <f>IF(ISERROR((VLOOKUP($A348,'SegEnds_NonXtal_BW#'!$A:$Z,26,FALSE)+VLOOKUP($A348,A:AL,37,FALSE)-50)),"-",(VLOOKUP($A348,'SegEnds_NonXtal_BW#'!$A:$Z,26,FALSE)+VLOOKUP($A348,A:AL,37,FALSE)-50))</f>
        <v>2721</v>
      </c>
      <c r="AM348" s="28" t="str">
        <f>VLOOKUP(A348,Classification!A:B,2,FALSE)</f>
        <v>B2</v>
      </c>
      <c r="AN348" s="28" t="b">
        <f t="shared" si="220"/>
        <v>1</v>
      </c>
      <c r="AO348" s="3" t="str">
        <f>IF(ISERROR(MATCH(A348,'SegEnds_Xtal_Prot#'!B:B, 0)), "NoXtal", "Xtal")</f>
        <v>NoXtal</v>
      </c>
      <c r="AP348" s="3">
        <f t="shared" si="205"/>
        <v>1</v>
      </c>
      <c r="AQ348" s="3">
        <f t="shared" si="206"/>
        <v>1</v>
      </c>
      <c r="AR348" s="3" t="str">
        <f t="shared" si="207"/>
        <v>-</v>
      </c>
      <c r="AS348" s="3" t="str">
        <f t="shared" si="208"/>
        <v>-</v>
      </c>
      <c r="AT348" s="3" t="str">
        <f t="shared" si="209"/>
        <v>-</v>
      </c>
      <c r="AU348" s="3" t="str">
        <f t="shared" si="210"/>
        <v>-</v>
      </c>
      <c r="AV348" s="3">
        <f t="shared" si="211"/>
        <v>6</v>
      </c>
      <c r="AW348" s="3">
        <f t="shared" si="212"/>
        <v>3</v>
      </c>
      <c r="AX348" s="3">
        <f t="shared" si="213"/>
        <v>8</v>
      </c>
      <c r="AY348" s="3">
        <f t="shared" si="214"/>
        <v>6</v>
      </c>
      <c r="AZ348" s="3">
        <f t="shared" si="215"/>
        <v>1</v>
      </c>
      <c r="BA348" s="3">
        <f>IF(ISERROR(LEN(VLOOKUP(A348,Seqs!A:E,2,FALSE))-AL348),"-",LEN(VLOOKUP(A348,Seqs!A:E,2,FALSE))-AL348)</f>
        <v>293</v>
      </c>
      <c r="BB348" s="16">
        <f t="shared" si="216"/>
        <v>28</v>
      </c>
      <c r="BC348" s="9" t="str">
        <f t="shared" si="217"/>
        <v>-</v>
      </c>
      <c r="BD348" s="3">
        <f t="shared" si="218"/>
        <v>28</v>
      </c>
      <c r="BE348" s="3">
        <f t="shared" si="219"/>
        <v>48</v>
      </c>
    </row>
    <row r="349" spans="1:58" s="3" customFormat="1" x14ac:dyDescent="0.2">
      <c r="A349" s="3" t="s">
        <v>419</v>
      </c>
      <c r="B349" s="3" t="str">
        <f>LOWER(VLOOKUP(A349,Xtal_Templ!A:B,2,FALSE))</f>
        <v>calrl_human</v>
      </c>
      <c r="C349" s="3">
        <f>VLOOKUP($A349,'SegEnds_NonXtal_BW#'!$A:$Z,3,FALSE)+D349-50</f>
        <v>2364</v>
      </c>
      <c r="D349" s="3">
        <v>2391</v>
      </c>
      <c r="E349" s="3">
        <f>IF(ISERROR(VLOOKUP($A349,'SegEnds_NonXtal_BW#'!$A:$Z,4,FALSE)+VLOOKUP($A349,A:AL,4,FALSE)-50),"-",(VLOOKUP($A349,'SegEnds_NonXtal_BW#'!$A:$Z,4,FALSE)+VLOOKUP($A349,A:AL,4,FALSE)-50))</f>
        <v>2401</v>
      </c>
      <c r="F349" s="3">
        <f>G349-2</f>
        <v>2402</v>
      </c>
      <c r="G349" s="3">
        <v>2404</v>
      </c>
      <c r="H349" s="3">
        <f t="shared" si="221"/>
        <v>2405</v>
      </c>
      <c r="I349" s="3">
        <f t="shared" si="221"/>
        <v>2406</v>
      </c>
      <c r="J349" s="3">
        <v>2419</v>
      </c>
      <c r="K349" s="3">
        <f>VLOOKUP($A349,'SegEnds_NonXtal_BW#'!$A:$Z,8,FALSE)+VLOOKUP($A349,A:AL,10,FALSE)-50</f>
        <v>2432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2437</v>
      </c>
      <c r="P349" s="3">
        <v>2464</v>
      </c>
      <c r="Q349" s="3">
        <f>VLOOKUP($A349,'SegEnds_NonXtal_BW#'!$A:$Z,12,FALSE)+VLOOKUP($A349,A:AL,16,FALSE)-50</f>
        <v>2470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2478</v>
      </c>
      <c r="V349" s="3">
        <v>2487</v>
      </c>
      <c r="W349" s="3">
        <f>IF(ISERROR(VLOOKUP($A349,'SegEnds_NonXtal_BW#'!$A:$Z,16,FALSE)+VLOOKUP($A349,A:AL,22,FALSE)-50),"-",(VLOOKUP($A349,'SegEnds_NonXtal_BW#'!$A:$Z,16,FALSE)+VLOOKUP($A349,A:AL,22,FALSE)-50))</f>
        <v>2504</v>
      </c>
      <c r="X349" s="3">
        <f>IF(ISERROR(VLOOKUP($A349,'SegEnds_NonXtal_BW#'!$A:$Z,17,FALSE)+VLOOKUP($A349,A:AL,25,FALSE)-50),"-",(VLOOKUP($A349,'SegEnds_NonXtal_BW#'!$A:$Z,17,FALSE)+VLOOKUP($A349,A:AL,25,FALSE)-50))</f>
        <v>2511</v>
      </c>
      <c r="Y349" s="3">
        <v>2511</v>
      </c>
      <c r="Z349" s="3">
        <f t="shared" si="204"/>
        <v>2513</v>
      </c>
      <c r="AA349" s="3">
        <f>IF(ISERROR(VLOOKUP($A349,'SegEnds_NonXtal_BW#'!$A:$Z,19,FALSE)+VLOOKUP($A349,A:AL,28,FALSE)-50),"-",(VLOOKUP($A349,'SegEnds_NonXtal_BW#'!$A:$Z,19,FALSE)+VLOOKUP($A349,A:AL,28,FALSE)-50))</f>
        <v>2516</v>
      </c>
      <c r="AB349" s="3">
        <v>2530</v>
      </c>
      <c r="AC349" s="3">
        <f>IF(ISERROR((VLOOKUP($A349,'SegEnds_NonXtal_BW#'!$A:$Z,20,FALSE)+VLOOKUP($A349,A:AL,28,FALSE)-50)),"-",(VLOOKUP($A349,'SegEnds_NonXtal_BW#'!$A:$Z,20,FALSE)+VLOOKUP($A349,A:AL,28,FALSE)-50))</f>
        <v>2549</v>
      </c>
      <c r="AD349" s="3">
        <f>IF(ISERROR(VLOOKUP($A349,'SegEnds_NonXtal_BW#'!$A:$Z,21,FALSE)+VLOOKUP($A349,A:AL,31,FALSE)-50),"-",(VLOOKUP($A349,'SegEnds_NonXtal_BW#'!$A:$Z,21,FALSE)+VLOOKUP($A349,A:AL,31,FALSE)-50))</f>
        <v>2557</v>
      </c>
      <c r="AE349" s="3">
        <v>2578</v>
      </c>
      <c r="AF349" s="3">
        <f>IF(ISERROR((VLOOKUP($A349,'SegEnds_NonXtal_BW#'!$A:$Z,22,FALSE)+VLOOKUP($A349,A:AL,31,FALSE)-50)),"-",(VLOOKUP($A349,'SegEnds_NonXtal_BW#'!$A:$Z,22,FALSE)+VLOOKUP($A349,A:AL,31,FALSE)-50))</f>
        <v>2581</v>
      </c>
      <c r="AG349" s="3">
        <f>IF(ISERROR(VLOOKUP($A349,'SegEnds_NonXtal_BW#'!$A:$Z,23,FALSE)+VLOOKUP($A349,A:AL,34,FALSE)-50),"-",(VLOOKUP($A349,'SegEnds_NonXtal_BW#'!$A:$Z,23,FALSE)+VLOOKUP($A349,A:AL,34,FALSE)-50))</f>
        <v>2587</v>
      </c>
      <c r="AH349" s="3">
        <v>2606</v>
      </c>
      <c r="AI349" s="3">
        <f>IF(ISERROR((VLOOKUP($A349,'SegEnds_NonXtal_BW#'!$A:$Z,24,FALSE)+VLOOKUP($A349,A:AL,34,FALSE)-50)),"-",(VLOOKUP($A349,'SegEnds_NonXtal_BW#'!$A:$Z,24,FALSE)+VLOOKUP($A349,A:AL,34,FALSE)-50))</f>
        <v>2612</v>
      </c>
      <c r="AJ349" s="3">
        <f>IF(ISERROR(VLOOKUP($A349,'SegEnds_NonXtal_BW#'!$A:$Z,25,FALSE)+VLOOKUP($A349,A:AL,37,FALSE)-50),"-",(VLOOKUP($A349,'SegEnds_NonXtal_BW#'!$A:$Z,25,FALSE)+VLOOKUP($A349,A:AL,37,FALSE)-50))</f>
        <v>2613</v>
      </c>
      <c r="AK349" s="3">
        <v>2616</v>
      </c>
      <c r="AL349" s="3">
        <f>IF(ISERROR((VLOOKUP($A349,'SegEnds_NonXtal_BW#'!$A:$Z,26,FALSE)+VLOOKUP($A349,A:AL,37,FALSE)-50)),"-",(VLOOKUP($A349,'SegEnds_NonXtal_BW#'!$A:$Z,26,FALSE)+VLOOKUP($A349,A:AL,37,FALSE)-50))</f>
        <v>2629</v>
      </c>
      <c r="AM349" s="28" t="str">
        <f>VLOOKUP(A349,Classification!A:B,2,FALSE)</f>
        <v>B2</v>
      </c>
      <c r="AN349" s="28" t="b">
        <f t="shared" si="220"/>
        <v>1</v>
      </c>
      <c r="AO349" s="3" t="str">
        <f>IF(ISERROR(MATCH(A349,'SegEnds_Xtal_Prot#'!B:B, 0)), "NoXtal", "Xtal")</f>
        <v>NoXtal</v>
      </c>
      <c r="AP349" s="3">
        <f t="shared" si="205"/>
        <v>1</v>
      </c>
      <c r="AQ349" s="3">
        <f t="shared" si="206"/>
        <v>1</v>
      </c>
      <c r="AR349" s="3" t="str">
        <f t="shared" si="207"/>
        <v>-</v>
      </c>
      <c r="AS349" s="3" t="str">
        <f t="shared" si="208"/>
        <v>-</v>
      </c>
      <c r="AT349" s="3" t="str">
        <f t="shared" si="209"/>
        <v>-</v>
      </c>
      <c r="AU349" s="3" t="str">
        <f t="shared" si="210"/>
        <v>-</v>
      </c>
      <c r="AV349" s="3">
        <f t="shared" si="211"/>
        <v>7</v>
      </c>
      <c r="AW349" s="3">
        <f t="shared" si="212"/>
        <v>3</v>
      </c>
      <c r="AX349" s="3">
        <f t="shared" si="213"/>
        <v>8</v>
      </c>
      <c r="AY349" s="3">
        <f t="shared" si="214"/>
        <v>6</v>
      </c>
      <c r="AZ349" s="3">
        <f t="shared" si="215"/>
        <v>1</v>
      </c>
      <c r="BA349" s="3">
        <f>IF(ISERROR(LEN(VLOOKUP(A349,Seqs!A:E,2,FALSE))-AL349),"-",LEN(VLOOKUP(A349,Seqs!A:E,2,FALSE))-AL349)</f>
        <v>294</v>
      </c>
      <c r="BB349" s="16">
        <f t="shared" si="216"/>
        <v>28</v>
      </c>
      <c r="BC349" s="9" t="str">
        <f t="shared" si="217"/>
        <v>-</v>
      </c>
      <c r="BD349" s="3">
        <f t="shared" si="218"/>
        <v>28</v>
      </c>
      <c r="BE349" s="3">
        <f t="shared" si="219"/>
        <v>48</v>
      </c>
    </row>
    <row r="350" spans="1:58" s="3" customFormat="1" x14ac:dyDescent="0.2">
      <c r="A350" s="3" t="s">
        <v>420</v>
      </c>
      <c r="B350" s="3" t="str">
        <f>LOWER(VLOOKUP(A350,Xtal_Templ!A:B,2,FALSE))</f>
        <v>crfr2_human</v>
      </c>
      <c r="C350" s="3">
        <f>VLOOKUP($A350,'SegEnds_NonXtal_BW#'!$A:$Z,3,FALSE)+D350-50</f>
        <v>2527</v>
      </c>
      <c r="D350" s="3">
        <v>2554</v>
      </c>
      <c r="E350" s="3">
        <f>IF(ISERROR(VLOOKUP($A350,'SegEnds_NonXtal_BW#'!$A:$Z,4,FALSE)+VLOOKUP($A350,A:AL,4,FALSE)-50),"-",(VLOOKUP($A350,'SegEnds_NonXtal_BW#'!$A:$Z,4,FALSE)+VLOOKUP($A350,A:AL,4,FALSE)-50))</f>
        <v>2564</v>
      </c>
      <c r="F350" s="3">
        <f>G350-2</f>
        <v>2565</v>
      </c>
      <c r="G350" s="3">
        <v>2567</v>
      </c>
      <c r="H350" s="3">
        <f t="shared" si="221"/>
        <v>2568</v>
      </c>
      <c r="I350" s="3">
        <f t="shared" si="221"/>
        <v>2569</v>
      </c>
      <c r="J350" s="3">
        <v>2582</v>
      </c>
      <c r="K350" s="3">
        <f>VLOOKUP($A350,'SegEnds_NonXtal_BW#'!$A:$Z,8,FALSE)+VLOOKUP($A350,A:AL,10,FALSE)-50</f>
        <v>2595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2600</v>
      </c>
      <c r="P350" s="3">
        <v>2627</v>
      </c>
      <c r="Q350" s="3">
        <f>VLOOKUP($A350,'SegEnds_NonXtal_BW#'!$A:$Z,12,FALSE)+VLOOKUP($A350,A:AL,16,FALSE)-50</f>
        <v>2633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2641</v>
      </c>
      <c r="V350" s="3">
        <v>2650</v>
      </c>
      <c r="W350" s="3">
        <f>IF(ISERROR(VLOOKUP($A350,'SegEnds_NonXtal_BW#'!$A:$Z,16,FALSE)+VLOOKUP($A350,A:AL,22,FALSE)-50),"-",(VLOOKUP($A350,'SegEnds_NonXtal_BW#'!$A:$Z,16,FALSE)+VLOOKUP($A350,A:AL,22,FALSE)-50))</f>
        <v>2668</v>
      </c>
      <c r="X350" s="3">
        <f>IF(ISERROR(VLOOKUP($A350,'SegEnds_NonXtal_BW#'!$A:$Z,17,FALSE)+VLOOKUP($A350,A:AL,25,FALSE)-50),"-",(VLOOKUP($A350,'SegEnds_NonXtal_BW#'!$A:$Z,17,FALSE)+VLOOKUP($A350,A:AL,25,FALSE)-50))</f>
        <v>2674</v>
      </c>
      <c r="Y350" s="3">
        <v>2674</v>
      </c>
      <c r="Z350" s="3">
        <f t="shared" si="204"/>
        <v>2676</v>
      </c>
      <c r="AA350" s="3">
        <f>IF(ISERROR(VLOOKUP($A350,'SegEnds_NonXtal_BW#'!$A:$Z,19,FALSE)+VLOOKUP($A350,A:AL,28,FALSE)-50),"-",(VLOOKUP($A350,'SegEnds_NonXtal_BW#'!$A:$Z,19,FALSE)+VLOOKUP($A350,A:AL,28,FALSE)-50))</f>
        <v>2679</v>
      </c>
      <c r="AB350" s="3">
        <v>2693</v>
      </c>
      <c r="AC350" s="3">
        <f>IF(ISERROR((VLOOKUP($A350,'SegEnds_NonXtal_BW#'!$A:$Z,20,FALSE)+VLOOKUP($A350,A:AL,28,FALSE)-50)),"-",(VLOOKUP($A350,'SegEnds_NonXtal_BW#'!$A:$Z,20,FALSE)+VLOOKUP($A350,A:AL,28,FALSE)-50))</f>
        <v>2712</v>
      </c>
      <c r="AD350" s="3">
        <f>IF(ISERROR(VLOOKUP($A350,'SegEnds_NonXtal_BW#'!$A:$Z,21,FALSE)+VLOOKUP($A350,A:AL,31,FALSE)-50),"-",(VLOOKUP($A350,'SegEnds_NonXtal_BW#'!$A:$Z,21,FALSE)+VLOOKUP($A350,A:AL,31,FALSE)-50))</f>
        <v>2719</v>
      </c>
      <c r="AE350" s="3">
        <v>2740</v>
      </c>
      <c r="AF350" s="3">
        <f>IF(ISERROR((VLOOKUP($A350,'SegEnds_NonXtal_BW#'!$A:$Z,22,FALSE)+VLOOKUP($A350,A:AL,31,FALSE)-50)),"-",(VLOOKUP($A350,'SegEnds_NonXtal_BW#'!$A:$Z,22,FALSE)+VLOOKUP($A350,A:AL,31,FALSE)-50))</f>
        <v>2743</v>
      </c>
      <c r="AG350" s="3">
        <f>IF(ISERROR(VLOOKUP($A350,'SegEnds_NonXtal_BW#'!$A:$Z,23,FALSE)+VLOOKUP($A350,A:AL,34,FALSE)-50),"-",(VLOOKUP($A350,'SegEnds_NonXtal_BW#'!$A:$Z,23,FALSE)+VLOOKUP($A350,A:AL,34,FALSE)-50))</f>
        <v>2749</v>
      </c>
      <c r="AH350" s="3">
        <v>2768</v>
      </c>
      <c r="AI350" s="3">
        <f>IF(ISERROR((VLOOKUP($A350,'SegEnds_NonXtal_BW#'!$A:$Z,24,FALSE)+VLOOKUP($A350,A:AL,34,FALSE)-50)),"-",(VLOOKUP($A350,'SegEnds_NonXtal_BW#'!$A:$Z,24,FALSE)+VLOOKUP($A350,A:AL,34,FALSE)-50))</f>
        <v>2774</v>
      </c>
      <c r="AJ350" s="3">
        <f>IF(ISERROR(VLOOKUP($A350,'SegEnds_NonXtal_BW#'!$A:$Z,25,FALSE)+VLOOKUP($A350,A:AL,37,FALSE)-50),"-",(VLOOKUP($A350,'SegEnds_NonXtal_BW#'!$A:$Z,25,FALSE)+VLOOKUP($A350,A:AL,37,FALSE)-50))</f>
        <v>2775</v>
      </c>
      <c r="AK350" s="3">
        <v>2778</v>
      </c>
      <c r="AL350" s="3">
        <f>IF(ISERROR((VLOOKUP($A350,'SegEnds_NonXtal_BW#'!$A:$Z,26,FALSE)+VLOOKUP($A350,A:AL,37,FALSE)-50)),"-",(VLOOKUP($A350,'SegEnds_NonXtal_BW#'!$A:$Z,26,FALSE)+VLOOKUP($A350,A:AL,37,FALSE)-50))</f>
        <v>2791</v>
      </c>
      <c r="AM350" s="28" t="str">
        <f>VLOOKUP(A350,Classification!A:B,2,FALSE)</f>
        <v>B2</v>
      </c>
      <c r="AN350" s="28" t="b">
        <f t="shared" si="220"/>
        <v>1</v>
      </c>
      <c r="AO350" s="3" t="str">
        <f>IF(ISERROR(MATCH(A350,'SegEnds_Xtal_Prot#'!B:B, 0)), "NoXtal", "Xtal")</f>
        <v>NoXtal</v>
      </c>
      <c r="AP350" s="3">
        <f t="shared" si="205"/>
        <v>1</v>
      </c>
      <c r="AQ350" s="3">
        <f t="shared" si="206"/>
        <v>1</v>
      </c>
      <c r="AR350" s="3" t="str">
        <f t="shared" si="207"/>
        <v>-</v>
      </c>
      <c r="AS350" s="3" t="str">
        <f t="shared" si="208"/>
        <v>-</v>
      </c>
      <c r="AT350" s="3" t="str">
        <f t="shared" si="209"/>
        <v>-</v>
      </c>
      <c r="AU350" s="3" t="str">
        <f t="shared" si="210"/>
        <v>-</v>
      </c>
      <c r="AV350" s="3">
        <f t="shared" si="211"/>
        <v>6</v>
      </c>
      <c r="AW350" s="3">
        <f t="shared" si="212"/>
        <v>3</v>
      </c>
      <c r="AX350" s="3">
        <f t="shared" si="213"/>
        <v>7</v>
      </c>
      <c r="AY350" s="3">
        <f t="shared" si="214"/>
        <v>6</v>
      </c>
      <c r="AZ350" s="3">
        <f t="shared" si="215"/>
        <v>1</v>
      </c>
      <c r="BA350" s="3">
        <f>IF(ISERROR(LEN(VLOOKUP(A350,Seqs!A:E,2,FALSE))-AL350),"-",LEN(VLOOKUP(A350,Seqs!A:E,2,FALSE))-AL350)</f>
        <v>521</v>
      </c>
      <c r="BB350" s="16">
        <f t="shared" si="216"/>
        <v>28</v>
      </c>
      <c r="BC350" s="9" t="str">
        <f t="shared" si="217"/>
        <v>-</v>
      </c>
      <c r="BD350" s="3">
        <f t="shared" si="218"/>
        <v>28</v>
      </c>
      <c r="BE350" s="3">
        <f t="shared" si="219"/>
        <v>47</v>
      </c>
    </row>
    <row r="351" spans="1:58" s="3" customFormat="1" x14ac:dyDescent="0.2">
      <c r="A351" s="3" t="s">
        <v>442</v>
      </c>
      <c r="B351" s="3" t="str">
        <f>LOWER(VLOOKUP(A351,Xtal_Templ!A:B,2,FALSE))</f>
        <v>crfr1_human</v>
      </c>
      <c r="C351" s="3">
        <f>VLOOKUP($A351,'SegEnds_NonXtal_BW#'!$A:$Z,3,FALSE)+D351-50</f>
        <v>5895</v>
      </c>
      <c r="D351" s="3">
        <v>5922</v>
      </c>
      <c r="E351" s="3">
        <f>IF(ISERROR(VLOOKUP($A351,'SegEnds_NonXtal_BW#'!$A:$Z,4,FALSE)+VLOOKUP($A351,A:AL,4,FALSE)-50),"-",(VLOOKUP($A351,'SegEnds_NonXtal_BW#'!$A:$Z,4,FALSE)+VLOOKUP($A351,A:AL,4,FALSE)-50))</f>
        <v>5932</v>
      </c>
      <c r="F351" s="3" t="s">
        <v>23</v>
      </c>
      <c r="G351" s="3" t="s">
        <v>23</v>
      </c>
      <c r="H351" s="3" t="s">
        <v>23</v>
      </c>
      <c r="I351" s="3">
        <f>VLOOKUP($A351,'SegEnds_NonXtal_BW#'!$A:$Z,7,FALSE)+J351-50</f>
        <v>5935</v>
      </c>
      <c r="J351" s="3">
        <v>5948</v>
      </c>
      <c r="K351" s="3">
        <f>VLOOKUP($A351,'SegEnds_NonXtal_BW#'!$A:$Z,8,FALSE)+VLOOKUP($A351,A:AL,10,FALSE)-50</f>
        <v>5961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5968</v>
      </c>
      <c r="P351" s="3">
        <v>5995</v>
      </c>
      <c r="Q351" s="3">
        <f>VLOOKUP($A351,'SegEnds_NonXtal_BW#'!$A:$Z,12,FALSE)+VLOOKUP($A351,A:AL,16,FALSE)-50</f>
        <v>6001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6008</v>
      </c>
      <c r="V351" s="3">
        <v>6018</v>
      </c>
      <c r="W351" s="3">
        <f>IF(ISERROR(VLOOKUP($A351,'SegEnds_NonXtal_BW#'!$A:$Z,16,FALSE)+VLOOKUP($A351,A:AL,22,FALSE)-50),"-",(VLOOKUP($A351,'SegEnds_NonXtal_BW#'!$A:$Z,16,FALSE)+VLOOKUP($A351,A:AL,22,FALSE)-50))</f>
        <v>6036</v>
      </c>
      <c r="X351" s="3">
        <f>IF(ISERROR(VLOOKUP($A351,'SegEnds_NonXtal_BW#'!$A:$Z,17,FALSE)+VLOOKUP($A351,A:AL,25,FALSE)-50),"-",(VLOOKUP($A351,'SegEnds_NonXtal_BW#'!$A:$Z,17,FALSE)+VLOOKUP($A351,A:AL,25,FALSE)-50))</f>
        <v>6052</v>
      </c>
      <c r="Y351" s="3">
        <v>6052</v>
      </c>
      <c r="Z351" s="3">
        <f t="shared" si="204"/>
        <v>6054</v>
      </c>
      <c r="AA351" s="3">
        <f>IF(ISERROR(VLOOKUP($A351,'SegEnds_NonXtal_BW#'!$A:$Z,19,FALSE)+VLOOKUP($A351,A:AL,28,FALSE)-50),"-",(VLOOKUP($A351,'SegEnds_NonXtal_BW#'!$A:$Z,19,FALSE)+VLOOKUP($A351,A:AL,28,FALSE)-50))</f>
        <v>6058</v>
      </c>
      <c r="AB351" s="3">
        <v>6072</v>
      </c>
      <c r="AC351" s="3">
        <f>IF(ISERROR((VLOOKUP($A351,'SegEnds_NonXtal_BW#'!$A:$Z,20,FALSE)+VLOOKUP($A351,A:AL,28,FALSE)-50)),"-",(VLOOKUP($A351,'SegEnds_NonXtal_BW#'!$A:$Z,20,FALSE)+VLOOKUP($A351,A:AL,28,FALSE)-50))</f>
        <v>6091</v>
      </c>
      <c r="AD351" s="3">
        <f>IF(ISERROR(VLOOKUP($A351,'SegEnds_NonXtal_BW#'!$A:$Z,21,FALSE)+VLOOKUP($A351,A:AL,31,FALSE)-50),"-",(VLOOKUP($A351,'SegEnds_NonXtal_BW#'!$A:$Z,21,FALSE)+VLOOKUP($A351,A:AL,31,FALSE)-50))</f>
        <v>6100</v>
      </c>
      <c r="AE351" s="3">
        <v>6121</v>
      </c>
      <c r="AF351" s="3">
        <f>IF(ISERROR((VLOOKUP($A351,'SegEnds_NonXtal_BW#'!$A:$Z,22,FALSE)+VLOOKUP($A351,A:AL,31,FALSE)-50)),"-",(VLOOKUP($A351,'SegEnds_NonXtal_BW#'!$A:$Z,22,FALSE)+VLOOKUP($A351,A:AL,31,FALSE)-50))</f>
        <v>6124</v>
      </c>
      <c r="AG351" s="3">
        <f>IF(ISERROR(VLOOKUP($A351,'SegEnds_NonXtal_BW#'!$A:$Z,23,FALSE)+VLOOKUP($A351,A:AL,34,FALSE)-50),"-",(VLOOKUP($A351,'SegEnds_NonXtal_BW#'!$A:$Z,23,FALSE)+VLOOKUP($A351,A:AL,34,FALSE)-50))</f>
        <v>6130</v>
      </c>
      <c r="AH351" s="3">
        <v>6149</v>
      </c>
      <c r="AI351" s="3">
        <f>IF(ISERROR((VLOOKUP($A351,'SegEnds_NonXtal_BW#'!$A:$Z,24,FALSE)+VLOOKUP($A351,A:AL,34,FALSE)-50)),"-",(VLOOKUP($A351,'SegEnds_NonXtal_BW#'!$A:$Z,24,FALSE)+VLOOKUP($A351,A:AL,34,FALSE)-50))</f>
        <v>6155</v>
      </c>
      <c r="AJ351" s="3">
        <f>IF(ISERROR(VLOOKUP($A351,'SegEnds_NonXtal_BW#'!$A:$Z,25,FALSE)+VLOOKUP($A351,A:AL,37,FALSE)-50),"-",(VLOOKUP($A351,'SegEnds_NonXtal_BW#'!$A:$Z,25,FALSE)+VLOOKUP($A351,A:AL,37,FALSE)-50))</f>
        <v>6156</v>
      </c>
      <c r="AK351" s="3">
        <v>6159</v>
      </c>
      <c r="AL351" s="3">
        <f>IF(ISERROR((VLOOKUP($A351,'SegEnds_NonXtal_BW#'!$A:$Z,26,FALSE)+VLOOKUP($A351,A:AL,37,FALSE)-50)),"-",(VLOOKUP($A351,'SegEnds_NonXtal_BW#'!$A:$Z,26,FALSE)+VLOOKUP($A351,A:AL,37,FALSE)-50))</f>
        <v>6172</v>
      </c>
      <c r="AM351" s="28" t="str">
        <f>VLOOKUP(A351,Classification!A:B,2,FALSE)</f>
        <v>B2</v>
      </c>
      <c r="AN351" s="28" t="b">
        <f t="shared" si="220"/>
        <v>1</v>
      </c>
      <c r="AO351" s="3" t="str">
        <f>IF(ISERROR(MATCH(A351,'SegEnds_Xtal_Prot#'!B:B, 0)), "NoXtal", "Xtal")</f>
        <v>NoXtal</v>
      </c>
      <c r="AP351" s="3" t="str">
        <f t="shared" si="205"/>
        <v>-</v>
      </c>
      <c r="AQ351" s="3" t="str">
        <f t="shared" si="206"/>
        <v>-</v>
      </c>
      <c r="AR351" s="3" t="str">
        <f t="shared" si="207"/>
        <v>-</v>
      </c>
      <c r="AS351" s="3" t="str">
        <f t="shared" si="208"/>
        <v>-</v>
      </c>
      <c r="AT351" s="3" t="str">
        <f t="shared" si="209"/>
        <v>-</v>
      </c>
      <c r="AU351" s="3" t="str">
        <f t="shared" si="210"/>
        <v>-</v>
      </c>
      <c r="AV351" s="3">
        <f t="shared" si="211"/>
        <v>16</v>
      </c>
      <c r="AW351" s="3">
        <f t="shared" si="212"/>
        <v>4</v>
      </c>
      <c r="AX351" s="3">
        <f t="shared" si="213"/>
        <v>9</v>
      </c>
      <c r="AY351" s="3">
        <f t="shared" si="214"/>
        <v>6</v>
      </c>
      <c r="AZ351" s="3">
        <f t="shared" si="215"/>
        <v>1</v>
      </c>
      <c r="BA351" s="3">
        <f>IF(ISERROR(LEN(VLOOKUP(A351,Seqs!A:E,2,FALSE))-AL351),"-",LEN(VLOOKUP(A351,Seqs!A:E,2,FALSE))-AL351)</f>
        <v>134</v>
      </c>
      <c r="BB351" s="16">
        <f t="shared" si="216"/>
        <v>26</v>
      </c>
      <c r="BC351" s="9" t="str">
        <f t="shared" si="217"/>
        <v>-</v>
      </c>
      <c r="BD351" s="3">
        <f t="shared" si="218"/>
        <v>26</v>
      </c>
      <c r="BE351" s="3">
        <f t="shared" si="219"/>
        <v>49</v>
      </c>
    </row>
    <row r="352" spans="1:58" s="3" customFormat="1" x14ac:dyDescent="0.2">
      <c r="A352" s="3" t="s">
        <v>105</v>
      </c>
      <c r="B352" s="3" t="str">
        <f>LOWER(VLOOKUP(A352,Xtal_Templ!A:B,2,FALSE))</f>
        <v>grm5_human</v>
      </c>
      <c r="C352" s="3">
        <f>VLOOKUP($A352,'SegEnds_NonXtal_BW#'!$A:$Z,3,FALSE)+D352-50</f>
        <v>611</v>
      </c>
      <c r="D352" s="3">
        <v>627</v>
      </c>
      <c r="E352" s="3">
        <f>IF(ISERROR(VLOOKUP($A352,'SegEnds_NonXtal_BW#'!$A:$Z,4,FALSE)+VLOOKUP($A352,A:AL,4,FALSE)-50),"-",(VLOOKUP($A352,'SegEnds_NonXtal_BW#'!$A:$Z,4,FALSE)+VLOOKUP($A352,A:AL,4,FALSE)-50))</f>
        <v>637</v>
      </c>
      <c r="F352" s="3">
        <f t="shared" ref="F352:F384" si="222">G352-3</f>
        <v>640</v>
      </c>
      <c r="G352" s="3">
        <v>643</v>
      </c>
      <c r="H352" s="3">
        <f t="shared" ref="H352:H373" si="223">G352+3</f>
        <v>646</v>
      </c>
      <c r="I352" s="3">
        <f t="shared" ref="I352:I384" si="224">H352+1</f>
        <v>647</v>
      </c>
      <c r="J352" s="3">
        <v>658</v>
      </c>
      <c r="K352" s="3">
        <f>VLOOKUP($A352,'SegEnds_NonXtal_BW#'!$A:$Z,8,FALSE)+VLOOKUP($A352,A:AL,10,FALSE)-50</f>
        <v>669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673</v>
      </c>
      <c r="P352" s="3">
        <v>702</v>
      </c>
      <c r="Q352" s="3">
        <f>VLOOKUP($A352,'SegEnds_NonXtal_BW#'!$A:$Z,12,FALSE)+VLOOKUP($A352,A:AL,16,FALSE)-50</f>
        <v>706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720</v>
      </c>
      <c r="V352" s="3">
        <v>732</v>
      </c>
      <c r="W352" s="3">
        <f>IF(ISERROR(VLOOKUP($A352,'SegEnds_NonXtal_BW#'!$A:$Z,16,FALSE)+VLOOKUP($A352,A:AL,22,FALSE)-50),"-",(VLOOKUP($A352,'SegEnds_NonXtal_BW#'!$A:$Z,16,FALSE)+VLOOKUP($A352,A:AL,22,FALSE)-50))</f>
        <v>746</v>
      </c>
      <c r="X352" s="3">
        <f>IF(ISERROR(VLOOKUP($A352,'SegEnds_NonXtal_BW#'!$A:$Z,17,FALSE)+VLOOKUP($A352,A:AL,25,FALSE)-50),"-",(VLOOKUP($A352,'SegEnds_NonXtal_BW#'!$A:$Z,17,FALSE)+VLOOKUP($A352,A:AL,25,FALSE)-50))</f>
        <v>765</v>
      </c>
      <c r="Y352" s="3">
        <v>765</v>
      </c>
      <c r="Z352" s="3">
        <f t="shared" si="204"/>
        <v>767</v>
      </c>
      <c r="AA352" s="3">
        <f>IF(ISERROR(VLOOKUP($A352,'SegEnds_NonXtal_BW#'!$A:$Z,19,FALSE)+VLOOKUP($A352,A:AL,28,FALSE)-50),"-",(VLOOKUP($A352,'SegEnds_NonXtal_BW#'!$A:$Z,19,FALSE)+VLOOKUP($A352,A:AL,28,FALSE)-50))</f>
        <v>769</v>
      </c>
      <c r="AB352" s="3">
        <v>783</v>
      </c>
      <c r="AC352" s="3">
        <f>IF(ISERROR((VLOOKUP($A352,'SegEnds_NonXtal_BW#'!$A:$Z,20,FALSE)+VLOOKUP($A352,A:AL,28,FALSE)-50)),"-",(VLOOKUP($A352,'SegEnds_NonXtal_BW#'!$A:$Z,20,FALSE)+VLOOKUP($A352,A:AL,28,FALSE)-50))</f>
        <v>794</v>
      </c>
      <c r="AD352" s="3">
        <f>IF(ISERROR(VLOOKUP($A352,'SegEnds_NonXtal_BW#'!$A:$Z,21,FALSE)+VLOOKUP($A352,A:AL,31,FALSE)-50),"-",(VLOOKUP($A352,'SegEnds_NonXtal_BW#'!$A:$Z,21,FALSE)+VLOOKUP($A352,A:AL,31,FALSE)-50))</f>
        <v>803</v>
      </c>
      <c r="AE352" s="3">
        <v>820</v>
      </c>
      <c r="AF352" s="3">
        <f>IF(ISERROR((VLOOKUP($A352,'SegEnds_NonXtal_BW#'!$A:$Z,22,FALSE)+VLOOKUP($A352,A:AL,31,FALSE)-50)),"-",(VLOOKUP($A352,'SegEnds_NonXtal_BW#'!$A:$Z,22,FALSE)+VLOOKUP($A352,A:AL,31,FALSE)-50))</f>
        <v>827</v>
      </c>
      <c r="AG352" s="3">
        <f>IF(ISERROR(VLOOKUP($A352,'SegEnds_NonXtal_BW#'!$A:$Z,23,FALSE)+VLOOKUP($A352,A:AL,34,FALSE)-50),"-",(VLOOKUP($A352,'SegEnds_NonXtal_BW#'!$A:$Z,23,FALSE)+VLOOKUP($A352,A:AL,34,FALSE)-50))</f>
        <v>832</v>
      </c>
      <c r="AH352" s="3">
        <v>849</v>
      </c>
      <c r="AI352" s="3">
        <f>IF(ISERROR((VLOOKUP($A352,'SegEnds_NonXtal_BW#'!$A:$Z,24,FALSE)+VLOOKUP($A352,A:AL,34,FALSE)-50)),"-",(VLOOKUP($A352,'SegEnds_NonXtal_BW#'!$A:$Z,24,FALSE)+VLOOKUP($A352,A:AL,34,FALSE)-50))</f>
        <v>863</v>
      </c>
      <c r="AJ352" s="3">
        <f>IF(ISERROR(VLOOKUP($A352,'SegEnds_NonXtal_BW#'!$A:$Z,25,FALSE)+VLOOKUP($A352,A:AL,37,FALSE)-50),"-",(VLOOKUP($A352,'SegEnds_NonXtal_BW#'!$A:$Z,25,FALSE)+VLOOKUP($A352,A:AL,37,FALSE)-50))</f>
        <v>864</v>
      </c>
      <c r="AK352" s="3">
        <v>868</v>
      </c>
      <c r="AL352" s="3">
        <f>IF(ISERROR((VLOOKUP($A352,'SegEnds_NonXtal_BW#'!$A:$Z,26,FALSE)+VLOOKUP($A352,A:AL,37,FALSE)-50)),"-",(VLOOKUP($A352,'SegEnds_NonXtal_BW#'!$A:$Z,26,FALSE)+VLOOKUP($A352,A:AL,37,FALSE)-50))</f>
        <v>875</v>
      </c>
      <c r="AM352" s="28" t="str">
        <f>VLOOKUP(A352,Classification!A:B,2,FALSE)</f>
        <v>C</v>
      </c>
      <c r="AN352" s="28" t="b">
        <f t="shared" si="220"/>
        <v>1</v>
      </c>
      <c r="AO352" s="3" t="str">
        <f>IF(ISERROR(MATCH(A352,'SegEnds_Xtal_Prot#'!B:B, 0)), "NoXtal", "Xtal")</f>
        <v>NoXtal</v>
      </c>
      <c r="AP352" s="3">
        <f t="shared" si="205"/>
        <v>3</v>
      </c>
      <c r="AQ352" s="3">
        <f t="shared" si="206"/>
        <v>1</v>
      </c>
      <c r="AR352" s="3" t="str">
        <f t="shared" si="207"/>
        <v>-</v>
      </c>
      <c r="AS352" s="3" t="str">
        <f t="shared" si="208"/>
        <v>-</v>
      </c>
      <c r="AT352" s="3" t="str">
        <f t="shared" si="209"/>
        <v>-</v>
      </c>
      <c r="AU352" s="3" t="str">
        <f t="shared" si="210"/>
        <v>-</v>
      </c>
      <c r="AV352" s="3">
        <f t="shared" si="211"/>
        <v>19</v>
      </c>
      <c r="AW352" s="3">
        <f t="shared" si="212"/>
        <v>2</v>
      </c>
      <c r="AX352" s="3">
        <f t="shared" si="213"/>
        <v>9</v>
      </c>
      <c r="AY352" s="3">
        <f t="shared" si="214"/>
        <v>5</v>
      </c>
      <c r="AZ352" s="3">
        <f t="shared" si="215"/>
        <v>1</v>
      </c>
      <c r="BA352" s="3">
        <f>IF(ISERROR(LEN(VLOOKUP(A352,Seqs!A:E,2,FALSE))-AL352),"-",LEN(VLOOKUP(A352,Seqs!A:E,2,FALSE))-AL352)</f>
        <v>203</v>
      </c>
      <c r="BB352" s="16">
        <f t="shared" si="216"/>
        <v>31</v>
      </c>
      <c r="BC352" s="9" t="str">
        <f t="shared" si="217"/>
        <v>-</v>
      </c>
      <c r="BD352" s="3">
        <f t="shared" si="218"/>
        <v>31</v>
      </c>
      <c r="BE352" s="3">
        <f t="shared" si="219"/>
        <v>37</v>
      </c>
    </row>
    <row r="353" spans="1:58" s="3" customFormat="1" x14ac:dyDescent="0.2">
      <c r="A353" s="3" t="s">
        <v>106</v>
      </c>
      <c r="B353" s="3" t="str">
        <f>LOWER(VLOOKUP(A353,Xtal_Templ!A:B,2,FALSE))</f>
        <v>grm5_human</v>
      </c>
      <c r="C353" s="3">
        <f>VLOOKUP($A353,'SegEnds_NonXtal_BW#'!$A:$Z,3,FALSE)+D353-50</f>
        <v>590</v>
      </c>
      <c r="D353" s="3">
        <v>606</v>
      </c>
      <c r="E353" s="3">
        <f>IF(ISERROR(VLOOKUP($A353,'SegEnds_NonXtal_BW#'!$A:$Z,4,FALSE)+VLOOKUP($A353,A:AL,4,FALSE)-50),"-",(VLOOKUP($A353,'SegEnds_NonXtal_BW#'!$A:$Z,4,FALSE)+VLOOKUP($A353,A:AL,4,FALSE)-50))</f>
        <v>616</v>
      </c>
      <c r="F353" s="3">
        <f t="shared" si="222"/>
        <v>619</v>
      </c>
      <c r="G353" s="3">
        <v>622</v>
      </c>
      <c r="H353" s="3">
        <f t="shared" si="223"/>
        <v>625</v>
      </c>
      <c r="I353" s="3">
        <f t="shared" si="224"/>
        <v>626</v>
      </c>
      <c r="J353" s="3">
        <v>637</v>
      </c>
      <c r="K353" s="3">
        <f>VLOOKUP($A353,'SegEnds_NonXtal_BW#'!$A:$Z,8,FALSE)+VLOOKUP($A353,A:AL,10,FALSE)-50</f>
        <v>648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659</v>
      </c>
      <c r="P353" s="3">
        <v>688</v>
      </c>
      <c r="Q353" s="3">
        <f>VLOOKUP($A353,'SegEnds_NonXtal_BW#'!$A:$Z,12,FALSE)+VLOOKUP($A353,A:AL,16,FALSE)-50</f>
        <v>692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706</v>
      </c>
      <c r="V353" s="3">
        <v>718</v>
      </c>
      <c r="W353" s="3">
        <f>IF(ISERROR(VLOOKUP($A353,'SegEnds_NonXtal_BW#'!$A:$Z,16,FALSE)+VLOOKUP($A353,A:AL,22,FALSE)-50),"-",(VLOOKUP($A353,'SegEnds_NonXtal_BW#'!$A:$Z,16,FALSE)+VLOOKUP($A353,A:AL,22,FALSE)-50))</f>
        <v>732</v>
      </c>
      <c r="X353" s="3">
        <f>IF(ISERROR(VLOOKUP($A353,'SegEnds_NonXtal_BW#'!$A:$Z,17,FALSE)+VLOOKUP($A353,A:AL,25,FALSE)-50),"-",(VLOOKUP($A353,'SegEnds_NonXtal_BW#'!$A:$Z,17,FALSE)+VLOOKUP($A353,A:AL,25,FALSE)-50))</f>
        <v>761</v>
      </c>
      <c r="Y353" s="3">
        <v>761</v>
      </c>
      <c r="Z353" s="3">
        <f t="shared" si="204"/>
        <v>763</v>
      </c>
      <c r="AA353" s="3">
        <f>IF(ISERROR(VLOOKUP($A353,'SegEnds_NonXtal_BW#'!$A:$Z,19,FALSE)+VLOOKUP($A353,A:AL,28,FALSE)-50),"-",(VLOOKUP($A353,'SegEnds_NonXtal_BW#'!$A:$Z,19,FALSE)+VLOOKUP($A353,A:AL,28,FALSE)-50))</f>
        <v>766</v>
      </c>
      <c r="AB353" s="3">
        <v>780</v>
      </c>
      <c r="AC353" s="3">
        <f>IF(ISERROR((VLOOKUP($A353,'SegEnds_NonXtal_BW#'!$A:$Z,20,FALSE)+VLOOKUP($A353,A:AL,28,FALSE)-50)),"-",(VLOOKUP($A353,'SegEnds_NonXtal_BW#'!$A:$Z,20,FALSE)+VLOOKUP($A353,A:AL,28,FALSE)-50))</f>
        <v>791</v>
      </c>
      <c r="AD353" s="3">
        <f>IF(ISERROR(VLOOKUP($A353,'SegEnds_NonXtal_BW#'!$A:$Z,21,FALSE)+VLOOKUP($A353,A:AL,31,FALSE)-50),"-",(VLOOKUP($A353,'SegEnds_NonXtal_BW#'!$A:$Z,21,FALSE)+VLOOKUP($A353,A:AL,31,FALSE)-50))</f>
        <v>801</v>
      </c>
      <c r="AE353" s="3">
        <v>818</v>
      </c>
      <c r="AF353" s="3">
        <f>IF(ISERROR((VLOOKUP($A353,'SegEnds_NonXtal_BW#'!$A:$Z,22,FALSE)+VLOOKUP($A353,A:AL,31,FALSE)-50)),"-",(VLOOKUP($A353,'SegEnds_NonXtal_BW#'!$A:$Z,22,FALSE)+VLOOKUP($A353,A:AL,31,FALSE)-50))</f>
        <v>825</v>
      </c>
      <c r="AG353" s="3">
        <f>IF(ISERROR(VLOOKUP($A353,'SegEnds_NonXtal_BW#'!$A:$Z,23,FALSE)+VLOOKUP($A353,A:AL,34,FALSE)-50),"-",(VLOOKUP($A353,'SegEnds_NonXtal_BW#'!$A:$Z,23,FALSE)+VLOOKUP($A353,A:AL,34,FALSE)-50))</f>
        <v>832</v>
      </c>
      <c r="AH353" s="3">
        <v>849</v>
      </c>
      <c r="AI353" s="3">
        <f>IF(ISERROR((VLOOKUP($A353,'SegEnds_NonXtal_BW#'!$A:$Z,24,FALSE)+VLOOKUP($A353,A:AL,34,FALSE)-50)),"-",(VLOOKUP($A353,'SegEnds_NonXtal_BW#'!$A:$Z,24,FALSE)+VLOOKUP($A353,A:AL,34,FALSE)-50))</f>
        <v>863</v>
      </c>
      <c r="AJ353" s="3">
        <f>IF(ISERROR(VLOOKUP($A353,'SegEnds_NonXtal_BW#'!$A:$Z,25,FALSE)+VLOOKUP($A353,A:AL,37,FALSE)-50),"-",(VLOOKUP($A353,'SegEnds_NonXtal_BW#'!$A:$Z,25,FALSE)+VLOOKUP($A353,A:AL,37,FALSE)-50))</f>
        <v>864</v>
      </c>
      <c r="AK353" s="3">
        <v>868</v>
      </c>
      <c r="AL353" s="3">
        <f>IF(ISERROR((VLOOKUP($A353,'SegEnds_NonXtal_BW#'!$A:$Z,26,FALSE)+VLOOKUP($A353,A:AL,37,FALSE)-50)),"-",(VLOOKUP($A353,'SegEnds_NonXtal_BW#'!$A:$Z,26,FALSE)+VLOOKUP($A353,A:AL,37,FALSE)-50))</f>
        <v>875</v>
      </c>
      <c r="AM353" s="28" t="str">
        <f>VLOOKUP(A353,Classification!A:B,2,FALSE)</f>
        <v>C</v>
      </c>
      <c r="AN353" s="28" t="b">
        <f t="shared" si="220"/>
        <v>1</v>
      </c>
      <c r="AO353" s="3" t="str">
        <f>IF(ISERROR(MATCH(A353,'SegEnds_Xtal_Prot#'!B:B, 0)), "NoXtal", "Xtal")</f>
        <v>NoXtal</v>
      </c>
      <c r="AP353" s="3">
        <f t="shared" si="205"/>
        <v>3</v>
      </c>
      <c r="AQ353" s="3">
        <f t="shared" si="206"/>
        <v>1</v>
      </c>
      <c r="AR353" s="3" t="str">
        <f t="shared" si="207"/>
        <v>-</v>
      </c>
      <c r="AS353" s="3" t="str">
        <f t="shared" si="208"/>
        <v>-</v>
      </c>
      <c r="AT353" s="3" t="str">
        <f t="shared" si="209"/>
        <v>-</v>
      </c>
      <c r="AU353" s="3" t="str">
        <f t="shared" si="210"/>
        <v>-</v>
      </c>
      <c r="AV353" s="3">
        <f t="shared" si="211"/>
        <v>29</v>
      </c>
      <c r="AW353" s="3">
        <f t="shared" si="212"/>
        <v>3</v>
      </c>
      <c r="AX353" s="3">
        <f t="shared" si="213"/>
        <v>10</v>
      </c>
      <c r="AY353" s="3">
        <f t="shared" si="214"/>
        <v>7</v>
      </c>
      <c r="AZ353" s="3">
        <f t="shared" si="215"/>
        <v>1</v>
      </c>
      <c r="BA353" s="3">
        <f>IF(ISERROR(LEN(VLOOKUP(A353,Seqs!A:E,2,FALSE))-AL353),"-",LEN(VLOOKUP(A353,Seqs!A:E,2,FALSE))-AL353)</f>
        <v>86</v>
      </c>
      <c r="BB353" s="16">
        <f t="shared" si="216"/>
        <v>31</v>
      </c>
      <c r="BC353" s="9" t="str">
        <f t="shared" si="217"/>
        <v>-</v>
      </c>
      <c r="BD353" s="3">
        <f t="shared" si="218"/>
        <v>31</v>
      </c>
      <c r="BE353" s="3">
        <f t="shared" si="219"/>
        <v>38</v>
      </c>
    </row>
    <row r="354" spans="1:58" s="3" customFormat="1" x14ac:dyDescent="0.2">
      <c r="A354" s="3" t="s">
        <v>107</v>
      </c>
      <c r="B354" s="3" t="str">
        <f>LOWER(VLOOKUP(A354,Xtal_Templ!A:B,2,FALSE))</f>
        <v>grm5_human</v>
      </c>
      <c r="C354" s="3">
        <f>VLOOKUP($A354,'SegEnds_NonXtal_BW#'!$A:$Z,3,FALSE)+D354-50</f>
        <v>480</v>
      </c>
      <c r="D354" s="3">
        <v>496</v>
      </c>
      <c r="E354" s="3">
        <f>IF(ISERROR(VLOOKUP($A354,'SegEnds_NonXtal_BW#'!$A:$Z,4,FALSE)+VLOOKUP($A354,A:AL,4,FALSE)-50),"-",(VLOOKUP($A354,'SegEnds_NonXtal_BW#'!$A:$Z,4,FALSE)+VLOOKUP($A354,A:AL,4,FALSE)-50))</f>
        <v>506</v>
      </c>
      <c r="F354" s="3">
        <f t="shared" si="222"/>
        <v>509</v>
      </c>
      <c r="G354" s="3">
        <v>512</v>
      </c>
      <c r="H354" s="3">
        <f t="shared" si="223"/>
        <v>515</v>
      </c>
      <c r="I354" s="3">
        <f t="shared" si="224"/>
        <v>516</v>
      </c>
      <c r="J354" s="3">
        <v>527</v>
      </c>
      <c r="K354" s="3">
        <f>VLOOKUP($A354,'SegEnds_NonXtal_BW#'!$A:$Z,8,FALSE)+VLOOKUP($A354,A:AL,10,FALSE)-50</f>
        <v>538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549</v>
      </c>
      <c r="P354" s="3">
        <v>578</v>
      </c>
      <c r="Q354" s="3">
        <f>VLOOKUP($A354,'SegEnds_NonXtal_BW#'!$A:$Z,12,FALSE)+VLOOKUP($A354,A:AL,16,FALSE)-50</f>
        <v>582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593</v>
      </c>
      <c r="V354" s="3">
        <v>605</v>
      </c>
      <c r="W354" s="3">
        <f>IF(ISERROR(VLOOKUP($A354,'SegEnds_NonXtal_BW#'!$A:$Z,16,FALSE)+VLOOKUP($A354,A:AL,22,FALSE)-50),"-",(VLOOKUP($A354,'SegEnds_NonXtal_BW#'!$A:$Z,16,FALSE)+VLOOKUP($A354,A:AL,22,FALSE)-50))</f>
        <v>619</v>
      </c>
      <c r="X354" s="3">
        <f>IF(ISERROR(VLOOKUP($A354,'SegEnds_NonXtal_BW#'!$A:$Z,17,FALSE)+VLOOKUP($A354,A:AL,25,FALSE)-50),"-",(VLOOKUP($A354,'SegEnds_NonXtal_BW#'!$A:$Z,17,FALSE)+VLOOKUP($A354,A:AL,25,FALSE)-50))</f>
        <v>648</v>
      </c>
      <c r="Y354" s="3">
        <v>648</v>
      </c>
      <c r="Z354" s="3">
        <f t="shared" si="204"/>
        <v>650</v>
      </c>
      <c r="AA354" s="3">
        <f>IF(ISERROR(VLOOKUP($A354,'SegEnds_NonXtal_BW#'!$A:$Z,19,FALSE)+VLOOKUP($A354,A:AL,28,FALSE)-50),"-",(VLOOKUP($A354,'SegEnds_NonXtal_BW#'!$A:$Z,19,FALSE)+VLOOKUP($A354,A:AL,28,FALSE)-50))</f>
        <v>653</v>
      </c>
      <c r="AB354" s="3">
        <v>667</v>
      </c>
      <c r="AC354" s="3">
        <f>IF(ISERROR((VLOOKUP($A354,'SegEnds_NonXtal_BW#'!$A:$Z,20,FALSE)+VLOOKUP($A354,A:AL,28,FALSE)-50)),"-",(VLOOKUP($A354,'SegEnds_NonXtal_BW#'!$A:$Z,20,FALSE)+VLOOKUP($A354,A:AL,28,FALSE)-50))</f>
        <v>678</v>
      </c>
      <c r="AD354" s="3">
        <f>IF(ISERROR(VLOOKUP($A354,'SegEnds_NonXtal_BW#'!$A:$Z,21,FALSE)+VLOOKUP($A354,A:AL,31,FALSE)-50),"-",(VLOOKUP($A354,'SegEnds_NonXtal_BW#'!$A:$Z,21,FALSE)+VLOOKUP($A354,A:AL,31,FALSE)-50))</f>
        <v>688</v>
      </c>
      <c r="AE354" s="3">
        <v>705</v>
      </c>
      <c r="AF354" s="3">
        <f>IF(ISERROR((VLOOKUP($A354,'SegEnds_NonXtal_BW#'!$A:$Z,22,FALSE)+VLOOKUP($A354,A:AL,31,FALSE)-50)),"-",(VLOOKUP($A354,'SegEnds_NonXtal_BW#'!$A:$Z,22,FALSE)+VLOOKUP($A354,A:AL,31,FALSE)-50))</f>
        <v>712</v>
      </c>
      <c r="AG354" s="3">
        <f>IF(ISERROR(VLOOKUP($A354,'SegEnds_NonXtal_BW#'!$A:$Z,23,FALSE)+VLOOKUP($A354,A:AL,34,FALSE)-50),"-",(VLOOKUP($A354,'SegEnds_NonXtal_BW#'!$A:$Z,23,FALSE)+VLOOKUP($A354,A:AL,34,FALSE)-50))</f>
        <v>719</v>
      </c>
      <c r="AH354" s="3">
        <v>736</v>
      </c>
      <c r="AI354" s="3">
        <f>IF(ISERROR((VLOOKUP($A354,'SegEnds_NonXtal_BW#'!$A:$Z,24,FALSE)+VLOOKUP($A354,A:AL,34,FALSE)-50)),"-",(VLOOKUP($A354,'SegEnds_NonXtal_BW#'!$A:$Z,24,FALSE)+VLOOKUP($A354,A:AL,34,FALSE)-50))</f>
        <v>750</v>
      </c>
      <c r="AJ354" s="3">
        <f>IF(ISERROR(VLOOKUP($A354,'SegEnds_NonXtal_BW#'!$A:$Z,25,FALSE)+VLOOKUP($A354,A:AL,37,FALSE)-50),"-",(VLOOKUP($A354,'SegEnds_NonXtal_BW#'!$A:$Z,25,FALSE)+VLOOKUP($A354,A:AL,37,FALSE)-50))</f>
        <v>751</v>
      </c>
      <c r="AK354" s="3">
        <v>755</v>
      </c>
      <c r="AL354" s="3">
        <f>IF(ISERROR((VLOOKUP($A354,'SegEnds_NonXtal_BW#'!$A:$Z,26,FALSE)+VLOOKUP($A354,A:AL,37,FALSE)-50)),"-",(VLOOKUP($A354,'SegEnds_NonXtal_BW#'!$A:$Z,26,FALSE)+VLOOKUP($A354,A:AL,37,FALSE)-50))</f>
        <v>762</v>
      </c>
      <c r="AM354" s="28" t="str">
        <f>VLOOKUP(A354,Classification!A:B,2,FALSE)</f>
        <v>C</v>
      </c>
      <c r="AN354" s="28" t="b">
        <f t="shared" si="220"/>
        <v>1</v>
      </c>
      <c r="AO354" s="3" t="str">
        <f>IF(ISERROR(MATCH(A354,'SegEnds_Xtal_Prot#'!B:B, 0)), "NoXtal", "Xtal")</f>
        <v>NoXtal</v>
      </c>
      <c r="AP354" s="3">
        <f t="shared" si="205"/>
        <v>3</v>
      </c>
      <c r="AQ354" s="3">
        <f t="shared" si="206"/>
        <v>1</v>
      </c>
      <c r="AR354" s="3" t="str">
        <f t="shared" si="207"/>
        <v>-</v>
      </c>
      <c r="AS354" s="3" t="str">
        <f t="shared" si="208"/>
        <v>-</v>
      </c>
      <c r="AT354" s="3" t="str">
        <f t="shared" si="209"/>
        <v>-</v>
      </c>
      <c r="AU354" s="3" t="str">
        <f t="shared" si="210"/>
        <v>-</v>
      </c>
      <c r="AV354" s="3">
        <f t="shared" si="211"/>
        <v>29</v>
      </c>
      <c r="AW354" s="3">
        <f t="shared" si="212"/>
        <v>3</v>
      </c>
      <c r="AX354" s="3">
        <f t="shared" si="213"/>
        <v>10</v>
      </c>
      <c r="AY354" s="3">
        <f t="shared" si="214"/>
        <v>7</v>
      </c>
      <c r="AZ354" s="3">
        <f t="shared" si="215"/>
        <v>1</v>
      </c>
      <c r="BA354" s="3">
        <f>IF(ISERROR(LEN(VLOOKUP(A354,Seqs!A:E,2,FALSE))-AL354),"-",LEN(VLOOKUP(A354,Seqs!A:E,2,FALSE))-AL354)</f>
        <v>179</v>
      </c>
      <c r="BB354" s="16">
        <f t="shared" si="216"/>
        <v>31</v>
      </c>
      <c r="BC354" s="9" t="str">
        <f t="shared" si="217"/>
        <v>-</v>
      </c>
      <c r="BD354" s="3">
        <f t="shared" si="218"/>
        <v>31</v>
      </c>
      <c r="BE354" s="3">
        <f t="shared" si="219"/>
        <v>38</v>
      </c>
    </row>
    <row r="355" spans="1:58" s="3" customFormat="1" x14ac:dyDescent="0.2">
      <c r="A355" s="3" t="s">
        <v>108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222"/>
        <v>77</v>
      </c>
      <c r="G355" s="3">
        <v>80</v>
      </c>
      <c r="H355" s="3">
        <f t="shared" si="223"/>
        <v>83</v>
      </c>
      <c r="I355" s="3">
        <f t="shared" si="224"/>
        <v>84</v>
      </c>
      <c r="J355" s="3">
        <v>95</v>
      </c>
      <c r="K355" s="3">
        <f>VLOOKUP($A355,'SegEnds_NonXtal_BW#'!$A:$Z,8,FALSE)+VLOOKUP($A355,A:AL,10,FALSE)-50</f>
        <v>106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117</v>
      </c>
      <c r="P355" s="3">
        <v>145</v>
      </c>
      <c r="Q355" s="3">
        <f>VLOOKUP($A355,'SegEnds_NonXtal_BW#'!$A:$Z,12,FALSE)+VLOOKUP($A355,A:AL,16,FALSE)-50</f>
        <v>149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161</v>
      </c>
      <c r="V355" s="3">
        <v>173</v>
      </c>
      <c r="W355" s="3">
        <f>IF(ISERROR(VLOOKUP($A355,'SegEnds_NonXtal_BW#'!$A:$Z,16,FALSE)+VLOOKUP($A355,A:AL,22,FALSE)-50),"-",(VLOOKUP($A355,'SegEnds_NonXtal_BW#'!$A:$Z,16,FALSE)+VLOOKUP($A355,A:AL,22,FALSE)-50))</f>
        <v>187</v>
      </c>
      <c r="X355" s="3">
        <f>IF(ISERROR(VLOOKUP($A355,'SegEnds_NonXtal_BW#'!$A:$Z,17,FALSE)+VLOOKUP($A355,A:AL,25,FALSE)-50),"-",(VLOOKUP($A355,'SegEnds_NonXtal_BW#'!$A:$Z,17,FALSE)+VLOOKUP($A355,A:AL,25,FALSE)-50))</f>
        <v>216</v>
      </c>
      <c r="Y355" s="105">
        <v>216</v>
      </c>
      <c r="Z355" s="3">
        <f>IF(ISERROR(VLOOKUP($A355,'SegEnds_NonXtal_BW#'!$A:$Z,18,FALSE)+VLOOKUP($A355,A:AL,25,FALSE)-50),"-",(VLOOKUP($A355,'SegEnds_NonXtal_BW#'!$A:$Z,18,FALSE)+VLOOKUP($A355,A:AL,25,FALSE)-50))</f>
        <v>218</v>
      </c>
      <c r="AA355" s="3">
        <f>IF(ISERROR(VLOOKUP($A355,'SegEnds_NonXtal_BW#'!$A:$Z,19,FALSE)+VLOOKUP($A355,A:AL,28,FALSE)-50),"-",(VLOOKUP($A355,'SegEnds_NonXtal_BW#'!$A:$Z,19,FALSE)+VLOOKUP($A355,A:AL,28,FALSE)-50))</f>
        <v>221</v>
      </c>
      <c r="AB355" s="3">
        <v>235</v>
      </c>
      <c r="AC355" s="3">
        <f>IF(ISERROR((VLOOKUP($A355,'SegEnds_NonXtal_BW#'!$A:$Z,20,FALSE)+VLOOKUP($A355,A:AL,28,FALSE)-50)),"-",(VLOOKUP($A355,'SegEnds_NonXtal_BW#'!$A:$Z,20,FALSE)+VLOOKUP($A355,A:AL,28,FALSE)-50))</f>
        <v>246</v>
      </c>
      <c r="AD355" s="3">
        <f>IF(ISERROR(VLOOKUP($A355,'SegEnds_NonXtal_BW#'!$A:$Z,21,FALSE)+VLOOKUP($A355,A:AL,31,FALSE)-50),"-",(VLOOKUP($A355,'SegEnds_NonXtal_BW#'!$A:$Z,21,FALSE)+VLOOKUP($A355,A:AL,31,FALSE)-50))</f>
        <v>257</v>
      </c>
      <c r="AE355" s="3">
        <v>274</v>
      </c>
      <c r="AF355" s="3">
        <f>IF(ISERROR((VLOOKUP($A355,'SegEnds_NonXtal_BW#'!$A:$Z,22,FALSE)+VLOOKUP($A355,A:AL,31,FALSE)-50)),"-",(VLOOKUP($A355,'SegEnds_NonXtal_BW#'!$A:$Z,22,FALSE)+VLOOKUP($A355,A:AL,31,FALSE)-50))</f>
        <v>281</v>
      </c>
      <c r="AG355" s="3">
        <f>IF(ISERROR(VLOOKUP($A355,'SegEnds_NonXtal_BW#'!$A:$Z,23,FALSE)+VLOOKUP($A355,A:AL,34,FALSE)-50),"-",(VLOOKUP($A355,'SegEnds_NonXtal_BW#'!$A:$Z,23,FALSE)+VLOOKUP($A355,A:AL,34,FALSE)-50))</f>
        <v>287</v>
      </c>
      <c r="AH355" s="3">
        <v>304</v>
      </c>
      <c r="AI355" s="3">
        <f>IF(ISERROR((VLOOKUP($A355,'SegEnds_NonXtal_BW#'!$A:$Z,24,FALSE)+VLOOKUP($A355,A:AL,34,FALSE)-50)),"-",(VLOOKUP($A355,'SegEnds_NonXtal_BW#'!$A:$Z,24,FALSE)+VLOOKUP($A355,A:AL,34,FALSE)-50))</f>
        <v>318</v>
      </c>
      <c r="AJ355" s="3">
        <f>IF(ISERROR(VLOOKUP($A355,'SegEnds_NonXtal_BW#'!$A:$Z,25,FALSE)+VLOOKUP($A355,A:AL,37,FALSE)-50),"-",(VLOOKUP($A355,'SegEnds_NonXtal_BW#'!$A:$Z,25,FALSE)+VLOOKUP($A355,A:AL,37,FALSE)-50))</f>
        <v>319</v>
      </c>
      <c r="AK355" s="3">
        <v>323</v>
      </c>
      <c r="AL355" s="3">
        <f>IF(ISERROR((VLOOKUP($A355,'SegEnds_NonXtal_BW#'!$A:$Z,26,FALSE)+VLOOKUP($A355,A:AL,37,FALSE)-50)),"-",(VLOOKUP($A355,'SegEnds_NonXtal_BW#'!$A:$Z,26,FALSE)+VLOOKUP($A355,A:AL,37,FALSE)-50))</f>
        <v>330</v>
      </c>
      <c r="AM355" s="28" t="str">
        <f>VLOOKUP(A355,Classification!A:B,2,FALSE)</f>
        <v>C</v>
      </c>
      <c r="AN355" s="28" t="b">
        <f t="shared" si="220"/>
        <v>1</v>
      </c>
      <c r="AO355" s="3" t="str">
        <f>IF(ISERROR(MATCH(A355,'SegEnds_Xtal_Prot#'!B:B, 0)), "NoXtal", "Xtal")</f>
        <v>NoXtal</v>
      </c>
      <c r="AP355" s="3">
        <f t="shared" si="205"/>
        <v>3</v>
      </c>
      <c r="AQ355" s="3">
        <f t="shared" si="206"/>
        <v>1</v>
      </c>
      <c r="AR355" s="3" t="str">
        <f t="shared" si="207"/>
        <v>-</v>
      </c>
      <c r="AS355" s="3" t="str">
        <f t="shared" si="208"/>
        <v>-</v>
      </c>
      <c r="AT355" s="3" t="str">
        <f t="shared" si="209"/>
        <v>-</v>
      </c>
      <c r="AU355" s="3" t="str">
        <f t="shared" si="210"/>
        <v>-</v>
      </c>
      <c r="AV355" s="3">
        <f t="shared" si="211"/>
        <v>29</v>
      </c>
      <c r="AW355" s="3">
        <f t="shared" si="212"/>
        <v>3</v>
      </c>
      <c r="AX355" s="3">
        <f t="shared" si="213"/>
        <v>11</v>
      </c>
      <c r="AY355" s="3">
        <f t="shared" si="214"/>
        <v>6</v>
      </c>
      <c r="AZ355" s="3">
        <f t="shared" si="215"/>
        <v>1</v>
      </c>
      <c r="BA355" s="3">
        <f>IF(ISERROR(LEN(VLOOKUP(A355,Seqs!A:E,2,FALSE))-AL355),"-",LEN(VLOOKUP(A355,Seqs!A:E,2,FALSE))-AL355)</f>
        <v>484</v>
      </c>
      <c r="BB355" s="16">
        <f t="shared" si="216"/>
        <v>31</v>
      </c>
      <c r="BC355" s="9" t="str">
        <f t="shared" si="217"/>
        <v>-</v>
      </c>
      <c r="BD355" s="3">
        <f t="shared" si="218"/>
        <v>31</v>
      </c>
      <c r="BE355" s="3">
        <f t="shared" si="219"/>
        <v>39</v>
      </c>
    </row>
    <row r="356" spans="1:58" s="3" customFormat="1" x14ac:dyDescent="0.2">
      <c r="A356" s="3" t="s">
        <v>109</v>
      </c>
      <c r="B356" s="3" t="str">
        <f>LOWER(VLOOKUP(A356,Xtal_Templ!A:B,2,FALSE))</f>
        <v>grm1_human</v>
      </c>
      <c r="C356" s="3">
        <f>VLOOKUP($A356,'SegEnds_NonXtal_BW#'!$A:$Z,3,FALSE)+D356-50</f>
        <v>415</v>
      </c>
      <c r="D356" s="3">
        <v>431</v>
      </c>
      <c r="E356" s="3">
        <f>IF(ISERROR(VLOOKUP($A356,'SegEnds_NonXtal_BW#'!$A:$Z,4,FALSE)+VLOOKUP($A356,A:AL,4,FALSE)-50),"-",(VLOOKUP($A356,'SegEnds_NonXtal_BW#'!$A:$Z,4,FALSE)+VLOOKUP($A356,A:AL,4,FALSE)-50))</f>
        <v>441</v>
      </c>
      <c r="F356" s="3">
        <f t="shared" si="222"/>
        <v>444</v>
      </c>
      <c r="G356" s="3">
        <v>447</v>
      </c>
      <c r="H356" s="3">
        <f t="shared" si="223"/>
        <v>450</v>
      </c>
      <c r="I356" s="3">
        <f t="shared" si="224"/>
        <v>451</v>
      </c>
      <c r="J356" s="3">
        <v>462</v>
      </c>
      <c r="K356" s="3">
        <f>VLOOKUP($A356,'SegEnds_NonXtal_BW#'!$A:$Z,8,FALSE)+VLOOKUP($A356,A:AL,10,FALSE)-50</f>
        <v>473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478</v>
      </c>
      <c r="P356" s="3">
        <v>506</v>
      </c>
      <c r="Q356" s="3">
        <f>VLOOKUP($A356,'SegEnds_NonXtal_BW#'!$A:$Z,12,FALSE)+VLOOKUP($A356,A:AL,16,FALSE)-50</f>
        <v>510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512</v>
      </c>
      <c r="V356" s="3">
        <v>524</v>
      </c>
      <c r="W356" s="3">
        <f>IF(ISERROR(VLOOKUP($A356,'SegEnds_NonXtal_BW#'!$A:$Z,16,FALSE)+VLOOKUP($A356,A:AL,22,FALSE)-50),"-",(VLOOKUP($A356,'SegEnds_NonXtal_BW#'!$A:$Z,16,FALSE)+VLOOKUP($A356,A:AL,22,FALSE)-50))</f>
        <v>538</v>
      </c>
      <c r="X356" s="3">
        <f>IF(ISERROR(VLOOKUP($A356,'SegEnds_NonXtal_BW#'!$A:$Z,17,FALSE)+VLOOKUP($A356,A:AL,25,FALSE)-50),"-",(VLOOKUP($A356,'SegEnds_NonXtal_BW#'!$A:$Z,17,FALSE)+VLOOKUP($A356,A:AL,25,FALSE)-50))</f>
        <v>573</v>
      </c>
      <c r="Y356" s="3">
        <v>573</v>
      </c>
      <c r="Z356" s="3">
        <f>Y356+2</f>
        <v>575</v>
      </c>
      <c r="AA356" s="105">
        <v>576</v>
      </c>
      <c r="AB356" s="3">
        <v>589</v>
      </c>
      <c r="AC356" s="3">
        <f>IF(ISERROR((VLOOKUP($A356,'SegEnds_NonXtal_BW#'!$A:$Z,20,FALSE)+VLOOKUP($A356,A:AL,28,FALSE)-50)),"-",(VLOOKUP($A356,'SegEnds_NonXtal_BW#'!$A:$Z,20,FALSE)+VLOOKUP($A356,A:AL,28,FALSE)-50))</f>
        <v>600</v>
      </c>
      <c r="AD356" s="3">
        <f>IF(ISERROR(VLOOKUP($A356,'SegEnds_NonXtal_BW#'!$A:$Z,21,FALSE)+VLOOKUP($A356,A:AL,31,FALSE)-50),"-",(VLOOKUP($A356,'SegEnds_NonXtal_BW#'!$A:$Z,21,FALSE)+VLOOKUP($A356,A:AL,31,FALSE)-50))</f>
        <v>609</v>
      </c>
      <c r="AE356" s="3">
        <v>626</v>
      </c>
      <c r="AF356" s="3">
        <f>IF(ISERROR((VLOOKUP($A356,'SegEnds_NonXtal_BW#'!$A:$Z,22,FALSE)+VLOOKUP($A356,A:AL,31,FALSE)-50)),"-",(VLOOKUP($A356,'SegEnds_NonXtal_BW#'!$A:$Z,22,FALSE)+VLOOKUP($A356,A:AL,31,FALSE)-50))</f>
        <v>633</v>
      </c>
      <c r="AG356" s="3">
        <f>IF(ISERROR(VLOOKUP($A356,'SegEnds_NonXtal_BW#'!$A:$Z,23,FALSE)+VLOOKUP($A356,A:AL,34,FALSE)-50),"-",(VLOOKUP($A356,'SegEnds_NonXtal_BW#'!$A:$Z,23,FALSE)+VLOOKUP($A356,A:AL,34,FALSE)-50))</f>
        <v>642</v>
      </c>
      <c r="AH356" s="3">
        <v>659</v>
      </c>
      <c r="AI356" s="3">
        <f>IF(ISERROR((VLOOKUP($A356,'SegEnds_NonXtal_BW#'!$A:$Z,24,FALSE)+VLOOKUP($A356,A:AL,34,FALSE)-50)),"-",(VLOOKUP($A356,'SegEnds_NonXtal_BW#'!$A:$Z,24,FALSE)+VLOOKUP($A356,A:AL,34,FALSE)-50))</f>
        <v>673</v>
      </c>
      <c r="AJ356" s="3">
        <f>IF(ISERROR(VLOOKUP($A356,'SegEnds_NonXtal_BW#'!$A:$Z,25,FALSE)+VLOOKUP($A356,A:AL,37,FALSE)-50),"-",(VLOOKUP($A356,'SegEnds_NonXtal_BW#'!$A:$Z,25,FALSE)+VLOOKUP($A356,A:AL,37,FALSE)-50))</f>
        <v>674</v>
      </c>
      <c r="AK356" s="3">
        <v>678</v>
      </c>
      <c r="AL356" s="3">
        <f>IF(ISERROR((VLOOKUP($A356,'SegEnds_NonXtal_BW#'!$A:$Z,26,FALSE)+VLOOKUP($A356,A:AL,37,FALSE)-50)),"-",(VLOOKUP($A356,'SegEnds_NonXtal_BW#'!$A:$Z,26,FALSE)+VLOOKUP($A356,A:AL,37,FALSE)-50))</f>
        <v>685</v>
      </c>
      <c r="AM356" s="28" t="str">
        <f>VLOOKUP(A356,Classification!A:B,2,FALSE)</f>
        <v>C</v>
      </c>
      <c r="AN356" s="28" t="b">
        <f t="shared" si="220"/>
        <v>1</v>
      </c>
      <c r="AO356" s="3" t="str">
        <f>IF(ISERROR(MATCH(A356,'SegEnds_Xtal_Prot#'!B:B, 0)), "NoXtal", "Xtal")</f>
        <v>NoXtal</v>
      </c>
      <c r="AP356" s="3">
        <f t="shared" si="205"/>
        <v>3</v>
      </c>
      <c r="AQ356" s="3">
        <f t="shared" si="206"/>
        <v>1</v>
      </c>
      <c r="AR356" s="3" t="str">
        <f t="shared" si="207"/>
        <v>-</v>
      </c>
      <c r="AS356" s="3" t="str">
        <f t="shared" si="208"/>
        <v>-</v>
      </c>
      <c r="AT356" s="3" t="str">
        <f t="shared" si="209"/>
        <v>-</v>
      </c>
      <c r="AU356" s="3" t="str">
        <f t="shared" si="210"/>
        <v>-</v>
      </c>
      <c r="AV356" s="3">
        <f t="shared" si="211"/>
        <v>35</v>
      </c>
      <c r="AW356" s="3">
        <f t="shared" si="212"/>
        <v>1</v>
      </c>
      <c r="AX356" s="3">
        <f t="shared" si="213"/>
        <v>9</v>
      </c>
      <c r="AY356" s="3">
        <f t="shared" si="214"/>
        <v>9</v>
      </c>
      <c r="AZ356" s="3">
        <f t="shared" si="215"/>
        <v>1</v>
      </c>
      <c r="BA356" s="3">
        <f>IF(ISERROR(LEN(VLOOKUP(A356,Seqs!A:E,2,FALSE))-AL356),"-",LEN(VLOOKUP(A356,Seqs!A:E,2,FALSE))-AL356)</f>
        <v>530</v>
      </c>
      <c r="BB356" s="16">
        <f t="shared" si="216"/>
        <v>31</v>
      </c>
      <c r="BC356" s="9" t="str">
        <f t="shared" si="217"/>
        <v>-</v>
      </c>
      <c r="BD356" s="3">
        <f t="shared" si="218"/>
        <v>31</v>
      </c>
      <c r="BE356" s="3">
        <f t="shared" si="219"/>
        <v>37</v>
      </c>
    </row>
    <row r="357" spans="1:58" s="3" customFormat="1" x14ac:dyDescent="0.2">
      <c r="A357" s="3" t="s">
        <v>110</v>
      </c>
      <c r="B357" s="3" t="str">
        <f>LOWER(VLOOKUP(A357,Xtal_Templ!A:B,2,FALSE))</f>
        <v>grm1_human</v>
      </c>
      <c r="C357" s="3">
        <f>VLOOKUP($A357,'SegEnds_NonXtal_BW#'!$A:$Z,3,FALSE)+D357-50</f>
        <v>379</v>
      </c>
      <c r="D357" s="3">
        <v>395</v>
      </c>
      <c r="E357" s="3">
        <f>IF(ISERROR(VLOOKUP($A357,'SegEnds_NonXtal_BW#'!$A:$Z,4,FALSE)+VLOOKUP($A357,A:AL,4,FALSE)-50),"-",(VLOOKUP($A357,'SegEnds_NonXtal_BW#'!$A:$Z,4,FALSE)+VLOOKUP($A357,A:AL,4,FALSE)-50))</f>
        <v>405</v>
      </c>
      <c r="F357" s="3">
        <f t="shared" si="222"/>
        <v>408</v>
      </c>
      <c r="G357" s="3">
        <v>411</v>
      </c>
      <c r="H357" s="3">
        <f t="shared" si="223"/>
        <v>414</v>
      </c>
      <c r="I357" s="3">
        <f t="shared" si="224"/>
        <v>415</v>
      </c>
      <c r="J357" s="3">
        <v>426</v>
      </c>
      <c r="K357" s="3">
        <f>VLOOKUP($A357,'SegEnds_NonXtal_BW#'!$A:$Z,8,FALSE)+VLOOKUP($A357,A:AL,10,FALSE)-50</f>
        <v>437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442</v>
      </c>
      <c r="P357" s="3">
        <v>470</v>
      </c>
      <c r="Q357" s="3">
        <f>VLOOKUP($A357,'SegEnds_NonXtal_BW#'!$A:$Z,12,FALSE)+VLOOKUP($A357,A:AL,16,FALSE)-50</f>
        <v>474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476</v>
      </c>
      <c r="V357" s="3">
        <v>488</v>
      </c>
      <c r="W357" s="3">
        <f>IF(ISERROR(VLOOKUP($A357,'SegEnds_NonXtal_BW#'!$A:$Z,16,FALSE)+VLOOKUP($A357,A:AL,22,FALSE)-50),"-",(VLOOKUP($A357,'SegEnds_NonXtal_BW#'!$A:$Z,16,FALSE)+VLOOKUP($A357,A:AL,22,FALSE)-50))</f>
        <v>502</v>
      </c>
      <c r="X357" s="3">
        <f>IF(ISERROR(VLOOKUP($A357,'SegEnds_NonXtal_BW#'!$A:$Z,17,FALSE)+VLOOKUP($A357,A:AL,25,FALSE)-50),"-",(VLOOKUP($A357,'SegEnds_NonXtal_BW#'!$A:$Z,17,FALSE)+VLOOKUP($A357,A:AL,25,FALSE)-50))</f>
        <v>537</v>
      </c>
      <c r="Y357" s="3">
        <v>537</v>
      </c>
      <c r="Z357" s="3">
        <f>Y357+2</f>
        <v>539</v>
      </c>
      <c r="AA357" s="105">
        <v>540</v>
      </c>
      <c r="AB357" s="3">
        <v>553</v>
      </c>
      <c r="AC357" s="3">
        <f>IF(ISERROR((VLOOKUP($A357,'SegEnds_NonXtal_BW#'!$A:$Z,20,FALSE)+VLOOKUP($A357,A:AL,28,FALSE)-50)),"-",(VLOOKUP($A357,'SegEnds_NonXtal_BW#'!$A:$Z,20,FALSE)+VLOOKUP($A357,A:AL,28,FALSE)-50))</f>
        <v>564</v>
      </c>
      <c r="AD357" s="3">
        <f>IF(ISERROR(VLOOKUP($A357,'SegEnds_NonXtal_BW#'!$A:$Z,21,FALSE)+VLOOKUP($A357,A:AL,31,FALSE)-50),"-",(VLOOKUP($A357,'SegEnds_NonXtal_BW#'!$A:$Z,21,FALSE)+VLOOKUP($A357,A:AL,31,FALSE)-50))</f>
        <v>573</v>
      </c>
      <c r="AE357" s="3">
        <v>590</v>
      </c>
      <c r="AF357" s="3">
        <f>IF(ISERROR((VLOOKUP($A357,'SegEnds_NonXtal_BW#'!$A:$Z,22,FALSE)+VLOOKUP($A357,A:AL,31,FALSE)-50)),"-",(VLOOKUP($A357,'SegEnds_NonXtal_BW#'!$A:$Z,22,FALSE)+VLOOKUP($A357,A:AL,31,FALSE)-50))</f>
        <v>597</v>
      </c>
      <c r="AG357" s="3">
        <f>IF(ISERROR(VLOOKUP($A357,'SegEnds_NonXtal_BW#'!$A:$Z,23,FALSE)+VLOOKUP($A357,A:AL,34,FALSE)-50),"-",(VLOOKUP($A357,'SegEnds_NonXtal_BW#'!$A:$Z,23,FALSE)+VLOOKUP($A357,A:AL,34,FALSE)-50))</f>
        <v>606</v>
      </c>
      <c r="AH357" s="3">
        <v>623</v>
      </c>
      <c r="AI357" s="3">
        <f>IF(ISERROR((VLOOKUP($A357,'SegEnds_NonXtal_BW#'!$A:$Z,24,FALSE)+VLOOKUP($A357,A:AL,34,FALSE)-50)),"-",(VLOOKUP($A357,'SegEnds_NonXtal_BW#'!$A:$Z,24,FALSE)+VLOOKUP($A357,A:AL,34,FALSE)-50))</f>
        <v>637</v>
      </c>
      <c r="AJ357" s="3">
        <f>IF(ISERROR(VLOOKUP($A357,'SegEnds_NonXtal_BW#'!$A:$Z,25,FALSE)+VLOOKUP($A357,A:AL,37,FALSE)-50),"-",(VLOOKUP($A357,'SegEnds_NonXtal_BW#'!$A:$Z,25,FALSE)+VLOOKUP($A357,A:AL,37,FALSE)-50))</f>
        <v>638</v>
      </c>
      <c r="AK357" s="3">
        <v>642</v>
      </c>
      <c r="AL357" s="3">
        <f>IF(ISERROR((VLOOKUP($A357,'SegEnds_NonXtal_BW#'!$A:$Z,26,FALSE)+VLOOKUP($A357,A:AL,37,FALSE)-50)),"-",(VLOOKUP($A357,'SegEnds_NonXtal_BW#'!$A:$Z,26,FALSE)+VLOOKUP($A357,A:AL,37,FALSE)-50))</f>
        <v>649</v>
      </c>
      <c r="AM357" s="28" t="str">
        <f>VLOOKUP(A357,Classification!A:B,2,FALSE)</f>
        <v>C</v>
      </c>
      <c r="AN357" s="28" t="b">
        <f t="shared" si="220"/>
        <v>1</v>
      </c>
      <c r="AO357" s="3" t="str">
        <f>IF(ISERROR(MATCH(A357,'SegEnds_Xtal_Prot#'!B:B, 0)), "NoXtal", "Xtal")</f>
        <v>NoXtal</v>
      </c>
      <c r="AP357" s="3">
        <f t="shared" si="205"/>
        <v>3</v>
      </c>
      <c r="AQ357" s="3">
        <f t="shared" si="206"/>
        <v>1</v>
      </c>
      <c r="AR357" s="3" t="str">
        <f t="shared" si="207"/>
        <v>-</v>
      </c>
      <c r="AS357" s="3" t="str">
        <f t="shared" si="208"/>
        <v>-</v>
      </c>
      <c r="AT357" s="3" t="str">
        <f t="shared" si="209"/>
        <v>-</v>
      </c>
      <c r="AU357" s="3" t="str">
        <f t="shared" si="210"/>
        <v>-</v>
      </c>
      <c r="AV357" s="3">
        <f t="shared" si="211"/>
        <v>35</v>
      </c>
      <c r="AW357" s="3">
        <f t="shared" si="212"/>
        <v>1</v>
      </c>
      <c r="AX357" s="3">
        <f t="shared" si="213"/>
        <v>9</v>
      </c>
      <c r="AY357" s="3">
        <f t="shared" si="214"/>
        <v>9</v>
      </c>
      <c r="AZ357" s="3">
        <f t="shared" si="215"/>
        <v>1</v>
      </c>
      <c r="BA357" s="3">
        <f>IF(ISERROR(LEN(VLOOKUP(A357,Seqs!A:E,2,FALSE))-AL357),"-",LEN(VLOOKUP(A357,Seqs!A:E,2,FALSE))-AL357)</f>
        <v>1718</v>
      </c>
      <c r="BB357" s="16">
        <f t="shared" si="216"/>
        <v>31</v>
      </c>
      <c r="BC357" s="9" t="str">
        <f t="shared" si="217"/>
        <v>-</v>
      </c>
      <c r="BD357" s="3">
        <f t="shared" si="218"/>
        <v>31</v>
      </c>
      <c r="BE357" s="3">
        <f t="shared" si="219"/>
        <v>37</v>
      </c>
    </row>
    <row r="358" spans="1:58" s="3" customFormat="1" x14ac:dyDescent="0.2">
      <c r="A358" s="3" t="s">
        <v>111</v>
      </c>
      <c r="B358" s="3" t="str">
        <f>LOWER(VLOOKUP(A358,Xtal_Templ!A:B,2,FALSE))</f>
        <v>grm1_human</v>
      </c>
      <c r="C358" s="3">
        <f>VLOOKUP($A358,'SegEnds_NonXtal_BW#'!$A:$Z,3,FALSE)+D358-50</f>
        <v>54</v>
      </c>
      <c r="D358" s="3">
        <v>70</v>
      </c>
      <c r="E358" s="3">
        <f>IF(ISERROR(VLOOKUP($A358,'SegEnds_NonXtal_BW#'!$A:$Z,4,FALSE)+VLOOKUP($A358,A:AL,4,FALSE)-50),"-",(VLOOKUP($A358,'SegEnds_NonXtal_BW#'!$A:$Z,4,FALSE)+VLOOKUP($A358,A:AL,4,FALSE)-50))</f>
        <v>80</v>
      </c>
      <c r="F358" s="3">
        <f t="shared" si="222"/>
        <v>81</v>
      </c>
      <c r="G358" s="3">
        <v>84</v>
      </c>
      <c r="H358" s="3">
        <f t="shared" si="223"/>
        <v>87</v>
      </c>
      <c r="I358" s="3">
        <f t="shared" si="224"/>
        <v>88</v>
      </c>
      <c r="J358" s="3">
        <v>103</v>
      </c>
      <c r="K358" s="3">
        <f>VLOOKUP($A358,'SegEnds_NonXtal_BW#'!$A:$Z,8,FALSE)+VLOOKUP($A358,A:AL,10,FALSE)-50</f>
        <v>114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119</v>
      </c>
      <c r="P358" s="3">
        <v>147</v>
      </c>
      <c r="Q358" s="3">
        <f>VLOOKUP($A358,'SegEnds_NonXtal_BW#'!$A:$Z,12,FALSE)+VLOOKUP($A358,A:AL,16,FALSE)-50</f>
        <v>151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158</v>
      </c>
      <c r="V358" s="3">
        <v>170</v>
      </c>
      <c r="W358" s="3">
        <f>IF(ISERROR(VLOOKUP($A358,'SegEnds_NonXtal_BW#'!$A:$Z,16,FALSE)+VLOOKUP($A358,A:AL,22,FALSE)-50),"-",(VLOOKUP($A358,'SegEnds_NonXtal_BW#'!$A:$Z,16,FALSE)+VLOOKUP($A358,A:AL,22,FALSE)-50))</f>
        <v>184</v>
      </c>
      <c r="X358" s="3">
        <f>IF(ISERROR(VLOOKUP($A358,'SegEnds_NonXtal_BW#'!$A:$Z,17,FALSE)+VLOOKUP($A358,A:AL,25,FALSE)-50),"-",(VLOOKUP($A358,'SegEnds_NonXtal_BW#'!$A:$Z,17,FALSE)+VLOOKUP($A358,A:AL,25,FALSE)-50))</f>
        <v>193</v>
      </c>
      <c r="Y358" s="3">
        <v>193</v>
      </c>
      <c r="Z358" s="3">
        <f>Y358+2</f>
        <v>195</v>
      </c>
      <c r="AA358" s="3">
        <f>IF(ISERROR(VLOOKUP($A358,'SegEnds_NonXtal_BW#'!$A:$Z,19,FALSE)+VLOOKUP($A358,A:AL,28,FALSE)-50),"-",(VLOOKUP($A358,'SegEnds_NonXtal_BW#'!$A:$Z,19,FALSE)+VLOOKUP($A358,A:AL,28,FALSE)-50))</f>
        <v>196</v>
      </c>
      <c r="AB358" s="3">
        <v>210</v>
      </c>
      <c r="AC358" s="3">
        <f>IF(ISERROR((VLOOKUP($A358,'SegEnds_NonXtal_BW#'!$A:$Z,20,FALSE)+VLOOKUP($A358,A:AL,28,FALSE)-50)),"-",(VLOOKUP($A358,'SegEnds_NonXtal_BW#'!$A:$Z,20,FALSE)+VLOOKUP($A358,A:AL,28,FALSE)-50))</f>
        <v>221</v>
      </c>
      <c r="AD358" s="3">
        <f>IF(ISERROR(VLOOKUP($A358,'SegEnds_NonXtal_BW#'!$A:$Z,21,FALSE)+VLOOKUP($A358,A:AL,31,FALSE)-50),"-",(VLOOKUP($A358,'SegEnds_NonXtal_BW#'!$A:$Z,21,FALSE)+VLOOKUP($A358,A:AL,31,FALSE)-50))</f>
        <v>232</v>
      </c>
      <c r="AE358" s="3">
        <v>249</v>
      </c>
      <c r="AF358" s="3">
        <f>IF(ISERROR((VLOOKUP($A358,'SegEnds_NonXtal_BW#'!$A:$Z,22,FALSE)+VLOOKUP($A358,A:AL,31,FALSE)-50)),"-",(VLOOKUP($A358,'SegEnds_NonXtal_BW#'!$A:$Z,22,FALSE)+VLOOKUP($A358,A:AL,31,FALSE)-50))</f>
        <v>256</v>
      </c>
      <c r="AG358" s="3">
        <f>IF(ISERROR(VLOOKUP($A358,'SegEnds_NonXtal_BW#'!$A:$Z,23,FALSE)+VLOOKUP($A358,A:AL,34,FALSE)-50),"-",(VLOOKUP($A358,'SegEnds_NonXtal_BW#'!$A:$Z,23,FALSE)+VLOOKUP($A358,A:AL,34,FALSE)-50))</f>
        <v>267</v>
      </c>
      <c r="AH358" s="3">
        <v>284</v>
      </c>
      <c r="AI358" s="3">
        <f>IF(ISERROR((VLOOKUP($A358,'SegEnds_NonXtal_BW#'!$A:$Z,24,FALSE)+VLOOKUP($A358,A:AL,34,FALSE)-50)),"-",(VLOOKUP($A358,'SegEnds_NonXtal_BW#'!$A:$Z,24,FALSE)+VLOOKUP($A358,A:AL,34,FALSE)-50))</f>
        <v>298</v>
      </c>
      <c r="AJ358" s="3">
        <f>IF(ISERROR(VLOOKUP($A358,'SegEnds_NonXtal_BW#'!$A:$Z,25,FALSE)+VLOOKUP($A358,A:AL,37,FALSE)-50),"-",(VLOOKUP($A358,'SegEnds_NonXtal_BW#'!$A:$Z,25,FALSE)+VLOOKUP($A358,A:AL,37,FALSE)-50))</f>
        <v>300</v>
      </c>
      <c r="AK358" s="3">
        <v>304</v>
      </c>
      <c r="AL358" s="3">
        <f>IF(ISERROR((VLOOKUP($A358,'SegEnds_NonXtal_BW#'!$A:$Z,26,FALSE)+VLOOKUP($A358,A:AL,37,FALSE)-50)),"-",(VLOOKUP($A358,'SegEnds_NonXtal_BW#'!$A:$Z,26,FALSE)+VLOOKUP($A358,A:AL,37,FALSE)-50))</f>
        <v>311</v>
      </c>
      <c r="AM358" s="28" t="str">
        <f>VLOOKUP(A358,Classification!A:B,2,FALSE)</f>
        <v>C</v>
      </c>
      <c r="AN358" s="28" t="b">
        <f t="shared" si="220"/>
        <v>1</v>
      </c>
      <c r="AO358" s="3" t="str">
        <f>IF(ISERROR(MATCH(A358,'SegEnds_Xtal_Prot#'!B:B, 0)), "NoXtal", "Xtal")</f>
        <v>NoXtal</v>
      </c>
      <c r="AP358" s="3">
        <f t="shared" si="205"/>
        <v>1</v>
      </c>
      <c r="AQ358" s="3">
        <f t="shared" si="206"/>
        <v>1</v>
      </c>
      <c r="AR358" s="3" t="str">
        <f t="shared" si="207"/>
        <v>-</v>
      </c>
      <c r="AS358" s="3" t="str">
        <f t="shared" si="208"/>
        <v>-</v>
      </c>
      <c r="AT358" s="3" t="str">
        <f t="shared" si="209"/>
        <v>-</v>
      </c>
      <c r="AU358" s="3" t="str">
        <f t="shared" si="210"/>
        <v>-</v>
      </c>
      <c r="AV358" s="3">
        <f t="shared" si="211"/>
        <v>9</v>
      </c>
      <c r="AW358" s="3">
        <f t="shared" si="212"/>
        <v>1</v>
      </c>
      <c r="AX358" s="3">
        <f t="shared" si="213"/>
        <v>11</v>
      </c>
      <c r="AY358" s="3">
        <f t="shared" si="214"/>
        <v>11</v>
      </c>
      <c r="AZ358" s="3">
        <f t="shared" si="215"/>
        <v>2</v>
      </c>
      <c r="BA358" s="3">
        <f>IF(ISERROR(LEN(VLOOKUP(A358,Seqs!A:E,2,FALSE))-AL358),"-",LEN(VLOOKUP(A358,Seqs!A:E,2,FALSE))-AL358)</f>
        <v>92</v>
      </c>
      <c r="BB358" s="16">
        <f t="shared" si="216"/>
        <v>33</v>
      </c>
      <c r="BC358" s="9" t="str">
        <f t="shared" si="217"/>
        <v>-</v>
      </c>
      <c r="BD358" s="3">
        <f t="shared" si="218"/>
        <v>33</v>
      </c>
      <c r="BE358" s="3">
        <f t="shared" si="219"/>
        <v>39</v>
      </c>
    </row>
    <row r="359" spans="1:58" s="3" customFormat="1" x14ac:dyDescent="0.2">
      <c r="A359" s="3" t="s">
        <v>112</v>
      </c>
      <c r="B359" s="3" t="str">
        <f>LOWER(VLOOKUP(A359,Xtal_Templ!A:B,2,FALSE))</f>
        <v>grm1_human</v>
      </c>
      <c r="C359" s="3">
        <f>VLOOKUP($A359,'SegEnds_NonXtal_BW#'!$A:$Z,3,FALSE)+D359-50</f>
        <v>48</v>
      </c>
      <c r="D359" s="3">
        <v>64</v>
      </c>
      <c r="E359" s="3">
        <f>IF(ISERROR(VLOOKUP($A359,'SegEnds_NonXtal_BW#'!$A:$Z,4,FALSE)+VLOOKUP($A359,A:AL,4,FALSE)-50),"-",(VLOOKUP($A359,'SegEnds_NonXtal_BW#'!$A:$Z,4,FALSE)+VLOOKUP($A359,A:AL,4,FALSE)-50))</f>
        <v>74</v>
      </c>
      <c r="F359" s="3">
        <f t="shared" si="222"/>
        <v>75</v>
      </c>
      <c r="G359" s="3">
        <v>78</v>
      </c>
      <c r="H359" s="3">
        <f t="shared" si="223"/>
        <v>81</v>
      </c>
      <c r="I359" s="3">
        <f t="shared" si="224"/>
        <v>82</v>
      </c>
      <c r="J359" s="3">
        <v>97</v>
      </c>
      <c r="K359" s="3">
        <f>VLOOKUP($A359,'SegEnds_NonXtal_BW#'!$A:$Z,8,FALSE)+VLOOKUP($A359,A:AL,10,FALSE)-50</f>
        <v>108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113</v>
      </c>
      <c r="P359" s="3">
        <v>141</v>
      </c>
      <c r="Q359" s="3">
        <f>VLOOKUP($A359,'SegEnds_NonXtal_BW#'!$A:$Z,12,FALSE)+VLOOKUP($A359,A:AL,16,FALSE)-50</f>
        <v>145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152</v>
      </c>
      <c r="V359" s="3">
        <v>164</v>
      </c>
      <c r="W359" s="3">
        <f>IF(ISERROR(VLOOKUP($A359,'SegEnds_NonXtal_BW#'!$A:$Z,16,FALSE)+VLOOKUP($A359,A:AL,22,FALSE)-50),"-",(VLOOKUP($A359,'SegEnds_NonXtal_BW#'!$A:$Z,16,FALSE)+VLOOKUP($A359,A:AL,22,FALSE)-50))</f>
        <v>178</v>
      </c>
      <c r="X359" s="3">
        <f>IF(ISERROR(VLOOKUP($A359,'SegEnds_NonXtal_BW#'!$A:$Z,17,FALSE)+VLOOKUP($A359,A:AL,25,FALSE)-50),"-",(VLOOKUP($A359,'SegEnds_NonXtal_BW#'!$A:$Z,17,FALSE)+VLOOKUP($A359,A:AL,25,FALSE)-50))</f>
        <v>202</v>
      </c>
      <c r="Y359" s="3">
        <v>202</v>
      </c>
      <c r="Z359" s="3">
        <f>Y359+2</f>
        <v>204</v>
      </c>
      <c r="AA359" s="3">
        <f>IF(ISERROR(VLOOKUP($A359,'SegEnds_NonXtal_BW#'!$A:$Z,19,FALSE)+VLOOKUP($A359,A:AL,28,FALSE)-50),"-",(VLOOKUP($A359,'SegEnds_NonXtal_BW#'!$A:$Z,19,FALSE)+VLOOKUP($A359,A:AL,28,FALSE)-50))</f>
        <v>205</v>
      </c>
      <c r="AB359" s="3">
        <v>219</v>
      </c>
      <c r="AC359" s="3">
        <f>IF(ISERROR((VLOOKUP($A359,'SegEnds_NonXtal_BW#'!$A:$Z,20,FALSE)+VLOOKUP($A359,A:AL,28,FALSE)-50)),"-",(VLOOKUP($A359,'SegEnds_NonXtal_BW#'!$A:$Z,20,FALSE)+VLOOKUP($A359,A:AL,28,FALSE)-50))</f>
        <v>230</v>
      </c>
      <c r="AD359" s="3">
        <f>IF(ISERROR(VLOOKUP($A359,'SegEnds_NonXtal_BW#'!$A:$Z,21,FALSE)+VLOOKUP($A359,A:AL,31,FALSE)-50),"-",(VLOOKUP($A359,'SegEnds_NonXtal_BW#'!$A:$Z,21,FALSE)+VLOOKUP($A359,A:AL,31,FALSE)-50))</f>
        <v>241</v>
      </c>
      <c r="AE359" s="3">
        <v>258</v>
      </c>
      <c r="AF359" s="3">
        <f>IF(ISERROR((VLOOKUP($A359,'SegEnds_NonXtal_BW#'!$A:$Z,22,FALSE)+VLOOKUP($A359,A:AL,31,FALSE)-50)),"-",(VLOOKUP($A359,'SegEnds_NonXtal_BW#'!$A:$Z,22,FALSE)+VLOOKUP($A359,A:AL,31,FALSE)-50))</f>
        <v>265</v>
      </c>
      <c r="AG359" s="3">
        <f>IF(ISERROR(VLOOKUP($A359,'SegEnds_NonXtal_BW#'!$A:$Z,23,FALSE)+VLOOKUP($A359,A:AL,34,FALSE)-50),"-",(VLOOKUP($A359,'SegEnds_NonXtal_BW#'!$A:$Z,23,FALSE)+VLOOKUP($A359,A:AL,34,FALSE)-50))</f>
        <v>275</v>
      </c>
      <c r="AH359" s="3">
        <v>292</v>
      </c>
      <c r="AI359" s="3">
        <f>IF(ISERROR((VLOOKUP($A359,'SegEnds_NonXtal_BW#'!$A:$Z,24,FALSE)+VLOOKUP($A359,A:AL,34,FALSE)-50)),"-",(VLOOKUP($A359,'SegEnds_NonXtal_BW#'!$A:$Z,24,FALSE)+VLOOKUP($A359,A:AL,34,FALSE)-50))</f>
        <v>306</v>
      </c>
      <c r="AJ359" s="3">
        <f>IF(ISERROR(VLOOKUP($A359,'SegEnds_NonXtal_BW#'!$A:$Z,25,FALSE)+VLOOKUP($A359,A:AL,37,FALSE)-50),"-",(VLOOKUP($A359,'SegEnds_NonXtal_BW#'!$A:$Z,25,FALSE)+VLOOKUP($A359,A:AL,37,FALSE)-50))</f>
        <v>308</v>
      </c>
      <c r="AK359" s="3">
        <v>312</v>
      </c>
      <c r="AL359" s="3">
        <v>319</v>
      </c>
      <c r="AM359" s="28" t="str">
        <f>VLOOKUP(A359,Classification!A:B,2,FALSE)</f>
        <v>C</v>
      </c>
      <c r="AN359" s="28" t="b">
        <f t="shared" si="220"/>
        <v>1</v>
      </c>
      <c r="AO359" s="3" t="str">
        <f>IF(ISERROR(MATCH(A359,'SegEnds_Xtal_Prot#'!B:B, 0)), "NoXtal", "Xtal")</f>
        <v>NoXtal</v>
      </c>
      <c r="AP359" s="3">
        <f t="shared" si="205"/>
        <v>1</v>
      </c>
      <c r="AQ359" s="3">
        <f t="shared" si="206"/>
        <v>1</v>
      </c>
      <c r="AR359" s="3" t="str">
        <f t="shared" si="207"/>
        <v>-</v>
      </c>
      <c r="AS359" s="3" t="str">
        <f t="shared" si="208"/>
        <v>-</v>
      </c>
      <c r="AT359" s="3" t="str">
        <f t="shared" si="209"/>
        <v>-</v>
      </c>
      <c r="AU359" s="3" t="str">
        <f t="shared" si="210"/>
        <v>-</v>
      </c>
      <c r="AV359" s="3">
        <f t="shared" si="211"/>
        <v>24</v>
      </c>
      <c r="AW359" s="3">
        <f t="shared" si="212"/>
        <v>1</v>
      </c>
      <c r="AX359" s="3">
        <f t="shared" si="213"/>
        <v>11</v>
      </c>
      <c r="AY359" s="3">
        <f t="shared" si="214"/>
        <v>10</v>
      </c>
      <c r="AZ359" s="3">
        <f t="shared" si="215"/>
        <v>2</v>
      </c>
      <c r="BA359" s="3">
        <f>IF(ISERROR(LEN(VLOOKUP(A359,Seqs!A:E,2,FALSE))-AL359),"-",LEN(VLOOKUP(A359,Seqs!A:E,2,FALSE))-AL359)</f>
        <v>122</v>
      </c>
      <c r="BB359" s="16">
        <f t="shared" si="216"/>
        <v>33</v>
      </c>
      <c r="BC359" s="9" t="str">
        <f t="shared" si="217"/>
        <v>-</v>
      </c>
      <c r="BD359" s="3">
        <f t="shared" si="218"/>
        <v>33</v>
      </c>
      <c r="BE359" s="3">
        <f t="shared" si="219"/>
        <v>39</v>
      </c>
    </row>
    <row r="360" spans="1:58" s="3" customFormat="1" x14ac:dyDescent="0.2">
      <c r="A360" s="3" t="s">
        <v>113</v>
      </c>
      <c r="B360" s="3" t="str">
        <f>LOWER(VLOOKUP(A360,Xtal_Templ!A:B,2,FALSE))</f>
        <v>grm1_human</v>
      </c>
      <c r="C360" s="3">
        <f>VLOOKUP($A360,'SegEnds_NonXtal_BW#'!$A:$Z,3,FALSE)+D360-50</f>
        <v>21</v>
      </c>
      <c r="D360" s="3">
        <v>37</v>
      </c>
      <c r="E360" s="3">
        <f>IF(ISERROR(VLOOKUP($A360,'SegEnds_NonXtal_BW#'!$A:$Z,4,FALSE)+VLOOKUP($A360,A:AL,4,FALSE)-50),"-",(VLOOKUP($A360,'SegEnds_NonXtal_BW#'!$A:$Z,4,FALSE)+VLOOKUP($A360,A:AL,4,FALSE)-50))</f>
        <v>47</v>
      </c>
      <c r="F360" s="3">
        <f t="shared" si="222"/>
        <v>48</v>
      </c>
      <c r="G360" s="3">
        <v>51</v>
      </c>
      <c r="H360" s="3">
        <f t="shared" si="223"/>
        <v>54</v>
      </c>
      <c r="I360" s="3">
        <f t="shared" si="224"/>
        <v>55</v>
      </c>
      <c r="J360" s="3">
        <v>70</v>
      </c>
      <c r="K360" s="3">
        <f>VLOOKUP($A360,'SegEnds_NonXtal_BW#'!$A:$Z,8,FALSE)+VLOOKUP($A360,A:AL,10,FALSE)-50</f>
        <v>81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86</v>
      </c>
      <c r="P360" s="3">
        <v>114</v>
      </c>
      <c r="Q360" s="3">
        <f>VLOOKUP($A360,'SegEnds_NonXtal_BW#'!$A:$Z,12,FALSE)+VLOOKUP($A360,A:AL,16,FALSE)-50</f>
        <v>118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125</v>
      </c>
      <c r="V360" s="3">
        <v>137</v>
      </c>
      <c r="W360" s="3">
        <f>IF(ISERROR(VLOOKUP($A360,'SegEnds_NonXtal_BW#'!$A:$Z,16,FALSE)+VLOOKUP($A360,A:AL,22,FALSE)-50),"-",(VLOOKUP($A360,'SegEnds_NonXtal_BW#'!$A:$Z,16,FALSE)+VLOOKUP($A360,A:AL,22,FALSE)-50))</f>
        <v>151</v>
      </c>
      <c r="X360" s="3">
        <f>IF(ISERROR(VLOOKUP($A360,'SegEnds_NonXtal_BW#'!$A:$Z,17,FALSE)+VLOOKUP($A360,A:AL,25,FALSE)-50),"-",(VLOOKUP($A360,'SegEnds_NonXtal_BW#'!$A:$Z,17,FALSE)+VLOOKUP($A360,A:AL,25,FALSE)-50))</f>
        <v>164</v>
      </c>
      <c r="Y360" s="105">
        <v>164</v>
      </c>
      <c r="Z360" s="3">
        <f>IF(ISERROR(VLOOKUP($A360,'SegEnds_NonXtal_BW#'!$A:$Z,18,FALSE)+VLOOKUP($A360,A:AL,25,FALSE)-50),"-",(VLOOKUP($A360,'SegEnds_NonXtal_BW#'!$A:$Z,18,FALSE)+VLOOKUP($A360,A:AL,25,FALSE)-50))</f>
        <v>166</v>
      </c>
      <c r="AA360" s="105">
        <v>167</v>
      </c>
      <c r="AB360" s="3">
        <v>180</v>
      </c>
      <c r="AC360" s="3">
        <f>IF(ISERROR((VLOOKUP($A360,'SegEnds_NonXtal_BW#'!$A:$Z,20,FALSE)+VLOOKUP($A360,A:AL,28,FALSE)-50)),"-",(VLOOKUP($A360,'SegEnds_NonXtal_BW#'!$A:$Z,20,FALSE)+VLOOKUP($A360,A:AL,28,FALSE)-50))</f>
        <v>191</v>
      </c>
      <c r="AD360" s="3">
        <f>IF(ISERROR(VLOOKUP($A360,'SegEnds_NonXtal_BW#'!$A:$Z,21,FALSE)+VLOOKUP($A360,A:AL,31,FALSE)-50),"-",(VLOOKUP($A360,'SegEnds_NonXtal_BW#'!$A:$Z,21,FALSE)+VLOOKUP($A360,A:AL,31,FALSE)-50))</f>
        <v>202</v>
      </c>
      <c r="AE360" s="3">
        <v>219</v>
      </c>
      <c r="AF360" s="3">
        <f>IF(ISERROR((VLOOKUP($A360,'SegEnds_NonXtal_BW#'!$A:$Z,22,FALSE)+VLOOKUP($A360,A:AL,31,FALSE)-50)),"-",(VLOOKUP($A360,'SegEnds_NonXtal_BW#'!$A:$Z,22,FALSE)+VLOOKUP($A360,A:AL,31,FALSE)-50))</f>
        <v>226</v>
      </c>
      <c r="AG360" s="3">
        <f>IF(ISERROR(VLOOKUP($A360,'SegEnds_NonXtal_BW#'!$A:$Z,23,FALSE)+VLOOKUP($A360,A:AL,34,FALSE)-50),"-",(VLOOKUP($A360,'SegEnds_NonXtal_BW#'!$A:$Z,23,FALSE)+VLOOKUP($A360,A:AL,34,FALSE)-50))</f>
        <v>237</v>
      </c>
      <c r="AH360" s="3">
        <v>254</v>
      </c>
      <c r="AI360" s="3">
        <f>IF(ISERROR((VLOOKUP($A360,'SegEnds_NonXtal_BW#'!$A:$Z,24,FALSE)+VLOOKUP($A360,A:AL,34,FALSE)-50)),"-",(VLOOKUP($A360,'SegEnds_NonXtal_BW#'!$A:$Z,24,FALSE)+VLOOKUP($A360,A:AL,34,FALSE)-50))</f>
        <v>268</v>
      </c>
      <c r="AJ360" s="3">
        <f>IF(ISERROR(VLOOKUP($A360,'SegEnds_NonXtal_BW#'!$A:$Z,25,FALSE)+VLOOKUP($A360,A:AL,37,FALSE)-50),"-",(VLOOKUP($A360,'SegEnds_NonXtal_BW#'!$A:$Z,25,FALSE)+VLOOKUP($A360,A:AL,37,FALSE)-50))</f>
        <v>271</v>
      </c>
      <c r="AK360" s="3">
        <v>275</v>
      </c>
      <c r="AL360" s="3">
        <v>281</v>
      </c>
      <c r="AM360" s="28" t="str">
        <f>VLOOKUP(A360,Classification!A:B,2,FALSE)</f>
        <v>C</v>
      </c>
      <c r="AN360" s="28" t="b">
        <f t="shared" si="220"/>
        <v>1</v>
      </c>
      <c r="AO360" s="3" t="str">
        <f>IF(ISERROR(MATCH(A360,'SegEnds_Xtal_Prot#'!B:B, 0)), "NoXtal", "Xtal")</f>
        <v>NoXtal</v>
      </c>
      <c r="AP360" s="3">
        <f t="shared" si="205"/>
        <v>1</v>
      </c>
      <c r="AQ360" s="3">
        <f t="shared" si="206"/>
        <v>1</v>
      </c>
      <c r="AR360" s="3" t="str">
        <f t="shared" si="207"/>
        <v>-</v>
      </c>
      <c r="AS360" s="3" t="str">
        <f t="shared" si="208"/>
        <v>-</v>
      </c>
      <c r="AT360" s="3" t="str">
        <f t="shared" si="209"/>
        <v>-</v>
      </c>
      <c r="AU360" s="3" t="str">
        <f t="shared" si="210"/>
        <v>-</v>
      </c>
      <c r="AV360" s="3">
        <f t="shared" si="211"/>
        <v>13</v>
      </c>
      <c r="AW360" s="3">
        <f t="shared" si="212"/>
        <v>1</v>
      </c>
      <c r="AX360" s="3">
        <f t="shared" si="213"/>
        <v>11</v>
      </c>
      <c r="AY360" s="3">
        <f t="shared" si="214"/>
        <v>11</v>
      </c>
      <c r="AZ360" s="3">
        <f t="shared" si="215"/>
        <v>3</v>
      </c>
      <c r="BA360" s="3">
        <f>IF(ISERROR(LEN(VLOOKUP(A360,Seqs!A:E,2,FALSE))-AL360),"-",LEN(VLOOKUP(A360,Seqs!A:E,2,FALSE))-AL360)</f>
        <v>64</v>
      </c>
      <c r="BB360" s="16">
        <f t="shared" si="216"/>
        <v>33</v>
      </c>
      <c r="BC360" s="9" t="str">
        <f t="shared" si="217"/>
        <v>-</v>
      </c>
      <c r="BD360" s="3">
        <f t="shared" si="218"/>
        <v>33</v>
      </c>
      <c r="BE360" s="3">
        <f t="shared" si="219"/>
        <v>39</v>
      </c>
    </row>
    <row r="361" spans="1:58" s="3" customFormat="1" x14ac:dyDescent="0.2">
      <c r="A361" s="3" t="s">
        <v>114</v>
      </c>
      <c r="B361" s="3" t="str">
        <f>LOWER(VLOOKUP(A361,Xtal_Templ!A:B,2,FALSE))</f>
        <v>grm1_human</v>
      </c>
      <c r="C361" s="3">
        <f>VLOOKUP($A361,'SegEnds_NonXtal_BW#'!$A:$Z,3,FALSE)+D361-50</f>
        <v>592</v>
      </c>
      <c r="D361" s="3">
        <v>608</v>
      </c>
      <c r="E361" s="3">
        <f>IF(ISERROR(VLOOKUP($A361,'SegEnds_NonXtal_BW#'!$A:$Z,4,FALSE)+VLOOKUP($A361,A:AL,4,FALSE)-50),"-",(VLOOKUP($A361,'SegEnds_NonXtal_BW#'!$A:$Z,4,FALSE)+VLOOKUP($A361,A:AL,4,FALSE)-50))</f>
        <v>618</v>
      </c>
      <c r="F361" s="3">
        <f t="shared" si="222"/>
        <v>621</v>
      </c>
      <c r="G361" s="3">
        <v>624</v>
      </c>
      <c r="H361" s="3">
        <f t="shared" si="223"/>
        <v>627</v>
      </c>
      <c r="I361" s="3">
        <f t="shared" si="224"/>
        <v>628</v>
      </c>
      <c r="J361" s="3">
        <v>640</v>
      </c>
      <c r="K361" s="3">
        <f>VLOOKUP($A361,'SegEnds_NonXtal_BW#'!$A:$Z,8,FALSE)+VLOOKUP($A361,A:AL,10,FALSE)-50</f>
        <v>651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656</v>
      </c>
      <c r="P361" s="3">
        <v>684</v>
      </c>
      <c r="Q361" s="3">
        <f>VLOOKUP($A361,'SegEnds_NonXtal_BW#'!$A:$Z,12,FALSE)+VLOOKUP($A361,A:AL,16,FALSE)-50</f>
        <v>688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700</v>
      </c>
      <c r="V361" s="3">
        <v>712</v>
      </c>
      <c r="W361" s="3">
        <f>IF(ISERROR(VLOOKUP($A361,'SegEnds_NonXtal_BW#'!$A:$Z,16,FALSE)+VLOOKUP($A361,A:AL,22,FALSE)-50),"-",(VLOOKUP($A361,'SegEnds_NonXtal_BW#'!$A:$Z,16,FALSE)+VLOOKUP($A361,A:AL,22,FALSE)-50))</f>
        <v>726</v>
      </c>
      <c r="X361" s="3">
        <f>IF(ISERROR(VLOOKUP($A361,'SegEnds_NonXtal_BW#'!$A:$Z,17,FALSE)+VLOOKUP($A361,A:AL,25,FALSE)-50),"-",(VLOOKUP($A361,'SegEnds_NonXtal_BW#'!$A:$Z,17,FALSE)+VLOOKUP($A361,A:AL,25,FALSE)-50))</f>
        <v>744</v>
      </c>
      <c r="Y361" s="3">
        <v>744</v>
      </c>
      <c r="Z361" s="3">
        <f t="shared" ref="Z361:Z369" si="225">Y361+2</f>
        <v>746</v>
      </c>
      <c r="AA361" s="3">
        <f>IF(ISERROR(VLOOKUP($A361,'SegEnds_NonXtal_BW#'!$A:$Z,19,FALSE)+VLOOKUP($A361,A:AL,28,FALSE)-50),"-",(VLOOKUP($A361,'SegEnds_NonXtal_BW#'!$A:$Z,19,FALSE)+VLOOKUP($A361,A:AL,28,FALSE)-50))</f>
        <v>748</v>
      </c>
      <c r="AB361" s="3">
        <v>762</v>
      </c>
      <c r="AC361" s="3">
        <f>IF(ISERROR((VLOOKUP($A361,'SegEnds_NonXtal_BW#'!$A:$Z,20,FALSE)+VLOOKUP($A361,A:AL,28,FALSE)-50)),"-",(VLOOKUP($A361,'SegEnds_NonXtal_BW#'!$A:$Z,20,FALSE)+VLOOKUP($A361,A:AL,28,FALSE)-50))</f>
        <v>773</v>
      </c>
      <c r="AD361" s="3">
        <f>IF(ISERROR(VLOOKUP($A361,'SegEnds_NonXtal_BW#'!$A:$Z,21,FALSE)+VLOOKUP($A361,A:AL,31,FALSE)-50),"-",(VLOOKUP($A361,'SegEnds_NonXtal_BW#'!$A:$Z,21,FALSE)+VLOOKUP($A361,A:AL,31,FALSE)-50))</f>
        <v>780</v>
      </c>
      <c r="AE361" s="3">
        <v>797</v>
      </c>
      <c r="AF361" s="3">
        <f>IF(ISERROR((VLOOKUP($A361,'SegEnds_NonXtal_BW#'!$A:$Z,22,FALSE)+VLOOKUP($A361,A:AL,31,FALSE)-50)),"-",(VLOOKUP($A361,'SegEnds_NonXtal_BW#'!$A:$Z,22,FALSE)+VLOOKUP($A361,A:AL,31,FALSE)-50))</f>
        <v>804</v>
      </c>
      <c r="AG361" s="3">
        <f>IF(ISERROR(VLOOKUP($A361,'SegEnds_NonXtal_BW#'!$A:$Z,23,FALSE)+VLOOKUP($A361,A:AL,34,FALSE)-50),"-",(VLOOKUP($A361,'SegEnds_NonXtal_BW#'!$A:$Z,23,FALSE)+VLOOKUP($A361,A:AL,34,FALSE)-50))</f>
        <v>809</v>
      </c>
      <c r="AH361" s="3">
        <v>826</v>
      </c>
      <c r="AI361" s="3">
        <f>IF(ISERROR((VLOOKUP($A361,'SegEnds_NonXtal_BW#'!$A:$Z,24,FALSE)+VLOOKUP($A361,A:AL,34,FALSE)-50)),"-",(VLOOKUP($A361,'SegEnds_NonXtal_BW#'!$A:$Z,24,FALSE)+VLOOKUP($A361,A:AL,34,FALSE)-50))</f>
        <v>840</v>
      </c>
      <c r="AJ361" s="3">
        <f>IF(ISERROR(VLOOKUP($A361,'SegEnds_NonXtal_BW#'!$A:$Z,25,FALSE)+VLOOKUP($A361,A:AL,37,FALSE)-50),"-",(VLOOKUP($A361,'SegEnds_NonXtal_BW#'!$A:$Z,25,FALSE)+VLOOKUP($A361,A:AL,37,FALSE)-50))</f>
        <v>841</v>
      </c>
      <c r="AK361" s="3">
        <v>845</v>
      </c>
      <c r="AL361" s="3">
        <f>IF(ISERROR((VLOOKUP($A361,'SegEnds_NonXtal_BW#'!$A:$Z,26,FALSE)+VLOOKUP($A361,A:AL,37,FALSE)-50)),"-",(VLOOKUP($A361,'SegEnds_NonXtal_BW#'!$A:$Z,26,FALSE)+VLOOKUP($A361,A:AL,37,FALSE)-50))</f>
        <v>852</v>
      </c>
      <c r="AM361" s="28" t="str">
        <f>VLOOKUP(A361,Classification!A:B,2,FALSE)</f>
        <v>C</v>
      </c>
      <c r="AN361" s="28" t="b">
        <f t="shared" si="220"/>
        <v>1</v>
      </c>
      <c r="AO361" s="3" t="str">
        <f>IF(ISERROR(MATCH(A361,'SegEnds_Xtal_Prot#'!B:B, 0)), "NoXtal", "Xtal")</f>
        <v>NoXtal</v>
      </c>
      <c r="AP361" s="3">
        <f t="shared" si="205"/>
        <v>3</v>
      </c>
      <c r="AQ361" s="3">
        <f t="shared" si="206"/>
        <v>1</v>
      </c>
      <c r="AR361" s="3" t="str">
        <f t="shared" si="207"/>
        <v>-</v>
      </c>
      <c r="AS361" s="3" t="str">
        <f t="shared" si="208"/>
        <v>-</v>
      </c>
      <c r="AT361" s="3" t="str">
        <f t="shared" si="209"/>
        <v>-</v>
      </c>
      <c r="AU361" s="3" t="str">
        <f t="shared" si="210"/>
        <v>-</v>
      </c>
      <c r="AV361" s="3">
        <f t="shared" si="211"/>
        <v>18</v>
      </c>
      <c r="AW361" s="3">
        <f t="shared" si="212"/>
        <v>2</v>
      </c>
      <c r="AX361" s="3">
        <f t="shared" si="213"/>
        <v>7</v>
      </c>
      <c r="AY361" s="3">
        <f t="shared" si="214"/>
        <v>5</v>
      </c>
      <c r="AZ361" s="3">
        <f t="shared" si="215"/>
        <v>1</v>
      </c>
      <c r="BA361" s="3">
        <f>IF(ISERROR(LEN(VLOOKUP(A361,Seqs!A:E,2,FALSE))-AL361),"-",LEN(VLOOKUP(A361,Seqs!A:E,2,FALSE))-AL361)</f>
        <v>74</v>
      </c>
      <c r="BB361" s="16">
        <f t="shared" si="216"/>
        <v>32</v>
      </c>
      <c r="BC361" s="9" t="str">
        <f t="shared" si="217"/>
        <v>-</v>
      </c>
      <c r="BD361" s="3">
        <f t="shared" si="218"/>
        <v>32</v>
      </c>
      <c r="BE361" s="3">
        <f t="shared" si="219"/>
        <v>35</v>
      </c>
    </row>
    <row r="362" spans="1:58" s="3" customFormat="1" x14ac:dyDescent="0.2">
      <c r="A362" s="3" t="s">
        <v>40</v>
      </c>
      <c r="B362" s="3" t="str">
        <f>LOWER(VLOOKUP(A362,Xtal_Templ!A:B,2,FALSE))</f>
        <v>grm1_human</v>
      </c>
      <c r="C362" s="3">
        <f>VLOOKUP($A362,'SegEnds_NonXtal_BW#'!$A:$Z,3,FALSE)+D362-50</f>
        <v>591</v>
      </c>
      <c r="D362" s="3">
        <v>607</v>
      </c>
      <c r="E362" s="3">
        <f>IF(ISERROR(VLOOKUP($A362,'SegEnds_NonXtal_BW#'!$A:$Z,4,FALSE)+VLOOKUP($A362,A:AL,4,FALSE)-50),"-",(VLOOKUP($A362,'SegEnds_NonXtal_BW#'!$A:$Z,4,FALSE)+VLOOKUP($A362,A:AL,4,FALSE)-50))</f>
        <v>617</v>
      </c>
      <c r="F362" s="3">
        <f t="shared" si="222"/>
        <v>620</v>
      </c>
      <c r="G362" s="3">
        <v>623</v>
      </c>
      <c r="H362" s="3">
        <f t="shared" si="223"/>
        <v>626</v>
      </c>
      <c r="I362" s="3">
        <f t="shared" si="224"/>
        <v>627</v>
      </c>
      <c r="J362" s="3">
        <v>638</v>
      </c>
      <c r="K362" s="3">
        <f>VLOOKUP($A362,'SegEnds_NonXtal_BW#'!$A:$Z,8,FALSE)+VLOOKUP($A362,A:AL,10,FALSE)-50</f>
        <v>649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654</v>
      </c>
      <c r="P362" s="3">
        <v>682</v>
      </c>
      <c r="Q362" s="3">
        <f>VLOOKUP($A362,'SegEnds_NonXtal_BW#'!$A:$Z,12,FALSE)+VLOOKUP($A362,A:AL,16,FALSE)-50</f>
        <v>686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702</v>
      </c>
      <c r="V362" s="3">
        <v>714</v>
      </c>
      <c r="W362" s="3">
        <f>IF(ISERROR(VLOOKUP($A362,'SegEnds_NonXtal_BW#'!$A:$Z,16,FALSE)+VLOOKUP($A362,A:AL,22,FALSE)-50),"-",(VLOOKUP($A362,'SegEnds_NonXtal_BW#'!$A:$Z,16,FALSE)+VLOOKUP($A362,A:AL,22,FALSE)-50))</f>
        <v>728</v>
      </c>
      <c r="X362" s="3">
        <f>IF(ISERROR(VLOOKUP($A362,'SegEnds_NonXtal_BW#'!$A:$Z,17,FALSE)+VLOOKUP($A362,A:AL,25,FALSE)-50),"-",(VLOOKUP($A362,'SegEnds_NonXtal_BW#'!$A:$Z,17,FALSE)+VLOOKUP($A362,A:AL,25,FALSE)-50))</f>
        <v>746</v>
      </c>
      <c r="Y362" s="3">
        <v>746</v>
      </c>
      <c r="Z362" s="3">
        <f t="shared" si="225"/>
        <v>748</v>
      </c>
      <c r="AA362" s="3">
        <f>IF(ISERROR(VLOOKUP($A362,'SegEnds_NonXtal_BW#'!$A:$Z,19,FALSE)+VLOOKUP($A362,A:AL,28,FALSE)-50),"-",(VLOOKUP($A362,'SegEnds_NonXtal_BW#'!$A:$Z,19,FALSE)+VLOOKUP($A362,A:AL,28,FALSE)-50))</f>
        <v>749</v>
      </c>
      <c r="AB362" s="3">
        <v>763</v>
      </c>
      <c r="AC362" s="3">
        <f>IF(ISERROR((VLOOKUP($A362,'SegEnds_NonXtal_BW#'!$A:$Z,20,FALSE)+VLOOKUP($A362,A:AL,28,FALSE)-50)),"-",(VLOOKUP($A362,'SegEnds_NonXtal_BW#'!$A:$Z,20,FALSE)+VLOOKUP($A362,A:AL,28,FALSE)-50))</f>
        <v>774</v>
      </c>
      <c r="AD362" s="3">
        <f>IF(ISERROR(VLOOKUP($A362,'SegEnds_NonXtal_BW#'!$A:$Z,21,FALSE)+VLOOKUP($A362,A:AL,31,FALSE)-50),"-",(VLOOKUP($A362,'SegEnds_NonXtal_BW#'!$A:$Z,21,FALSE)+VLOOKUP($A362,A:AL,31,FALSE)-50))</f>
        <v>783</v>
      </c>
      <c r="AE362" s="3">
        <v>800</v>
      </c>
      <c r="AF362" s="3">
        <f>IF(ISERROR((VLOOKUP($A362,'SegEnds_NonXtal_BW#'!$A:$Z,22,FALSE)+VLOOKUP($A362,A:AL,31,FALSE)-50)),"-",(VLOOKUP($A362,'SegEnds_NonXtal_BW#'!$A:$Z,22,FALSE)+VLOOKUP($A362,A:AL,31,FALSE)-50))</f>
        <v>807</v>
      </c>
      <c r="AG362" s="3">
        <f>IF(ISERROR(VLOOKUP($A362,'SegEnds_NonXtal_BW#'!$A:$Z,23,FALSE)+VLOOKUP($A362,A:AL,34,FALSE)-50),"-",(VLOOKUP($A362,'SegEnds_NonXtal_BW#'!$A:$Z,23,FALSE)+VLOOKUP($A362,A:AL,34,FALSE)-50))</f>
        <v>810</v>
      </c>
      <c r="AH362" s="3">
        <v>827</v>
      </c>
      <c r="AI362" s="3">
        <f>IF(ISERROR((VLOOKUP($A362,'SegEnds_NonXtal_BW#'!$A:$Z,24,FALSE)+VLOOKUP($A362,A:AL,34,FALSE)-50)),"-",(VLOOKUP($A362,'SegEnds_NonXtal_BW#'!$A:$Z,24,FALSE)+VLOOKUP($A362,A:AL,34,FALSE)-50))</f>
        <v>841</v>
      </c>
      <c r="AJ362" s="3">
        <f>IF(ISERROR(VLOOKUP($A362,'SegEnds_NonXtal_BW#'!$A:$Z,25,FALSE)+VLOOKUP($A362,A:AL,37,FALSE)-50),"-",(VLOOKUP($A362,'SegEnds_NonXtal_BW#'!$A:$Z,25,FALSE)+VLOOKUP($A362,A:AL,37,FALSE)-50))</f>
        <v>842</v>
      </c>
      <c r="AK362" s="3">
        <v>846</v>
      </c>
      <c r="AL362" s="3">
        <f>IF(ISERROR((VLOOKUP($A362,'SegEnds_NonXtal_BW#'!$A:$Z,26,FALSE)+VLOOKUP($A362,A:AL,37,FALSE)-50)),"-",(VLOOKUP($A362,'SegEnds_NonXtal_BW#'!$A:$Z,26,FALSE)+VLOOKUP($A362,A:AL,37,FALSE)-50))</f>
        <v>853</v>
      </c>
      <c r="AM362" s="28" t="str">
        <f>VLOOKUP(A362,Classification!A:B,2,FALSE)</f>
        <v>C</v>
      </c>
      <c r="AN362" s="28" t="b">
        <f t="shared" si="220"/>
        <v>1</v>
      </c>
      <c r="AO362" s="3" t="str">
        <f>IF(ISERROR(MATCH(A362,'SegEnds_Xtal_Prot#'!B:B, 0)), "NoXtal", "Xtal")</f>
        <v>Xtal</v>
      </c>
      <c r="AP362" s="3">
        <f t="shared" si="205"/>
        <v>3</v>
      </c>
      <c r="AQ362" s="3">
        <f t="shared" si="206"/>
        <v>1</v>
      </c>
      <c r="AR362" s="3" t="str">
        <f t="shared" si="207"/>
        <v>-</v>
      </c>
      <c r="AS362" s="3" t="str">
        <f t="shared" si="208"/>
        <v>-</v>
      </c>
      <c r="AT362" s="3" t="str">
        <f t="shared" si="209"/>
        <v>-</v>
      </c>
      <c r="AU362" s="3" t="str">
        <f t="shared" si="210"/>
        <v>-</v>
      </c>
      <c r="AV362" s="3">
        <f t="shared" si="211"/>
        <v>18</v>
      </c>
      <c r="AW362" s="3">
        <f t="shared" si="212"/>
        <v>1</v>
      </c>
      <c r="AX362" s="3">
        <f t="shared" si="213"/>
        <v>9</v>
      </c>
      <c r="AY362" s="3">
        <f t="shared" si="214"/>
        <v>3</v>
      </c>
      <c r="AZ362" s="3">
        <f t="shared" si="215"/>
        <v>1</v>
      </c>
      <c r="BA362" s="3">
        <f>IF(ISERROR(LEN(VLOOKUP(A362,Seqs!A:E,2,FALSE))-AL362),"-",LEN(VLOOKUP(A362,Seqs!A:E,2,FALSE))-AL362)</f>
        <v>341</v>
      </c>
      <c r="BB362" s="16">
        <f t="shared" si="216"/>
        <v>31</v>
      </c>
      <c r="BC362" s="9" t="str">
        <f t="shared" si="217"/>
        <v>-</v>
      </c>
      <c r="BD362" s="3">
        <f t="shared" si="218"/>
        <v>31</v>
      </c>
      <c r="BE362" s="3">
        <f t="shared" si="219"/>
        <v>37</v>
      </c>
    </row>
    <row r="363" spans="1:58" s="3" customFormat="1" x14ac:dyDescent="0.2">
      <c r="A363" s="3" t="s">
        <v>115</v>
      </c>
      <c r="B363" s="3" t="str">
        <f>LOWER(VLOOKUP(A363,Xtal_Templ!A:B,2,FALSE))</f>
        <v>grm1_human</v>
      </c>
      <c r="C363" s="3">
        <f>VLOOKUP($A363,'SegEnds_NonXtal_BW#'!$A:$Z,3,FALSE)+D363-50</f>
        <v>566</v>
      </c>
      <c r="D363" s="3">
        <v>582</v>
      </c>
      <c r="E363" s="3">
        <f>IF(ISERROR(VLOOKUP($A363,'SegEnds_NonXtal_BW#'!$A:$Z,4,FALSE)+VLOOKUP($A363,A:AL,4,FALSE)-50),"-",(VLOOKUP($A363,'SegEnds_NonXtal_BW#'!$A:$Z,4,FALSE)+VLOOKUP($A363,A:AL,4,FALSE)-50))</f>
        <v>592</v>
      </c>
      <c r="F363" s="3">
        <f t="shared" si="222"/>
        <v>595</v>
      </c>
      <c r="G363" s="3">
        <v>598</v>
      </c>
      <c r="H363" s="3">
        <f t="shared" si="223"/>
        <v>601</v>
      </c>
      <c r="I363" s="3">
        <f t="shared" si="224"/>
        <v>602</v>
      </c>
      <c r="J363" s="3">
        <v>613</v>
      </c>
      <c r="K363" s="3">
        <f>VLOOKUP($A363,'SegEnds_NonXtal_BW#'!$A:$Z,8,FALSE)+VLOOKUP($A363,A:AL,10,FALSE)-50</f>
        <v>624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629</v>
      </c>
      <c r="P363" s="3">
        <v>657</v>
      </c>
      <c r="Q363" s="3">
        <f>VLOOKUP($A363,'SegEnds_NonXtal_BW#'!$A:$Z,12,FALSE)+VLOOKUP($A363,A:AL,16,FALSE)-50</f>
        <v>661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675</v>
      </c>
      <c r="V363" s="3">
        <v>687</v>
      </c>
      <c r="W363" s="3">
        <f>IF(ISERROR(VLOOKUP($A363,'SegEnds_NonXtal_BW#'!$A:$Z,16,FALSE)+VLOOKUP($A363,A:AL,22,FALSE)-50),"-",(VLOOKUP($A363,'SegEnds_NonXtal_BW#'!$A:$Z,16,FALSE)+VLOOKUP($A363,A:AL,22,FALSE)-50))</f>
        <v>701</v>
      </c>
      <c r="X363" s="3">
        <f>IF(ISERROR(VLOOKUP($A363,'SegEnds_NonXtal_BW#'!$A:$Z,17,FALSE)+VLOOKUP($A363,A:AL,25,FALSE)-50),"-",(VLOOKUP($A363,'SegEnds_NonXtal_BW#'!$A:$Z,17,FALSE)+VLOOKUP($A363,A:AL,25,FALSE)-50))</f>
        <v>721</v>
      </c>
      <c r="Y363" s="3">
        <v>721</v>
      </c>
      <c r="Z363" s="3">
        <f t="shared" si="225"/>
        <v>723</v>
      </c>
      <c r="AA363" s="3">
        <f>IF(ISERROR(VLOOKUP($A363,'SegEnds_NonXtal_BW#'!$A:$Z,19,FALSE)+VLOOKUP($A363,A:AL,28,FALSE)-50),"-",(VLOOKUP($A363,'SegEnds_NonXtal_BW#'!$A:$Z,19,FALSE)+VLOOKUP($A363,A:AL,28,FALSE)-50))</f>
        <v>724</v>
      </c>
      <c r="AB363" s="3">
        <v>738</v>
      </c>
      <c r="AC363" s="3">
        <f>IF(ISERROR((VLOOKUP($A363,'SegEnds_NonXtal_BW#'!$A:$Z,20,FALSE)+VLOOKUP($A363,A:AL,28,FALSE)-50)),"-",(VLOOKUP($A363,'SegEnds_NonXtal_BW#'!$A:$Z,20,FALSE)+VLOOKUP($A363,A:AL,28,FALSE)-50))</f>
        <v>749</v>
      </c>
      <c r="AD363" s="3">
        <f>IF(ISERROR(VLOOKUP($A363,'SegEnds_NonXtal_BW#'!$A:$Z,21,FALSE)+VLOOKUP($A363,A:AL,31,FALSE)-50),"-",(VLOOKUP($A363,'SegEnds_NonXtal_BW#'!$A:$Z,21,FALSE)+VLOOKUP($A363,A:AL,31,FALSE)-50))</f>
        <v>758</v>
      </c>
      <c r="AE363" s="3">
        <v>775</v>
      </c>
      <c r="AF363" s="3">
        <f>IF(ISERROR((VLOOKUP($A363,'SegEnds_NonXtal_BW#'!$A:$Z,22,FALSE)+VLOOKUP($A363,A:AL,31,FALSE)-50)),"-",(VLOOKUP($A363,'SegEnds_NonXtal_BW#'!$A:$Z,22,FALSE)+VLOOKUP($A363,A:AL,31,FALSE)-50))</f>
        <v>782</v>
      </c>
      <c r="AG363" s="3">
        <f>IF(ISERROR(VLOOKUP($A363,'SegEnds_NonXtal_BW#'!$A:$Z,23,FALSE)+VLOOKUP($A363,A:AL,34,FALSE)-50),"-",(VLOOKUP($A363,'SegEnds_NonXtal_BW#'!$A:$Z,23,FALSE)+VLOOKUP($A363,A:AL,34,FALSE)-50))</f>
        <v>789</v>
      </c>
      <c r="AH363" s="3">
        <v>806</v>
      </c>
      <c r="AI363" s="3">
        <f>IF(ISERROR((VLOOKUP($A363,'SegEnds_NonXtal_BW#'!$A:$Z,24,FALSE)+VLOOKUP($A363,A:AL,34,FALSE)-50)),"-",(VLOOKUP($A363,'SegEnds_NonXtal_BW#'!$A:$Z,24,FALSE)+VLOOKUP($A363,A:AL,34,FALSE)-50))</f>
        <v>820</v>
      </c>
      <c r="AJ363" s="3">
        <f>IF(ISERROR(VLOOKUP($A363,'SegEnds_NonXtal_BW#'!$A:$Z,25,FALSE)+VLOOKUP($A363,A:AL,37,FALSE)-50),"-",(VLOOKUP($A363,'SegEnds_NonXtal_BW#'!$A:$Z,25,FALSE)+VLOOKUP($A363,A:AL,37,FALSE)-50))</f>
        <v>821</v>
      </c>
      <c r="AK363" s="3">
        <v>825</v>
      </c>
      <c r="AL363" s="3">
        <f>IF(ISERROR((VLOOKUP($A363,'SegEnds_NonXtal_BW#'!$A:$Z,26,FALSE)+VLOOKUP($A363,A:AL,37,FALSE)-50)),"-",(VLOOKUP($A363,'SegEnds_NonXtal_BW#'!$A:$Z,26,FALSE)+VLOOKUP($A363,A:AL,37,FALSE)-50))</f>
        <v>832</v>
      </c>
      <c r="AM363" s="28" t="str">
        <f>VLOOKUP(A363,Classification!A:B,2,FALSE)</f>
        <v>C</v>
      </c>
      <c r="AN363" s="28" t="b">
        <f t="shared" si="220"/>
        <v>1</v>
      </c>
      <c r="AO363" s="3" t="str">
        <f>IF(ISERROR(MATCH(A363,'SegEnds_Xtal_Prot#'!B:B, 0)), "NoXtal", "Xtal")</f>
        <v>NoXtal</v>
      </c>
      <c r="AP363" s="3">
        <f t="shared" si="205"/>
        <v>3</v>
      </c>
      <c r="AQ363" s="3">
        <f t="shared" si="206"/>
        <v>1</v>
      </c>
      <c r="AR363" s="3" t="str">
        <f t="shared" si="207"/>
        <v>-</v>
      </c>
      <c r="AS363" s="3" t="str">
        <f t="shared" si="208"/>
        <v>-</v>
      </c>
      <c r="AT363" s="3" t="str">
        <f t="shared" si="209"/>
        <v>-</v>
      </c>
      <c r="AU363" s="3" t="str">
        <f t="shared" si="210"/>
        <v>-</v>
      </c>
      <c r="AV363" s="3">
        <f t="shared" si="211"/>
        <v>20</v>
      </c>
      <c r="AW363" s="3">
        <f t="shared" si="212"/>
        <v>1</v>
      </c>
      <c r="AX363" s="3">
        <f t="shared" si="213"/>
        <v>9</v>
      </c>
      <c r="AY363" s="3">
        <f t="shared" si="214"/>
        <v>7</v>
      </c>
      <c r="AZ363" s="3">
        <f t="shared" si="215"/>
        <v>1</v>
      </c>
      <c r="BA363" s="3">
        <f>IF(ISERROR(LEN(VLOOKUP(A363,Seqs!A:E,2,FALSE))-AL363),"-",LEN(VLOOKUP(A363,Seqs!A:E,2,FALSE))-AL363)</f>
        <v>40</v>
      </c>
      <c r="BB363" s="16">
        <f t="shared" si="216"/>
        <v>31</v>
      </c>
      <c r="BC363" s="9" t="str">
        <f t="shared" si="217"/>
        <v>-</v>
      </c>
      <c r="BD363" s="3">
        <f t="shared" si="218"/>
        <v>31</v>
      </c>
      <c r="BE363" s="3">
        <f t="shared" si="219"/>
        <v>37</v>
      </c>
    </row>
    <row r="364" spans="1:58" s="3" customFormat="1" x14ac:dyDescent="0.2">
      <c r="A364" s="3" t="s">
        <v>116</v>
      </c>
      <c r="B364" s="3" t="str">
        <f>LOWER(VLOOKUP(A364,Xtal_Templ!A:B,2,FALSE))</f>
        <v>grm5_human</v>
      </c>
      <c r="C364" s="3">
        <f>VLOOKUP($A364,'SegEnds_NonXtal_BW#'!$A:$Z,3,FALSE)+D364-50</f>
        <v>575</v>
      </c>
      <c r="D364" s="3">
        <v>591</v>
      </c>
      <c r="E364" s="3">
        <f>IF(ISERROR(VLOOKUP($A364,'SegEnds_NonXtal_BW#'!$A:$Z,4,FALSE)+VLOOKUP($A364,A:AL,4,FALSE)-50),"-",(VLOOKUP($A364,'SegEnds_NonXtal_BW#'!$A:$Z,4,FALSE)+VLOOKUP($A364,A:AL,4,FALSE)-50))</f>
        <v>601</v>
      </c>
      <c r="F364" s="3">
        <f t="shared" si="222"/>
        <v>604</v>
      </c>
      <c r="G364" s="3">
        <v>607</v>
      </c>
      <c r="H364" s="3">
        <f t="shared" si="223"/>
        <v>610</v>
      </c>
      <c r="I364" s="3">
        <f t="shared" si="224"/>
        <v>611</v>
      </c>
      <c r="J364" s="3">
        <v>622</v>
      </c>
      <c r="K364" s="3">
        <f>VLOOKUP($A364,'SegEnds_NonXtal_BW#'!$A:$Z,8,FALSE)+VLOOKUP($A364,A:AL,10,FALSE)-50</f>
        <v>633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637</v>
      </c>
      <c r="P364" s="3">
        <v>666</v>
      </c>
      <c r="Q364" s="3">
        <f>VLOOKUP($A364,'SegEnds_NonXtal_BW#'!$A:$Z,12,FALSE)+VLOOKUP($A364,A:AL,16,FALSE)-50</f>
        <v>670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684</v>
      </c>
      <c r="V364" s="3">
        <v>696</v>
      </c>
      <c r="W364" s="3">
        <f>IF(ISERROR(VLOOKUP($A364,'SegEnds_NonXtal_BW#'!$A:$Z,16,FALSE)+VLOOKUP($A364,A:AL,22,FALSE)-50),"-",(VLOOKUP($A364,'SegEnds_NonXtal_BW#'!$A:$Z,16,FALSE)+VLOOKUP($A364,A:AL,22,FALSE)-50))</f>
        <v>710</v>
      </c>
      <c r="X364" s="3">
        <f>IF(ISERROR(VLOOKUP($A364,'SegEnds_NonXtal_BW#'!$A:$Z,17,FALSE)+VLOOKUP($A364,A:AL,25,FALSE)-50),"-",(VLOOKUP($A364,'SegEnds_NonXtal_BW#'!$A:$Z,17,FALSE)+VLOOKUP($A364,A:AL,25,FALSE)-50))</f>
        <v>730</v>
      </c>
      <c r="Y364" s="3">
        <v>730</v>
      </c>
      <c r="Z364" s="3">
        <f t="shared" si="225"/>
        <v>732</v>
      </c>
      <c r="AA364" s="3">
        <f>IF(ISERROR(VLOOKUP($A364,'SegEnds_NonXtal_BW#'!$A:$Z,19,FALSE)+VLOOKUP($A364,A:AL,28,FALSE)-50),"-",(VLOOKUP($A364,'SegEnds_NonXtal_BW#'!$A:$Z,19,FALSE)+VLOOKUP($A364,A:AL,28,FALSE)-50))</f>
        <v>733</v>
      </c>
      <c r="AB364" s="3">
        <v>747</v>
      </c>
      <c r="AC364" s="3">
        <f>IF(ISERROR((VLOOKUP($A364,'SegEnds_NonXtal_BW#'!$A:$Z,20,FALSE)+VLOOKUP($A364,A:AL,28,FALSE)-50)),"-",(VLOOKUP($A364,'SegEnds_NonXtal_BW#'!$A:$Z,20,FALSE)+VLOOKUP($A364,A:AL,28,FALSE)-50))</f>
        <v>758</v>
      </c>
      <c r="AD364" s="3">
        <f>IF(ISERROR(VLOOKUP($A364,'SegEnds_NonXtal_BW#'!$A:$Z,21,FALSE)+VLOOKUP($A364,A:AL,31,FALSE)-50),"-",(VLOOKUP($A364,'SegEnds_NonXtal_BW#'!$A:$Z,21,FALSE)+VLOOKUP($A364,A:AL,31,FALSE)-50))</f>
        <v>767</v>
      </c>
      <c r="AE364" s="3">
        <v>784</v>
      </c>
      <c r="AF364" s="3">
        <f>IF(ISERROR((VLOOKUP($A364,'SegEnds_NonXtal_BW#'!$A:$Z,22,FALSE)+VLOOKUP($A364,A:AL,31,FALSE)-50)),"-",(VLOOKUP($A364,'SegEnds_NonXtal_BW#'!$A:$Z,22,FALSE)+VLOOKUP($A364,A:AL,31,FALSE)-50))</f>
        <v>791</v>
      </c>
      <c r="AG364" s="3">
        <f>IF(ISERROR(VLOOKUP($A364,'SegEnds_NonXtal_BW#'!$A:$Z,23,FALSE)+VLOOKUP($A364,A:AL,34,FALSE)-50),"-",(VLOOKUP($A364,'SegEnds_NonXtal_BW#'!$A:$Z,23,FALSE)+VLOOKUP($A364,A:AL,34,FALSE)-50))</f>
        <v>798</v>
      </c>
      <c r="AH364" s="3">
        <v>815</v>
      </c>
      <c r="AI364" s="3">
        <f>IF(ISERROR((VLOOKUP($A364,'SegEnds_NonXtal_BW#'!$A:$Z,24,FALSE)+VLOOKUP($A364,A:AL,34,FALSE)-50)),"-",(VLOOKUP($A364,'SegEnds_NonXtal_BW#'!$A:$Z,24,FALSE)+VLOOKUP($A364,A:AL,34,FALSE)-50))</f>
        <v>829</v>
      </c>
      <c r="AJ364" s="3">
        <f>IF(ISERROR(VLOOKUP($A364,'SegEnds_NonXtal_BW#'!$A:$Z,25,FALSE)+VLOOKUP($A364,A:AL,37,FALSE)-50),"-",(VLOOKUP($A364,'SegEnds_NonXtal_BW#'!$A:$Z,25,FALSE)+VLOOKUP($A364,A:AL,37,FALSE)-50))</f>
        <v>830</v>
      </c>
      <c r="AK364" s="3">
        <v>834</v>
      </c>
      <c r="AL364" s="3">
        <f>IF(ISERROR((VLOOKUP($A364,'SegEnds_NonXtal_BW#'!$A:$Z,26,FALSE)+VLOOKUP($A364,A:AL,37,FALSE)-50)),"-",(VLOOKUP($A364,'SegEnds_NonXtal_BW#'!$A:$Z,26,FALSE)+VLOOKUP($A364,A:AL,37,FALSE)-50))</f>
        <v>841</v>
      </c>
      <c r="AM364" s="28" t="str">
        <f>VLOOKUP(A364,Classification!A:B,2,FALSE)</f>
        <v>C</v>
      </c>
      <c r="AN364" s="28" t="b">
        <f t="shared" si="220"/>
        <v>1</v>
      </c>
      <c r="AO364" s="3" t="str">
        <f>IF(ISERROR(MATCH(A364,'SegEnds_Xtal_Prot#'!B:B, 0)), "NoXtal", "Xtal")</f>
        <v>NoXtal</v>
      </c>
      <c r="AP364" s="3">
        <f t="shared" si="205"/>
        <v>3</v>
      </c>
      <c r="AQ364" s="3">
        <f t="shared" si="206"/>
        <v>1</v>
      </c>
      <c r="AR364" s="3" t="str">
        <f t="shared" si="207"/>
        <v>-</v>
      </c>
      <c r="AS364" s="3" t="str">
        <f t="shared" si="208"/>
        <v>-</v>
      </c>
      <c r="AT364" s="3" t="str">
        <f t="shared" si="209"/>
        <v>-</v>
      </c>
      <c r="AU364" s="3" t="str">
        <f t="shared" si="210"/>
        <v>-</v>
      </c>
      <c r="AV364" s="3">
        <f t="shared" si="211"/>
        <v>20</v>
      </c>
      <c r="AW364" s="3">
        <f t="shared" si="212"/>
        <v>1</v>
      </c>
      <c r="AX364" s="3">
        <f t="shared" si="213"/>
        <v>9</v>
      </c>
      <c r="AY364" s="3">
        <f t="shared" si="214"/>
        <v>7</v>
      </c>
      <c r="AZ364" s="3">
        <f t="shared" si="215"/>
        <v>1</v>
      </c>
      <c r="BA364" s="3">
        <f>IF(ISERROR(LEN(VLOOKUP(A364,Seqs!A:E,2,FALSE))-AL364),"-",LEN(VLOOKUP(A364,Seqs!A:E,2,FALSE))-AL364)</f>
        <v>38</v>
      </c>
      <c r="BB364" s="16">
        <f t="shared" si="216"/>
        <v>31</v>
      </c>
      <c r="BC364" s="9" t="str">
        <f t="shared" si="217"/>
        <v>-</v>
      </c>
      <c r="BD364" s="3">
        <f t="shared" si="218"/>
        <v>31</v>
      </c>
      <c r="BE364" s="3">
        <f t="shared" si="219"/>
        <v>37</v>
      </c>
    </row>
    <row r="365" spans="1:58" s="3" customFormat="1" x14ac:dyDescent="0.2">
      <c r="A365" s="3" t="s">
        <v>117</v>
      </c>
      <c r="B365" s="3" t="str">
        <f>LOWER(VLOOKUP(A365,Xtal_Templ!A:B,2,FALSE))</f>
        <v>grm5_human</v>
      </c>
      <c r="C365" s="3">
        <f>VLOOKUP($A365,'SegEnds_NonXtal_BW#'!$A:$Z,3,FALSE)+D365-50</f>
        <v>586</v>
      </c>
      <c r="D365" s="3">
        <v>602</v>
      </c>
      <c r="E365" s="3">
        <f>IF(ISERROR(VLOOKUP($A365,'SegEnds_NonXtal_BW#'!$A:$Z,4,FALSE)+VLOOKUP($A365,A:AL,4,FALSE)-50),"-",(VLOOKUP($A365,'SegEnds_NonXtal_BW#'!$A:$Z,4,FALSE)+VLOOKUP($A365,A:AL,4,FALSE)-50))</f>
        <v>612</v>
      </c>
      <c r="F365" s="3">
        <f t="shared" si="222"/>
        <v>615</v>
      </c>
      <c r="G365" s="3">
        <v>618</v>
      </c>
      <c r="H365" s="3">
        <f t="shared" si="223"/>
        <v>621</v>
      </c>
      <c r="I365" s="3">
        <f t="shared" si="224"/>
        <v>622</v>
      </c>
      <c r="J365" s="3">
        <v>633</v>
      </c>
      <c r="K365" s="3">
        <f>VLOOKUP($A365,'SegEnds_NonXtal_BW#'!$A:$Z,8,FALSE)+VLOOKUP($A365,A:AL,10,FALSE)-50</f>
        <v>644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648</v>
      </c>
      <c r="P365" s="3">
        <v>677</v>
      </c>
      <c r="Q365" s="3">
        <f>VLOOKUP($A365,'SegEnds_NonXtal_BW#'!$A:$Z,12,FALSE)+VLOOKUP($A365,A:AL,16,FALSE)-50</f>
        <v>681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695</v>
      </c>
      <c r="V365" s="3">
        <v>707</v>
      </c>
      <c r="W365" s="3">
        <f>IF(ISERROR(VLOOKUP($A365,'SegEnds_NonXtal_BW#'!$A:$Z,16,FALSE)+VLOOKUP($A365,A:AL,22,FALSE)-50),"-",(VLOOKUP($A365,'SegEnds_NonXtal_BW#'!$A:$Z,16,FALSE)+VLOOKUP($A365,A:AL,22,FALSE)-50))</f>
        <v>721</v>
      </c>
      <c r="X365" s="3">
        <f>IF(ISERROR(VLOOKUP($A365,'SegEnds_NonXtal_BW#'!$A:$Z,17,FALSE)+VLOOKUP($A365,A:AL,25,FALSE)-50),"-",(VLOOKUP($A365,'SegEnds_NonXtal_BW#'!$A:$Z,17,FALSE)+VLOOKUP($A365,A:AL,25,FALSE)-50))</f>
        <v>746</v>
      </c>
      <c r="Y365" s="3">
        <v>746</v>
      </c>
      <c r="Z365" s="3">
        <f t="shared" si="225"/>
        <v>748</v>
      </c>
      <c r="AA365" s="3">
        <f>IF(ISERROR(VLOOKUP($A365,'SegEnds_NonXtal_BW#'!$A:$Z,19,FALSE)+VLOOKUP($A365,A:AL,28,FALSE)-50),"-",(VLOOKUP($A365,'SegEnds_NonXtal_BW#'!$A:$Z,19,FALSE)+VLOOKUP($A365,A:AL,28,FALSE)-50))</f>
        <v>749</v>
      </c>
      <c r="AB365" s="3">
        <v>763</v>
      </c>
      <c r="AC365" s="3">
        <f>IF(ISERROR((VLOOKUP($A365,'SegEnds_NonXtal_BW#'!$A:$Z,20,FALSE)+VLOOKUP($A365,A:AL,28,FALSE)-50)),"-",(VLOOKUP($A365,'SegEnds_NonXtal_BW#'!$A:$Z,20,FALSE)+VLOOKUP($A365,A:AL,28,FALSE)-50))</f>
        <v>774</v>
      </c>
      <c r="AD365" s="3">
        <f>IF(ISERROR(VLOOKUP($A365,'SegEnds_NonXtal_BW#'!$A:$Z,21,FALSE)+VLOOKUP($A365,A:AL,31,FALSE)-50),"-",(VLOOKUP($A365,'SegEnds_NonXtal_BW#'!$A:$Z,21,FALSE)+VLOOKUP($A365,A:AL,31,FALSE)-50))</f>
        <v>783</v>
      </c>
      <c r="AE365" s="3">
        <v>800</v>
      </c>
      <c r="AF365" s="3">
        <f>IF(ISERROR((VLOOKUP($A365,'SegEnds_NonXtal_BW#'!$A:$Z,22,FALSE)+VLOOKUP($A365,A:AL,31,FALSE)-50)),"-",(VLOOKUP($A365,'SegEnds_NonXtal_BW#'!$A:$Z,22,FALSE)+VLOOKUP($A365,A:AL,31,FALSE)-50))</f>
        <v>807</v>
      </c>
      <c r="AG365" s="3">
        <f>IF(ISERROR(VLOOKUP($A365,'SegEnds_NonXtal_BW#'!$A:$Z,23,FALSE)+VLOOKUP($A365,A:AL,34,FALSE)-50),"-",(VLOOKUP($A365,'SegEnds_NonXtal_BW#'!$A:$Z,23,FALSE)+VLOOKUP($A365,A:AL,34,FALSE)-50))</f>
        <v>817</v>
      </c>
      <c r="AH365" s="3">
        <v>834</v>
      </c>
      <c r="AI365" s="3">
        <f>IF(ISERROR((VLOOKUP($A365,'SegEnds_NonXtal_BW#'!$A:$Z,24,FALSE)+VLOOKUP($A365,A:AL,34,FALSE)-50)),"-",(VLOOKUP($A365,'SegEnds_NonXtal_BW#'!$A:$Z,24,FALSE)+VLOOKUP($A365,A:AL,34,FALSE)-50))</f>
        <v>848</v>
      </c>
      <c r="AJ365" s="3">
        <f>IF(ISERROR(VLOOKUP($A365,'SegEnds_NonXtal_BW#'!$A:$Z,25,FALSE)+VLOOKUP($A365,A:AL,37,FALSE)-50),"-",(VLOOKUP($A365,'SegEnds_NonXtal_BW#'!$A:$Z,25,FALSE)+VLOOKUP($A365,A:AL,37,FALSE)-50))</f>
        <v>849</v>
      </c>
      <c r="AK365" s="3">
        <v>853</v>
      </c>
      <c r="AL365" s="3">
        <f>IF(ISERROR((VLOOKUP($A365,'SegEnds_NonXtal_BW#'!$A:$Z,26,FALSE)+VLOOKUP($A365,A:AL,37,FALSE)-50)),"-",(VLOOKUP($A365,'SegEnds_NonXtal_BW#'!$A:$Z,26,FALSE)+VLOOKUP($A365,A:AL,37,FALSE)-50))</f>
        <v>860</v>
      </c>
      <c r="AM365" s="28" t="str">
        <f>VLOOKUP(A365,Classification!A:B,2,FALSE)</f>
        <v>C</v>
      </c>
      <c r="AN365" s="28" t="b">
        <f t="shared" si="220"/>
        <v>1</v>
      </c>
      <c r="AO365" s="3" t="str">
        <f>IF(ISERROR(MATCH(A365,'SegEnds_Xtal_Prot#'!B:B, 0)), "NoXtal", "Xtal")</f>
        <v>NoXtal</v>
      </c>
      <c r="AP365" s="3">
        <f t="shared" si="205"/>
        <v>3</v>
      </c>
      <c r="AQ365" s="3">
        <f t="shared" si="206"/>
        <v>1</v>
      </c>
      <c r="AR365" s="3" t="str">
        <f t="shared" si="207"/>
        <v>-</v>
      </c>
      <c r="AS365" s="3" t="str">
        <f t="shared" si="208"/>
        <v>-</v>
      </c>
      <c r="AT365" s="3" t="str">
        <f t="shared" si="209"/>
        <v>-</v>
      </c>
      <c r="AU365" s="3" t="str">
        <f t="shared" si="210"/>
        <v>-</v>
      </c>
      <c r="AV365" s="3">
        <f t="shared" si="211"/>
        <v>25</v>
      </c>
      <c r="AW365" s="3">
        <f t="shared" si="212"/>
        <v>1</v>
      </c>
      <c r="AX365" s="3">
        <f t="shared" si="213"/>
        <v>9</v>
      </c>
      <c r="AY365" s="3">
        <f t="shared" si="214"/>
        <v>10</v>
      </c>
      <c r="AZ365" s="3">
        <f t="shared" si="215"/>
        <v>1</v>
      </c>
      <c r="BA365" s="3">
        <f>IF(ISERROR(LEN(VLOOKUP(A365,Seqs!A:E,2,FALSE))-AL365),"-",LEN(VLOOKUP(A365,Seqs!A:E,2,FALSE))-AL365)</f>
        <v>52</v>
      </c>
      <c r="BB365" s="16">
        <f t="shared" si="216"/>
        <v>31</v>
      </c>
      <c r="BC365" s="9" t="str">
        <f t="shared" si="217"/>
        <v>-</v>
      </c>
      <c r="BD365" s="3">
        <f t="shared" si="218"/>
        <v>31</v>
      </c>
      <c r="BE365" s="3">
        <f t="shared" si="219"/>
        <v>37</v>
      </c>
    </row>
    <row r="366" spans="1:58" s="3" customFormat="1" x14ac:dyDescent="0.2">
      <c r="A366" s="3" t="s">
        <v>41</v>
      </c>
      <c r="B366" s="3" t="str">
        <f>LOWER(VLOOKUP(A366,Xtal_Templ!A:B,2,FALSE))</f>
        <v>grm5_human</v>
      </c>
      <c r="C366" s="3">
        <f>VLOOKUP($A366,'SegEnds_NonXtal_BW#'!$A:$Z,3,FALSE)+D366-50</f>
        <v>578</v>
      </c>
      <c r="D366" s="3">
        <v>594</v>
      </c>
      <c r="E366" s="3">
        <f>IF(ISERROR(VLOOKUP($A366,'SegEnds_NonXtal_BW#'!$A:$Z,4,FALSE)+VLOOKUP($A366,A:AL,4,FALSE)-50),"-",(VLOOKUP($A366,'SegEnds_NonXtal_BW#'!$A:$Z,4,FALSE)+VLOOKUP($A366,A:AL,4,FALSE)-50))</f>
        <v>604</v>
      </c>
      <c r="F366" s="3">
        <f t="shared" si="222"/>
        <v>607</v>
      </c>
      <c r="G366" s="3">
        <v>610</v>
      </c>
      <c r="H366" s="3">
        <f t="shared" si="223"/>
        <v>613</v>
      </c>
      <c r="I366" s="3">
        <f t="shared" si="224"/>
        <v>614</v>
      </c>
      <c r="J366" s="3">
        <v>625</v>
      </c>
      <c r="K366" s="3">
        <f>VLOOKUP($A366,'SegEnds_NonXtal_BW#'!$A:$Z,8,FALSE)+VLOOKUP($A366,A:AL,10,FALSE)-50</f>
        <v>636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640</v>
      </c>
      <c r="P366" s="3">
        <v>669</v>
      </c>
      <c r="Q366" s="3">
        <f>VLOOKUP($A366,'SegEnds_NonXtal_BW#'!$A:$Z,12,FALSE)+VLOOKUP($A366,A:AL,16,FALSE)-50</f>
        <v>673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689</v>
      </c>
      <c r="V366" s="3">
        <v>701</v>
      </c>
      <c r="W366" s="3">
        <f>IF(ISERROR(VLOOKUP($A366,'SegEnds_NonXtal_BW#'!$A:$Z,16,FALSE)+VLOOKUP($A366,A:AL,22,FALSE)-50),"-",(VLOOKUP($A366,'SegEnds_NonXtal_BW#'!$A:$Z,16,FALSE)+VLOOKUP($A366,A:AL,22,FALSE)-50))</f>
        <v>715</v>
      </c>
      <c r="X366" s="3">
        <f>IF(ISERROR(VLOOKUP($A366,'SegEnds_NonXtal_BW#'!$A:$Z,17,FALSE)+VLOOKUP($A366,A:AL,25,FALSE)-50),"-",(VLOOKUP($A366,'SegEnds_NonXtal_BW#'!$A:$Z,17,FALSE)+VLOOKUP($A366,A:AL,25,FALSE)-50))</f>
        <v>733</v>
      </c>
      <c r="Y366" s="3">
        <v>733</v>
      </c>
      <c r="Z366" s="3">
        <f t="shared" si="225"/>
        <v>735</v>
      </c>
      <c r="AA366" s="3">
        <f>IF(ISERROR(VLOOKUP($A366,'SegEnds_NonXtal_BW#'!$A:$Z,19,FALSE)+VLOOKUP($A366,A:AL,28,FALSE)-50),"-",(VLOOKUP($A366,'SegEnds_NonXtal_BW#'!$A:$Z,19,FALSE)+VLOOKUP($A366,A:AL,28,FALSE)-50))</f>
        <v>736</v>
      </c>
      <c r="AB366" s="3">
        <v>750</v>
      </c>
      <c r="AC366" s="3">
        <f>IF(ISERROR((VLOOKUP($A366,'SegEnds_NonXtal_BW#'!$A:$Z,20,FALSE)+VLOOKUP($A366,A:AL,28,FALSE)-50)),"-",(VLOOKUP($A366,'SegEnds_NonXtal_BW#'!$A:$Z,20,FALSE)+VLOOKUP($A366,A:AL,28,FALSE)-50))</f>
        <v>761</v>
      </c>
      <c r="AD366" s="3">
        <f>IF(ISERROR(VLOOKUP($A366,'SegEnds_NonXtal_BW#'!$A:$Z,21,FALSE)+VLOOKUP($A366,A:AL,31,FALSE)-50),"-",(VLOOKUP($A366,'SegEnds_NonXtal_BW#'!$A:$Z,21,FALSE)+VLOOKUP($A366,A:AL,31,FALSE)-50))</f>
        <v>770</v>
      </c>
      <c r="AE366" s="3">
        <v>787</v>
      </c>
      <c r="AF366" s="3">
        <f>IF(ISERROR((VLOOKUP($A366,'SegEnds_NonXtal_BW#'!$A:$Z,22,FALSE)+VLOOKUP($A366,A:AL,31,FALSE)-50)),"-",(VLOOKUP($A366,'SegEnds_NonXtal_BW#'!$A:$Z,22,FALSE)+VLOOKUP($A366,A:AL,31,FALSE)-50))</f>
        <v>794</v>
      </c>
      <c r="AG366" s="3">
        <f>IF(ISERROR(VLOOKUP($A366,'SegEnds_NonXtal_BW#'!$A:$Z,23,FALSE)+VLOOKUP($A366,A:AL,34,FALSE)-50),"-",(VLOOKUP($A366,'SegEnds_NonXtal_BW#'!$A:$Z,23,FALSE)+VLOOKUP($A366,A:AL,34,FALSE)-50))</f>
        <v>797</v>
      </c>
      <c r="AH366" s="3">
        <v>814</v>
      </c>
      <c r="AI366" s="3">
        <f>IF(ISERROR((VLOOKUP($A366,'SegEnds_NonXtal_BW#'!$A:$Z,24,FALSE)+VLOOKUP($A366,A:AL,34,FALSE)-50)),"-",(VLOOKUP($A366,'SegEnds_NonXtal_BW#'!$A:$Z,24,FALSE)+VLOOKUP($A366,A:AL,34,FALSE)-50))</f>
        <v>828</v>
      </c>
      <c r="AJ366" s="3">
        <f>IF(ISERROR(VLOOKUP($A366,'SegEnds_NonXtal_BW#'!$A:$Z,25,FALSE)+VLOOKUP($A366,A:AL,37,FALSE)-50),"-",(VLOOKUP($A366,'SegEnds_NonXtal_BW#'!$A:$Z,25,FALSE)+VLOOKUP($A366,A:AL,37,FALSE)-50))</f>
        <v>829</v>
      </c>
      <c r="AK366" s="3">
        <v>833</v>
      </c>
      <c r="AL366" s="3">
        <f>IF(ISERROR((VLOOKUP($A366,'SegEnds_NonXtal_BW#'!$A:$Z,26,FALSE)+VLOOKUP($A366,A:AL,37,FALSE)-50)),"-",(VLOOKUP($A366,'SegEnds_NonXtal_BW#'!$A:$Z,26,FALSE)+VLOOKUP($A366,A:AL,37,FALSE)-50))</f>
        <v>840</v>
      </c>
      <c r="AM366" s="28" t="str">
        <f>VLOOKUP(A366,Classification!A:B,2,FALSE)</f>
        <v>C</v>
      </c>
      <c r="AN366" s="28" t="b">
        <f t="shared" si="220"/>
        <v>1</v>
      </c>
      <c r="AO366" s="3" t="str">
        <f>IF(ISERROR(MATCH(A366,'SegEnds_Xtal_Prot#'!B:B, 0)), "NoXtal", "Xtal")</f>
        <v>Xtal</v>
      </c>
      <c r="AP366" s="3">
        <f t="shared" si="205"/>
        <v>3</v>
      </c>
      <c r="AQ366" s="3">
        <f t="shared" si="206"/>
        <v>1</v>
      </c>
      <c r="AR366" s="3" t="str">
        <f t="shared" si="207"/>
        <v>-</v>
      </c>
      <c r="AS366" s="3" t="str">
        <f t="shared" si="208"/>
        <v>-</v>
      </c>
      <c r="AT366" s="3" t="str">
        <f t="shared" si="209"/>
        <v>-</v>
      </c>
      <c r="AU366" s="3" t="str">
        <f t="shared" si="210"/>
        <v>-</v>
      </c>
      <c r="AV366" s="3">
        <f t="shared" si="211"/>
        <v>18</v>
      </c>
      <c r="AW366" s="3">
        <f t="shared" si="212"/>
        <v>1</v>
      </c>
      <c r="AX366" s="3">
        <f t="shared" si="213"/>
        <v>9</v>
      </c>
      <c r="AY366" s="3">
        <f t="shared" si="214"/>
        <v>3</v>
      </c>
      <c r="AZ366" s="3">
        <f t="shared" si="215"/>
        <v>1</v>
      </c>
      <c r="BA366" s="3">
        <f>IF(ISERROR(LEN(VLOOKUP(A366,Seqs!A:E,2,FALSE))-AL366),"-",LEN(VLOOKUP(A366,Seqs!A:E,2,FALSE))-AL366)</f>
        <v>372</v>
      </c>
      <c r="BB366" s="16">
        <f t="shared" si="216"/>
        <v>31</v>
      </c>
      <c r="BC366" s="9" t="str">
        <f t="shared" si="217"/>
        <v>-</v>
      </c>
      <c r="BD366" s="3">
        <f t="shared" si="218"/>
        <v>31</v>
      </c>
      <c r="BE366" s="3">
        <f t="shared" si="219"/>
        <v>37</v>
      </c>
    </row>
    <row r="367" spans="1:58" s="3" customFormat="1" x14ac:dyDescent="0.2">
      <c r="A367" s="3" t="s">
        <v>118</v>
      </c>
      <c r="B367" s="3" t="str">
        <f>LOWER(VLOOKUP(A367,Xtal_Templ!A:B,2,FALSE))</f>
        <v>grm5_human</v>
      </c>
      <c r="C367" s="3">
        <f>VLOOKUP($A367,'SegEnds_NonXtal_BW#'!$A:$Z,3,FALSE)+D367-50</f>
        <v>584</v>
      </c>
      <c r="D367" s="3">
        <v>600</v>
      </c>
      <c r="E367" s="3">
        <f>IF(ISERROR(VLOOKUP($A367,'SegEnds_NonXtal_BW#'!$A:$Z,4,FALSE)+VLOOKUP($A367,A:AL,4,FALSE)-50),"-",(VLOOKUP($A367,'SegEnds_NonXtal_BW#'!$A:$Z,4,FALSE)+VLOOKUP($A367,A:AL,4,FALSE)-50))</f>
        <v>610</v>
      </c>
      <c r="F367" s="3">
        <f t="shared" si="222"/>
        <v>613</v>
      </c>
      <c r="G367" s="3">
        <v>616</v>
      </c>
      <c r="H367" s="3">
        <f t="shared" si="223"/>
        <v>619</v>
      </c>
      <c r="I367" s="3">
        <f t="shared" si="224"/>
        <v>620</v>
      </c>
      <c r="J367" s="3">
        <v>631</v>
      </c>
      <c r="K367" s="3">
        <f>VLOOKUP($A367,'SegEnds_NonXtal_BW#'!$A:$Z,8,FALSE)+VLOOKUP($A367,A:AL,10,FALSE)-50</f>
        <v>642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646</v>
      </c>
      <c r="P367" s="3">
        <v>675</v>
      </c>
      <c r="Q367" s="3">
        <f>VLOOKUP($A367,'SegEnds_NonXtal_BW#'!$A:$Z,12,FALSE)+VLOOKUP($A367,A:AL,16,FALSE)-50</f>
        <v>679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693</v>
      </c>
      <c r="V367" s="3">
        <v>705</v>
      </c>
      <c r="W367" s="3">
        <f>IF(ISERROR(VLOOKUP($A367,'SegEnds_NonXtal_BW#'!$A:$Z,16,FALSE)+VLOOKUP($A367,A:AL,22,FALSE)-50),"-",(VLOOKUP($A367,'SegEnds_NonXtal_BW#'!$A:$Z,16,FALSE)+VLOOKUP($A367,A:AL,22,FALSE)-50))</f>
        <v>719</v>
      </c>
      <c r="X367" s="3">
        <f>IF(ISERROR(VLOOKUP($A367,'SegEnds_NonXtal_BW#'!$A:$Z,17,FALSE)+VLOOKUP($A367,A:AL,25,FALSE)-50),"-",(VLOOKUP($A367,'SegEnds_NonXtal_BW#'!$A:$Z,17,FALSE)+VLOOKUP($A367,A:AL,25,FALSE)-50))</f>
        <v>744</v>
      </c>
      <c r="Y367" s="3">
        <v>744</v>
      </c>
      <c r="Z367" s="3">
        <f t="shared" si="225"/>
        <v>746</v>
      </c>
      <c r="AA367" s="3">
        <f>IF(ISERROR(VLOOKUP($A367,'SegEnds_NonXtal_BW#'!$A:$Z,19,FALSE)+VLOOKUP($A367,A:AL,28,FALSE)-50),"-",(VLOOKUP($A367,'SegEnds_NonXtal_BW#'!$A:$Z,19,FALSE)+VLOOKUP($A367,A:AL,28,FALSE)-50))</f>
        <v>747</v>
      </c>
      <c r="AB367" s="3">
        <v>761</v>
      </c>
      <c r="AC367" s="3">
        <f>IF(ISERROR((VLOOKUP($A367,'SegEnds_NonXtal_BW#'!$A:$Z,20,FALSE)+VLOOKUP($A367,A:AL,28,FALSE)-50)),"-",(VLOOKUP($A367,'SegEnds_NonXtal_BW#'!$A:$Z,20,FALSE)+VLOOKUP($A367,A:AL,28,FALSE)-50))</f>
        <v>772</v>
      </c>
      <c r="AD367" s="3">
        <f>IF(ISERROR(VLOOKUP($A367,'SegEnds_NonXtal_BW#'!$A:$Z,21,FALSE)+VLOOKUP($A367,A:AL,31,FALSE)-50),"-",(VLOOKUP($A367,'SegEnds_NonXtal_BW#'!$A:$Z,21,FALSE)+VLOOKUP($A367,A:AL,31,FALSE)-50))</f>
        <v>781</v>
      </c>
      <c r="AE367" s="3">
        <v>798</v>
      </c>
      <c r="AF367" s="3">
        <f>IF(ISERROR((VLOOKUP($A367,'SegEnds_NonXtal_BW#'!$A:$Z,22,FALSE)+VLOOKUP($A367,A:AL,31,FALSE)-50)),"-",(VLOOKUP($A367,'SegEnds_NonXtal_BW#'!$A:$Z,22,FALSE)+VLOOKUP($A367,A:AL,31,FALSE)-50))</f>
        <v>805</v>
      </c>
      <c r="AG367" s="3">
        <f>IF(ISERROR(VLOOKUP($A367,'SegEnds_NonXtal_BW#'!$A:$Z,23,FALSE)+VLOOKUP($A367,A:AL,34,FALSE)-50),"-",(VLOOKUP($A367,'SegEnds_NonXtal_BW#'!$A:$Z,23,FALSE)+VLOOKUP($A367,A:AL,34,FALSE)-50))</f>
        <v>815</v>
      </c>
      <c r="AH367" s="3">
        <v>832</v>
      </c>
      <c r="AI367" s="3">
        <f>IF(ISERROR((VLOOKUP($A367,'SegEnds_NonXtal_BW#'!$A:$Z,24,FALSE)+VLOOKUP($A367,A:AL,34,FALSE)-50)),"-",(VLOOKUP($A367,'SegEnds_NonXtal_BW#'!$A:$Z,24,FALSE)+VLOOKUP($A367,A:AL,34,FALSE)-50))</f>
        <v>846</v>
      </c>
      <c r="AJ367" s="3">
        <f>IF(ISERROR(VLOOKUP($A367,'SegEnds_NonXtal_BW#'!$A:$Z,25,FALSE)+VLOOKUP($A367,A:AL,37,FALSE)-50),"-",(VLOOKUP($A367,'SegEnds_NonXtal_BW#'!$A:$Z,25,FALSE)+VLOOKUP($A367,A:AL,37,FALSE)-50))</f>
        <v>847</v>
      </c>
      <c r="AK367" s="3">
        <v>851</v>
      </c>
      <c r="AL367" s="3">
        <f>IF(ISERROR((VLOOKUP($A367,'SegEnds_NonXtal_BW#'!$A:$Z,26,FALSE)+VLOOKUP($A367,A:AL,37,FALSE)-50)),"-",(VLOOKUP($A367,'SegEnds_NonXtal_BW#'!$A:$Z,26,FALSE)+VLOOKUP($A367,A:AL,37,FALSE)-50))</f>
        <v>858</v>
      </c>
      <c r="AM367" s="28" t="str">
        <f>VLOOKUP(A367,Classification!A:B,2,FALSE)</f>
        <v>C</v>
      </c>
      <c r="AN367" s="28" t="b">
        <f t="shared" si="220"/>
        <v>1</v>
      </c>
      <c r="AO367" s="3" t="str">
        <f>IF(ISERROR(MATCH(A367,'SegEnds_Xtal_Prot#'!B:B, 0)), "NoXtal", "Xtal")</f>
        <v>NoXtal</v>
      </c>
      <c r="AP367" s="3">
        <f t="shared" si="205"/>
        <v>3</v>
      </c>
      <c r="AQ367" s="3">
        <f t="shared" si="206"/>
        <v>1</v>
      </c>
      <c r="AR367" s="3" t="str">
        <f t="shared" si="207"/>
        <v>-</v>
      </c>
      <c r="AS367" s="3" t="str">
        <f t="shared" si="208"/>
        <v>-</v>
      </c>
      <c r="AT367" s="3" t="str">
        <f t="shared" si="209"/>
        <v>-</v>
      </c>
      <c r="AU367" s="3" t="str">
        <f t="shared" si="210"/>
        <v>-</v>
      </c>
      <c r="AV367" s="3">
        <f t="shared" si="211"/>
        <v>25</v>
      </c>
      <c r="AW367" s="3">
        <f t="shared" si="212"/>
        <v>1</v>
      </c>
      <c r="AX367" s="3">
        <f t="shared" si="213"/>
        <v>9</v>
      </c>
      <c r="AY367" s="3">
        <f t="shared" si="214"/>
        <v>10</v>
      </c>
      <c r="AZ367" s="3">
        <f t="shared" si="215"/>
        <v>1</v>
      </c>
      <c r="BA367" s="3">
        <f>IF(ISERROR(LEN(VLOOKUP(A367,Seqs!A:E,2,FALSE))-AL367),"-",LEN(VLOOKUP(A367,Seqs!A:E,2,FALSE))-AL367)</f>
        <v>19</v>
      </c>
      <c r="BB367" s="16">
        <f t="shared" si="216"/>
        <v>31</v>
      </c>
      <c r="BC367" s="9" t="str">
        <f t="shared" si="217"/>
        <v>-</v>
      </c>
      <c r="BD367" s="3">
        <f t="shared" si="218"/>
        <v>31</v>
      </c>
      <c r="BE367" s="3">
        <f t="shared" si="219"/>
        <v>37</v>
      </c>
      <c r="BF367" s="3">
        <f>AH367-AE367</f>
        <v>34</v>
      </c>
    </row>
    <row r="368" spans="1:58" s="3" customFormat="1" x14ac:dyDescent="0.2">
      <c r="A368" s="3" t="s">
        <v>119</v>
      </c>
      <c r="B368" s="3" t="str">
        <f>LOWER(VLOOKUP(A368,Xtal_Templ!A:B,2,FALSE))</f>
        <v>grm5_human</v>
      </c>
      <c r="C368" s="3">
        <f>VLOOKUP($A368,'SegEnds_NonXtal_BW#'!$A:$Z,3,FALSE)+D368-50</f>
        <v>589</v>
      </c>
      <c r="D368" s="3">
        <v>605</v>
      </c>
      <c r="E368" s="3">
        <f>IF(ISERROR(VLOOKUP($A368,'SegEnds_NonXtal_BW#'!$A:$Z,4,FALSE)+VLOOKUP($A368,A:AL,4,FALSE)-50),"-",(VLOOKUP($A368,'SegEnds_NonXtal_BW#'!$A:$Z,4,FALSE)+VLOOKUP($A368,A:AL,4,FALSE)-50))</f>
        <v>615</v>
      </c>
      <c r="F368" s="3">
        <f t="shared" si="222"/>
        <v>618</v>
      </c>
      <c r="G368" s="3">
        <v>621</v>
      </c>
      <c r="H368" s="3">
        <f t="shared" si="223"/>
        <v>624</v>
      </c>
      <c r="I368" s="3">
        <f t="shared" si="224"/>
        <v>625</v>
      </c>
      <c r="J368" s="3">
        <v>636</v>
      </c>
      <c r="K368" s="3">
        <f>VLOOKUP($A368,'SegEnds_NonXtal_BW#'!$A:$Z,8,FALSE)+VLOOKUP($A368,A:AL,10,FALSE)-50</f>
        <v>647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651</v>
      </c>
      <c r="P368" s="3">
        <v>680</v>
      </c>
      <c r="Q368" s="3">
        <f>VLOOKUP($A368,'SegEnds_NonXtal_BW#'!$A:$Z,12,FALSE)+VLOOKUP($A368,A:AL,16,FALSE)-50</f>
        <v>684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698</v>
      </c>
      <c r="V368" s="3">
        <v>710</v>
      </c>
      <c r="W368" s="3">
        <f>IF(ISERROR(VLOOKUP($A368,'SegEnds_NonXtal_BW#'!$A:$Z,16,FALSE)+VLOOKUP($A368,A:AL,22,FALSE)-50),"-",(VLOOKUP($A368,'SegEnds_NonXtal_BW#'!$A:$Z,16,FALSE)+VLOOKUP($A368,A:AL,22,FALSE)-50))</f>
        <v>724</v>
      </c>
      <c r="X368" s="3">
        <f>IF(ISERROR(VLOOKUP($A368,'SegEnds_NonXtal_BW#'!$A:$Z,17,FALSE)+VLOOKUP($A368,A:AL,25,FALSE)-50),"-",(VLOOKUP($A368,'SegEnds_NonXtal_BW#'!$A:$Z,17,FALSE)+VLOOKUP($A368,A:AL,25,FALSE)-50))</f>
        <v>749</v>
      </c>
      <c r="Y368" s="3">
        <v>749</v>
      </c>
      <c r="Z368" s="3">
        <f t="shared" si="225"/>
        <v>751</v>
      </c>
      <c r="AA368" s="3">
        <f>IF(ISERROR(VLOOKUP($A368,'SegEnds_NonXtal_BW#'!$A:$Z,19,FALSE)+VLOOKUP($A368,A:AL,28,FALSE)-50),"-",(VLOOKUP($A368,'SegEnds_NonXtal_BW#'!$A:$Z,19,FALSE)+VLOOKUP($A368,A:AL,28,FALSE)-50))</f>
        <v>752</v>
      </c>
      <c r="AB368" s="3">
        <v>766</v>
      </c>
      <c r="AC368" s="3">
        <f>IF(ISERROR((VLOOKUP($A368,'SegEnds_NonXtal_BW#'!$A:$Z,20,FALSE)+VLOOKUP($A368,A:AL,28,FALSE)-50)),"-",(VLOOKUP($A368,'SegEnds_NonXtal_BW#'!$A:$Z,20,FALSE)+VLOOKUP($A368,A:AL,28,FALSE)-50))</f>
        <v>777</v>
      </c>
      <c r="AD368" s="3">
        <f>IF(ISERROR(VLOOKUP($A368,'SegEnds_NonXtal_BW#'!$A:$Z,21,FALSE)+VLOOKUP($A368,A:AL,31,FALSE)-50),"-",(VLOOKUP($A368,'SegEnds_NonXtal_BW#'!$A:$Z,21,FALSE)+VLOOKUP($A368,A:AL,31,FALSE)-50))</f>
        <v>786</v>
      </c>
      <c r="AE368" s="3">
        <v>803</v>
      </c>
      <c r="AF368" s="3">
        <f>IF(ISERROR((VLOOKUP($A368,'SegEnds_NonXtal_BW#'!$A:$Z,22,FALSE)+VLOOKUP($A368,A:AL,31,FALSE)-50)),"-",(VLOOKUP($A368,'SegEnds_NonXtal_BW#'!$A:$Z,22,FALSE)+VLOOKUP($A368,A:AL,31,FALSE)-50))</f>
        <v>810</v>
      </c>
      <c r="AG368" s="3">
        <f>IF(ISERROR(VLOOKUP($A368,'SegEnds_NonXtal_BW#'!$A:$Z,23,FALSE)+VLOOKUP($A368,A:AL,34,FALSE)-50),"-",(VLOOKUP($A368,'SegEnds_NonXtal_BW#'!$A:$Z,23,FALSE)+VLOOKUP($A368,A:AL,34,FALSE)-50))</f>
        <v>820</v>
      </c>
      <c r="AH368" s="3">
        <v>837</v>
      </c>
      <c r="AI368" s="3">
        <f>IF(ISERROR((VLOOKUP($A368,'SegEnds_NonXtal_BW#'!$A:$Z,24,FALSE)+VLOOKUP($A368,A:AL,34,FALSE)-50)),"-",(VLOOKUP($A368,'SegEnds_NonXtal_BW#'!$A:$Z,24,FALSE)+VLOOKUP($A368,A:AL,34,FALSE)-50))</f>
        <v>851</v>
      </c>
      <c r="AJ368" s="3">
        <f>IF(ISERROR(VLOOKUP($A368,'SegEnds_NonXtal_BW#'!$A:$Z,25,FALSE)+VLOOKUP($A368,A:AL,37,FALSE)-50),"-",(VLOOKUP($A368,'SegEnds_NonXtal_BW#'!$A:$Z,25,FALSE)+VLOOKUP($A368,A:AL,37,FALSE)-50))</f>
        <v>852</v>
      </c>
      <c r="AK368" s="3">
        <v>856</v>
      </c>
      <c r="AL368" s="3">
        <f>IF(ISERROR((VLOOKUP($A368,'SegEnds_NonXtal_BW#'!$A:$Z,26,FALSE)+VLOOKUP($A368,A:AL,37,FALSE)-50)),"-",(VLOOKUP($A368,'SegEnds_NonXtal_BW#'!$A:$Z,26,FALSE)+VLOOKUP($A368,A:AL,37,FALSE)-50))</f>
        <v>863</v>
      </c>
      <c r="AM368" s="28" t="str">
        <f>VLOOKUP(A368,Classification!A:B,2,FALSE)</f>
        <v>C</v>
      </c>
      <c r="AN368" s="28" t="b">
        <f t="shared" si="220"/>
        <v>1</v>
      </c>
      <c r="AO368" s="3" t="str">
        <f>IF(ISERROR(MATCH(A368,'SegEnds_Xtal_Prot#'!B:B, 0)), "NoXtal", "Xtal")</f>
        <v>NoXtal</v>
      </c>
      <c r="AP368" s="3">
        <f t="shared" si="205"/>
        <v>3</v>
      </c>
      <c r="AQ368" s="3">
        <f t="shared" si="206"/>
        <v>1</v>
      </c>
      <c r="AR368" s="3" t="str">
        <f t="shared" si="207"/>
        <v>-</v>
      </c>
      <c r="AS368" s="3" t="str">
        <f t="shared" si="208"/>
        <v>-</v>
      </c>
      <c r="AT368" s="3" t="str">
        <f t="shared" si="209"/>
        <v>-</v>
      </c>
      <c r="AU368" s="3" t="str">
        <f t="shared" si="210"/>
        <v>-</v>
      </c>
      <c r="AV368" s="3">
        <f t="shared" si="211"/>
        <v>25</v>
      </c>
      <c r="AW368" s="3">
        <f t="shared" si="212"/>
        <v>1</v>
      </c>
      <c r="AX368" s="3">
        <f t="shared" si="213"/>
        <v>9</v>
      </c>
      <c r="AY368" s="3">
        <f t="shared" si="214"/>
        <v>10</v>
      </c>
      <c r="AZ368" s="3">
        <f t="shared" si="215"/>
        <v>1</v>
      </c>
      <c r="BA368" s="3">
        <f>IF(ISERROR(LEN(VLOOKUP(A368,Seqs!A:E,2,FALSE))-AL368),"-",LEN(VLOOKUP(A368,Seqs!A:E,2,FALSE))-AL368)</f>
        <v>52</v>
      </c>
      <c r="BB368" s="16">
        <f t="shared" si="216"/>
        <v>31</v>
      </c>
      <c r="BC368" s="9" t="str">
        <f t="shared" si="217"/>
        <v>-</v>
      </c>
      <c r="BD368" s="3">
        <f t="shared" si="218"/>
        <v>31</v>
      </c>
      <c r="BE368" s="3">
        <f t="shared" si="219"/>
        <v>37</v>
      </c>
    </row>
    <row r="369" spans="1:58" s="3" customFormat="1" x14ac:dyDescent="0.2">
      <c r="A369" s="3" t="s">
        <v>120</v>
      </c>
      <c r="B369" s="3" t="str">
        <f>LOWER(VLOOKUP(A369,Xtal_Templ!A:B,2,FALSE))</f>
        <v>grm5_human</v>
      </c>
      <c r="C369" s="3">
        <f>VLOOKUP($A369,'SegEnds_NonXtal_BW#'!$A:$Z,3,FALSE)+D369-50</f>
        <v>582</v>
      </c>
      <c r="D369" s="3">
        <v>598</v>
      </c>
      <c r="E369" s="3">
        <f>IF(ISERROR(VLOOKUP($A369,'SegEnds_NonXtal_BW#'!$A:$Z,4,FALSE)+VLOOKUP($A369,A:AL,4,FALSE)-50),"-",(VLOOKUP($A369,'SegEnds_NonXtal_BW#'!$A:$Z,4,FALSE)+VLOOKUP($A369,A:AL,4,FALSE)-50))</f>
        <v>608</v>
      </c>
      <c r="F369" s="3">
        <f t="shared" si="222"/>
        <v>611</v>
      </c>
      <c r="G369" s="3">
        <v>614</v>
      </c>
      <c r="H369" s="3">
        <f t="shared" si="223"/>
        <v>617</v>
      </c>
      <c r="I369" s="3">
        <f t="shared" si="224"/>
        <v>618</v>
      </c>
      <c r="J369" s="3">
        <v>629</v>
      </c>
      <c r="K369" s="3">
        <f>VLOOKUP($A369,'SegEnds_NonXtal_BW#'!$A:$Z,8,FALSE)+VLOOKUP($A369,A:AL,10,FALSE)-50</f>
        <v>640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644</v>
      </c>
      <c r="P369" s="3">
        <v>673</v>
      </c>
      <c r="Q369" s="3">
        <f>VLOOKUP($A369,'SegEnds_NonXtal_BW#'!$A:$Z,12,FALSE)+VLOOKUP($A369,A:AL,16,FALSE)-50</f>
        <v>677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691</v>
      </c>
      <c r="V369" s="3">
        <v>703</v>
      </c>
      <c r="W369" s="3">
        <f>IF(ISERROR(VLOOKUP($A369,'SegEnds_NonXtal_BW#'!$A:$Z,16,FALSE)+VLOOKUP($A369,A:AL,22,FALSE)-50),"-",(VLOOKUP($A369,'SegEnds_NonXtal_BW#'!$A:$Z,16,FALSE)+VLOOKUP($A369,A:AL,22,FALSE)-50))</f>
        <v>717</v>
      </c>
      <c r="X369" s="3">
        <f>IF(ISERROR(VLOOKUP($A369,'SegEnds_NonXtal_BW#'!$A:$Z,17,FALSE)+VLOOKUP($A369,A:AL,25,FALSE)-50),"-",(VLOOKUP($A369,'SegEnds_NonXtal_BW#'!$A:$Z,17,FALSE)+VLOOKUP($A369,A:AL,25,FALSE)-50))</f>
        <v>742</v>
      </c>
      <c r="Y369" s="3">
        <v>742</v>
      </c>
      <c r="Z369" s="3">
        <f t="shared" si="225"/>
        <v>744</v>
      </c>
      <c r="AA369" s="3">
        <f>IF(ISERROR(VLOOKUP($A369,'SegEnds_NonXtal_BW#'!$A:$Z,19,FALSE)+VLOOKUP($A369,A:AL,28,FALSE)-50),"-",(VLOOKUP($A369,'SegEnds_NonXtal_BW#'!$A:$Z,19,FALSE)+VLOOKUP($A369,A:AL,28,FALSE)-50))</f>
        <v>745</v>
      </c>
      <c r="AB369" s="3">
        <v>759</v>
      </c>
      <c r="AC369" s="3">
        <f>IF(ISERROR((VLOOKUP($A369,'SegEnds_NonXtal_BW#'!$A:$Z,20,FALSE)+VLOOKUP($A369,A:AL,28,FALSE)-50)),"-",(VLOOKUP($A369,'SegEnds_NonXtal_BW#'!$A:$Z,20,FALSE)+VLOOKUP($A369,A:AL,28,FALSE)-50))</f>
        <v>770</v>
      </c>
      <c r="AD369" s="3">
        <f>IF(ISERROR(VLOOKUP($A369,'SegEnds_NonXtal_BW#'!$A:$Z,21,FALSE)+VLOOKUP($A369,A:AL,31,FALSE)-50),"-",(VLOOKUP($A369,'SegEnds_NonXtal_BW#'!$A:$Z,21,FALSE)+VLOOKUP($A369,A:AL,31,FALSE)-50))</f>
        <v>779</v>
      </c>
      <c r="AE369" s="3">
        <v>796</v>
      </c>
      <c r="AF369" s="3">
        <f>IF(ISERROR((VLOOKUP($A369,'SegEnds_NonXtal_BW#'!$A:$Z,22,FALSE)+VLOOKUP($A369,A:AL,31,FALSE)-50)),"-",(VLOOKUP($A369,'SegEnds_NonXtal_BW#'!$A:$Z,22,FALSE)+VLOOKUP($A369,A:AL,31,FALSE)-50))</f>
        <v>803</v>
      </c>
      <c r="AG369" s="3">
        <f>IF(ISERROR(VLOOKUP($A369,'SegEnds_NonXtal_BW#'!$A:$Z,23,FALSE)+VLOOKUP($A369,A:AL,34,FALSE)-50),"-",(VLOOKUP($A369,'SegEnds_NonXtal_BW#'!$A:$Z,23,FALSE)+VLOOKUP($A369,A:AL,34,FALSE)-50))</f>
        <v>813</v>
      </c>
      <c r="AH369" s="3">
        <v>830</v>
      </c>
      <c r="AI369" s="3">
        <f>IF(ISERROR((VLOOKUP($A369,'SegEnds_NonXtal_BW#'!$A:$Z,24,FALSE)+VLOOKUP($A369,A:AL,34,FALSE)-50)),"-",(VLOOKUP($A369,'SegEnds_NonXtal_BW#'!$A:$Z,24,FALSE)+VLOOKUP($A369,A:AL,34,FALSE)-50))</f>
        <v>844</v>
      </c>
      <c r="AJ369" s="3">
        <f>IF(ISERROR(VLOOKUP($A369,'SegEnds_NonXtal_BW#'!$A:$Z,25,FALSE)+VLOOKUP($A369,A:AL,37,FALSE)-50),"-",(VLOOKUP($A369,'SegEnds_NonXtal_BW#'!$A:$Z,25,FALSE)+VLOOKUP($A369,A:AL,37,FALSE)-50))</f>
        <v>845</v>
      </c>
      <c r="AK369" s="3">
        <v>849</v>
      </c>
      <c r="AL369" s="3">
        <f>IF(ISERROR((VLOOKUP($A369,'SegEnds_NonXtal_BW#'!$A:$Z,26,FALSE)+VLOOKUP($A369,A:AL,37,FALSE)-50)),"-",(VLOOKUP($A369,'SegEnds_NonXtal_BW#'!$A:$Z,26,FALSE)+VLOOKUP($A369,A:AL,37,FALSE)-50))</f>
        <v>856</v>
      </c>
      <c r="AM369" s="28" t="str">
        <f>VLOOKUP(A369,Classification!A:B,2,FALSE)</f>
        <v>C</v>
      </c>
      <c r="AN369" s="28" t="b">
        <f t="shared" si="220"/>
        <v>1</v>
      </c>
      <c r="AO369" s="3" t="str">
        <f>IF(ISERROR(MATCH(A369,'SegEnds_Xtal_Prot#'!B:B, 0)), "NoXtal", "Xtal")</f>
        <v>NoXtal</v>
      </c>
      <c r="AP369" s="3">
        <f t="shared" si="205"/>
        <v>3</v>
      </c>
      <c r="AQ369" s="3">
        <f t="shared" si="206"/>
        <v>1</v>
      </c>
      <c r="AR369" s="3" t="str">
        <f t="shared" si="207"/>
        <v>-</v>
      </c>
      <c r="AS369" s="3" t="str">
        <f t="shared" si="208"/>
        <v>-</v>
      </c>
      <c r="AT369" s="3" t="str">
        <f t="shared" si="209"/>
        <v>-</v>
      </c>
      <c r="AU369" s="3" t="str">
        <f t="shared" si="210"/>
        <v>-</v>
      </c>
      <c r="AV369" s="3">
        <f t="shared" si="211"/>
        <v>25</v>
      </c>
      <c r="AW369" s="3">
        <f t="shared" si="212"/>
        <v>1</v>
      </c>
      <c r="AX369" s="3">
        <f t="shared" si="213"/>
        <v>9</v>
      </c>
      <c r="AY369" s="3">
        <f t="shared" si="214"/>
        <v>10</v>
      </c>
      <c r="AZ369" s="3">
        <f t="shared" si="215"/>
        <v>1</v>
      </c>
      <c r="BA369" s="3">
        <f>IF(ISERROR(LEN(VLOOKUP(A369,Seqs!A:E,2,FALSE))-AL369),"-",LEN(VLOOKUP(A369,Seqs!A:E,2,FALSE))-AL369)</f>
        <v>52</v>
      </c>
      <c r="BB369" s="16">
        <f t="shared" si="216"/>
        <v>31</v>
      </c>
      <c r="BC369" s="9" t="str">
        <f t="shared" si="217"/>
        <v>-</v>
      </c>
      <c r="BD369" s="3">
        <f t="shared" si="218"/>
        <v>31</v>
      </c>
      <c r="BE369" s="3">
        <f t="shared" si="219"/>
        <v>37</v>
      </c>
    </row>
    <row r="370" spans="1:58" s="3" customFormat="1" x14ac:dyDescent="0.2">
      <c r="A370" s="3" t="s">
        <v>121</v>
      </c>
      <c r="B370" s="3" t="str">
        <f>LOWER(VLOOKUP(A370,Xtal_Templ!A:B,2,FALSE))</f>
        <v>grm1_human</v>
      </c>
      <c r="C370" s="3">
        <f>VLOOKUP($A370,'SegEnds_NonXtal_BW#'!$A:$Z,3,FALSE)+D370-50</f>
        <v>26</v>
      </c>
      <c r="D370" s="3">
        <v>42</v>
      </c>
      <c r="E370" s="3">
        <f>IF(ISERROR(VLOOKUP($A370,'SegEnds_NonXtal_BW#'!$A:$Z,4,FALSE)+VLOOKUP($A370,A:AL,4,FALSE)-50),"-",(VLOOKUP($A370,'SegEnds_NonXtal_BW#'!$A:$Z,4,FALSE)+VLOOKUP($A370,A:AL,4,FALSE)-50))</f>
        <v>52</v>
      </c>
      <c r="F370" s="3">
        <f t="shared" si="222"/>
        <v>53</v>
      </c>
      <c r="G370" s="3">
        <v>56</v>
      </c>
      <c r="H370" s="3">
        <f t="shared" si="223"/>
        <v>59</v>
      </c>
      <c r="I370" s="3">
        <f t="shared" si="224"/>
        <v>60</v>
      </c>
      <c r="J370" s="3">
        <v>75</v>
      </c>
      <c r="K370" s="3">
        <f>VLOOKUP($A370,'SegEnds_NonXtal_BW#'!$A:$Z,8,FALSE)+VLOOKUP($A370,A:AL,10,FALSE)-50</f>
        <v>86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91</v>
      </c>
      <c r="P370" s="3">
        <v>119</v>
      </c>
      <c r="Q370" s="3">
        <f>VLOOKUP($A370,'SegEnds_NonXtal_BW#'!$A:$Z,12,FALSE)+VLOOKUP($A370,A:AL,16,FALSE)-50</f>
        <v>123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130</v>
      </c>
      <c r="V370" s="3">
        <v>142</v>
      </c>
      <c r="W370" s="3">
        <f>IF(ISERROR(VLOOKUP($A370,'SegEnds_NonXtal_BW#'!$A:$Z,16,FALSE)+VLOOKUP($A370,A:AL,22,FALSE)-50),"-",(VLOOKUP($A370,'SegEnds_NonXtal_BW#'!$A:$Z,16,FALSE)+VLOOKUP($A370,A:AL,22,FALSE)-50))</f>
        <v>156</v>
      </c>
      <c r="X370" s="3" t="str">
        <f>IF(ISERROR(VLOOKUP($A370,'SegEnds_NonXtal_BW#'!$A:$Z,17,FALSE)+VLOOKUP($A370,A:AL,25,FALSE)-50),"-",(VLOOKUP($A370,'SegEnds_NonXtal_BW#'!$A:$Z,17,FALSE)+VLOOKUP($A370,A:AL,25,FALSE)-50))</f>
        <v>-</v>
      </c>
      <c r="Y370" s="3" t="s">
        <v>23</v>
      </c>
      <c r="Z370" s="3" t="str">
        <f>IF(ISERROR(VLOOKUP($A370,'SegEnds_NonXtal_BW#'!$A:$Z,18,FALSE)+VLOOKUP($A370,A:AL,25,FALSE)-50),"-",(VLOOKUP($A370,'SegEnds_NonXtal_BW#'!$A:$Z,18,FALSE)+VLOOKUP($A370,A:AL,25,FALSE)-50))</f>
        <v>-</v>
      </c>
      <c r="AA370" s="3">
        <f>IF(ISERROR(VLOOKUP($A370,'SegEnds_NonXtal_BW#'!$A:$Z,19,FALSE)+VLOOKUP($A370,A:AL,28,FALSE)-50),"-",(VLOOKUP($A370,'SegEnds_NonXtal_BW#'!$A:$Z,19,FALSE)+VLOOKUP($A370,A:AL,28,FALSE)-50))</f>
        <v>173</v>
      </c>
      <c r="AB370" s="3">
        <v>187</v>
      </c>
      <c r="AC370" s="3">
        <f>IF(ISERROR((VLOOKUP($A370,'SegEnds_NonXtal_BW#'!$A:$Z,20,FALSE)+VLOOKUP($A370,A:AL,28,FALSE)-50)),"-",(VLOOKUP($A370,'SegEnds_NonXtal_BW#'!$A:$Z,20,FALSE)+VLOOKUP($A370,A:AL,28,FALSE)-50))</f>
        <v>198</v>
      </c>
      <c r="AD370" s="3">
        <f>IF(ISERROR(VLOOKUP($A370,'SegEnds_NonXtal_BW#'!$A:$Z,21,FALSE)+VLOOKUP($A370,A:AL,31,FALSE)-50),"-",(VLOOKUP($A370,'SegEnds_NonXtal_BW#'!$A:$Z,21,FALSE)+VLOOKUP($A370,A:AL,31,FALSE)-50))</f>
        <v>209</v>
      </c>
      <c r="AE370" s="3">
        <v>226</v>
      </c>
      <c r="AF370" s="3">
        <f>IF(ISERROR((VLOOKUP($A370,'SegEnds_NonXtal_BW#'!$A:$Z,22,FALSE)+VLOOKUP($A370,A:AL,31,FALSE)-50)),"-",(VLOOKUP($A370,'SegEnds_NonXtal_BW#'!$A:$Z,22,FALSE)+VLOOKUP($A370,A:AL,31,FALSE)-50))</f>
        <v>233</v>
      </c>
      <c r="AG370" s="3">
        <f>IF(ISERROR(VLOOKUP($A370,'SegEnds_NonXtal_BW#'!$A:$Z,23,FALSE)+VLOOKUP($A370,A:AL,34,FALSE)-50),"-",(VLOOKUP($A370,'SegEnds_NonXtal_BW#'!$A:$Z,23,FALSE)+VLOOKUP($A370,A:AL,34,FALSE)-50))</f>
        <v>240</v>
      </c>
      <c r="AH370" s="3">
        <v>257</v>
      </c>
      <c r="AI370" s="3">
        <f>IF(ISERROR((VLOOKUP($A370,'SegEnds_NonXtal_BW#'!$A:$Z,24,FALSE)+VLOOKUP($A370,A:AL,34,FALSE)-50)),"-",(VLOOKUP($A370,'SegEnds_NonXtal_BW#'!$A:$Z,24,FALSE)+VLOOKUP($A370,A:AL,34,FALSE)-50))</f>
        <v>271</v>
      </c>
      <c r="AJ370" s="3">
        <v>273</v>
      </c>
      <c r="AK370" s="3">
        <v>278</v>
      </c>
      <c r="AL370" s="3">
        <v>285</v>
      </c>
      <c r="AM370" s="28" t="str">
        <f>VLOOKUP(A370,Classification!A:B,2,FALSE)</f>
        <v>C</v>
      </c>
      <c r="AN370" s="28" t="b">
        <f t="shared" si="220"/>
        <v>1</v>
      </c>
      <c r="AO370" s="3" t="str">
        <f>IF(ISERROR(MATCH(A370,'SegEnds_Xtal_Prot#'!B:B, 0)), "NoXtal", "Xtal")</f>
        <v>NoXtal</v>
      </c>
      <c r="AP370" s="3">
        <f t="shared" si="205"/>
        <v>1</v>
      </c>
      <c r="AQ370" s="3">
        <f t="shared" si="206"/>
        <v>1</v>
      </c>
      <c r="AR370" s="3" t="str">
        <f t="shared" si="207"/>
        <v>-</v>
      </c>
      <c r="AS370" s="3" t="str">
        <f t="shared" si="208"/>
        <v>-</v>
      </c>
      <c r="AT370" s="3" t="str">
        <f t="shared" si="209"/>
        <v>-</v>
      </c>
      <c r="AU370" s="3" t="str">
        <f t="shared" si="210"/>
        <v>-</v>
      </c>
      <c r="AV370" s="3" t="str">
        <f t="shared" si="211"/>
        <v>-</v>
      </c>
      <c r="AW370" s="3" t="str">
        <f t="shared" si="212"/>
        <v>-</v>
      </c>
      <c r="AX370" s="3">
        <f t="shared" si="213"/>
        <v>11</v>
      </c>
      <c r="AY370" s="3">
        <f t="shared" si="214"/>
        <v>7</v>
      </c>
      <c r="AZ370" s="3">
        <f t="shared" si="215"/>
        <v>2</v>
      </c>
      <c r="BA370" s="3">
        <f>IF(ISERROR(LEN(VLOOKUP(A370,Seqs!A:E,2,FALSE))-AL370),"-",LEN(VLOOKUP(A370,Seqs!A:E,2,FALSE))-AL370)</f>
        <v>72</v>
      </c>
      <c r="BB370" s="16">
        <f t="shared" si="216"/>
        <v>33</v>
      </c>
      <c r="BC370" s="9" t="str">
        <f t="shared" si="217"/>
        <v>-</v>
      </c>
      <c r="BD370" s="3">
        <f t="shared" si="218"/>
        <v>33</v>
      </c>
      <c r="BE370" s="3">
        <f t="shared" si="219"/>
        <v>39</v>
      </c>
    </row>
    <row r="371" spans="1:58" s="3" customFormat="1" ht="17" customHeight="1" x14ac:dyDescent="0.2">
      <c r="A371" s="3" t="s">
        <v>122</v>
      </c>
      <c r="B371" s="3" t="str">
        <f>LOWER(VLOOKUP(A371,Xtal_Templ!A:B,2,FALSE))</f>
        <v>grm1_human</v>
      </c>
      <c r="C371" s="3">
        <f>VLOOKUP($A371,'SegEnds_NonXtal_BW#'!$A:$Z,3,FALSE)+D371-50</f>
        <v>565</v>
      </c>
      <c r="D371" s="3">
        <v>581</v>
      </c>
      <c r="E371" s="3">
        <f>IF(ISERROR(VLOOKUP($A371,'SegEnds_NonXtal_BW#'!$A:$Z,4,FALSE)+VLOOKUP($A371,A:AL,4,FALSE)-50),"-",(VLOOKUP($A371,'SegEnds_NonXtal_BW#'!$A:$Z,4,FALSE)+VLOOKUP($A371,A:AL,4,FALSE)-50))</f>
        <v>591</v>
      </c>
      <c r="F371" s="3">
        <f t="shared" si="222"/>
        <v>594</v>
      </c>
      <c r="G371" s="3">
        <v>597</v>
      </c>
      <c r="H371" s="3">
        <f t="shared" si="223"/>
        <v>600</v>
      </c>
      <c r="I371" s="3">
        <f t="shared" si="224"/>
        <v>601</v>
      </c>
      <c r="J371" s="3">
        <v>612</v>
      </c>
      <c r="K371" s="3">
        <f>VLOOKUP($A371,'SegEnds_NonXtal_BW#'!$A:$Z,8,FALSE)+VLOOKUP($A371,A:AL,10,FALSE)-50</f>
        <v>623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628</v>
      </c>
      <c r="P371" s="3">
        <v>656</v>
      </c>
      <c r="Q371" s="3">
        <f>VLOOKUP($A371,'SegEnds_NonXtal_BW#'!$A:$Z,12,FALSE)+VLOOKUP($A371,A:AL,16,FALSE)-50</f>
        <v>660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720</v>
      </c>
      <c r="Y371" s="3">
        <v>720</v>
      </c>
      <c r="Z371" s="3">
        <f t="shared" ref="Z371:Z384" si="226">Y371+2</f>
        <v>722</v>
      </c>
      <c r="AA371" s="3">
        <f>IF(ISERROR(VLOOKUP($A371,'SegEnds_NonXtal_BW#'!$A:$Z,19,FALSE)+VLOOKUP($A371,A:AL,28,FALSE)-50),"-",(VLOOKUP($A371,'SegEnds_NonXtal_BW#'!$A:$Z,19,FALSE)+VLOOKUP($A371,A:AL,28,FALSE)-50))</f>
        <v>724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787</v>
      </c>
      <c r="AH371" s="3">
        <v>804</v>
      </c>
      <c r="AI371" s="3">
        <f>IF(ISERROR((VLOOKUP($A371,'SegEnds_NonXtal_BW#'!$A:$Z,24,FALSE)+VLOOKUP($A371,A:AL,34,FALSE)-50)),"-",(VLOOKUP($A371,'SegEnds_NonXtal_BW#'!$A:$Z,24,FALSE)+VLOOKUP($A371,A:AL,34,FALSE)-50))</f>
        <v>818</v>
      </c>
      <c r="AJ371" s="3">
        <f>IF(ISERROR(VLOOKUP($A371,'SegEnds_NonXtal_BW#'!$A:$Z,25,FALSE)+VLOOKUP($A371,A:AL,37,FALSE)-50),"-",(VLOOKUP($A371,'SegEnds_NonXtal_BW#'!$A:$Z,25,FALSE)+VLOOKUP($A371,A:AL,37,FALSE)-50))</f>
        <v>819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830</v>
      </c>
      <c r="AM371" s="28" t="str">
        <f>VLOOKUP(A371,Classification!A:B,2,FALSE)</f>
        <v>C</v>
      </c>
      <c r="AN371" s="28" t="b">
        <f t="shared" si="220"/>
        <v>1</v>
      </c>
      <c r="AO371" s="3" t="str">
        <f>IF(ISERROR(MATCH(A371,'SegEnds_Xtal_Prot#'!B:B, 0)), "NoXtal", "Xtal")</f>
        <v>NoXtal</v>
      </c>
      <c r="AP371" s="3">
        <f t="shared" si="205"/>
        <v>3</v>
      </c>
      <c r="AQ371" s="3">
        <f t="shared" si="206"/>
        <v>1</v>
      </c>
      <c r="AR371" s="3" t="str">
        <f t="shared" si="207"/>
        <v>-</v>
      </c>
      <c r="AS371" s="3" t="str">
        <f t="shared" si="208"/>
        <v>-</v>
      </c>
      <c r="AT371" s="3" t="str">
        <f t="shared" si="209"/>
        <v>-</v>
      </c>
      <c r="AU371" s="3" t="str">
        <f t="shared" si="210"/>
        <v>-</v>
      </c>
      <c r="AV371" s="3">
        <f t="shared" si="211"/>
        <v>19</v>
      </c>
      <c r="AW371" s="3">
        <f t="shared" si="212"/>
        <v>2</v>
      </c>
      <c r="AX371" s="3">
        <f t="shared" si="213"/>
        <v>9</v>
      </c>
      <c r="AY371" s="3">
        <f t="shared" si="214"/>
        <v>5</v>
      </c>
      <c r="AZ371" s="3">
        <f t="shared" si="215"/>
        <v>1</v>
      </c>
      <c r="BA371" s="3">
        <f>IF(ISERROR(LEN(VLOOKUP(A371,Seqs!A:E,2,FALSE))-AL371),"-",LEN(VLOOKUP(A371,Seqs!A:E,2,FALSE))-AL371)</f>
        <v>11</v>
      </c>
      <c r="BB371" s="16">
        <f t="shared" si="216"/>
        <v>31</v>
      </c>
      <c r="BC371" s="9" t="str">
        <f t="shared" si="217"/>
        <v>-</v>
      </c>
      <c r="BD371" s="3">
        <f t="shared" si="218"/>
        <v>31</v>
      </c>
      <c r="BE371" s="3">
        <f t="shared" si="219"/>
        <v>37</v>
      </c>
      <c r="BF371" s="3">
        <f>AH371-AE371</f>
        <v>29</v>
      </c>
    </row>
    <row r="372" spans="1:58" s="3" customFormat="1" x14ac:dyDescent="0.2">
      <c r="A372" s="3" t="s">
        <v>123</v>
      </c>
      <c r="B372" s="3" t="str">
        <f>LOWER(VLOOKUP(A372,Xtal_Templ!A:B,2,FALSE))</f>
        <v>grm1_human</v>
      </c>
      <c r="C372" s="3">
        <f>VLOOKUP($A372,'SegEnds_NonXtal_BW#'!$A:$Z,3,FALSE)+D372-50</f>
        <v>564</v>
      </c>
      <c r="D372" s="3">
        <v>580</v>
      </c>
      <c r="E372" s="3">
        <f>IF(ISERROR(VLOOKUP($A372,'SegEnds_NonXtal_BW#'!$A:$Z,4,FALSE)+VLOOKUP($A372,A:AL,4,FALSE)-50),"-",(VLOOKUP($A372,'SegEnds_NonXtal_BW#'!$A:$Z,4,FALSE)+VLOOKUP($A372,A:AL,4,FALSE)-50))</f>
        <v>590</v>
      </c>
      <c r="F372" s="3">
        <f t="shared" si="222"/>
        <v>593</v>
      </c>
      <c r="G372" s="3">
        <v>596</v>
      </c>
      <c r="H372" s="3">
        <f t="shared" si="223"/>
        <v>599</v>
      </c>
      <c r="I372" s="3">
        <f t="shared" si="224"/>
        <v>600</v>
      </c>
      <c r="J372" s="3">
        <v>611</v>
      </c>
      <c r="K372" s="3">
        <f>VLOOKUP($A372,'SegEnds_NonXtal_BW#'!$A:$Z,8,FALSE)+VLOOKUP($A372,A:AL,10,FALSE)-50</f>
        <v>622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627</v>
      </c>
      <c r="P372" s="3">
        <v>655</v>
      </c>
      <c r="Q372" s="3">
        <f>VLOOKUP($A372,'SegEnds_NonXtal_BW#'!$A:$Z,12,FALSE)+VLOOKUP($A372,A:AL,16,FALSE)-50</f>
        <v>659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674</v>
      </c>
      <c r="V372" s="3">
        <v>686</v>
      </c>
      <c r="W372" s="3">
        <f>IF(ISERROR(VLOOKUP($A372,'SegEnds_NonXtal_BW#'!$A:$Z,16,FALSE)+VLOOKUP($A372,A:AL,22,FALSE)-50),"-",(VLOOKUP($A372,'SegEnds_NonXtal_BW#'!$A:$Z,16,FALSE)+VLOOKUP($A372,A:AL,22,FALSE)-50))</f>
        <v>700</v>
      </c>
      <c r="X372" s="3">
        <f>IF(ISERROR(VLOOKUP($A372,'SegEnds_NonXtal_BW#'!$A:$Z,17,FALSE)+VLOOKUP($A372,A:AL,25,FALSE)-50),"-",(VLOOKUP($A372,'SegEnds_NonXtal_BW#'!$A:$Z,17,FALSE)+VLOOKUP($A372,A:AL,25,FALSE)-50))</f>
        <v>720</v>
      </c>
      <c r="Y372" s="3">
        <v>720</v>
      </c>
      <c r="Z372" s="3">
        <f t="shared" si="226"/>
        <v>722</v>
      </c>
      <c r="AA372" s="3">
        <f>IF(ISERROR(VLOOKUP($A372,'SegEnds_NonXtal_BW#'!$A:$Z,19,FALSE)+VLOOKUP($A372,A:AL,28,FALSE)-50),"-",(VLOOKUP($A372,'SegEnds_NonXtal_BW#'!$A:$Z,19,FALSE)+VLOOKUP($A372,A:AL,28,FALSE)-50))</f>
        <v>724</v>
      </c>
      <c r="AB372" s="3">
        <v>738</v>
      </c>
      <c r="AC372" s="3">
        <f>IF(ISERROR((VLOOKUP($A372,'SegEnds_NonXtal_BW#'!$A:$Z,20,FALSE)+VLOOKUP($A372,A:AL,28,FALSE)-50)),"-",(VLOOKUP($A372,'SegEnds_NonXtal_BW#'!$A:$Z,20,FALSE)+VLOOKUP($A372,A:AL,28,FALSE)-50))</f>
        <v>749</v>
      </c>
      <c r="AD372" s="3">
        <f>IF(ISERROR(VLOOKUP($A372,'SegEnds_NonXtal_BW#'!$A:$Z,21,FALSE)+VLOOKUP($A372,A:AL,31,FALSE)-50),"-",(VLOOKUP($A372,'SegEnds_NonXtal_BW#'!$A:$Z,21,FALSE)+VLOOKUP($A372,A:AL,31,FALSE)-50))</f>
        <v>758</v>
      </c>
      <c r="AE372" s="3">
        <v>775</v>
      </c>
      <c r="AF372" s="3">
        <f>IF(ISERROR((VLOOKUP($A372,'SegEnds_NonXtal_BW#'!$A:$Z,22,FALSE)+VLOOKUP($A372,A:AL,31,FALSE)-50)),"-",(VLOOKUP($A372,'SegEnds_NonXtal_BW#'!$A:$Z,22,FALSE)+VLOOKUP($A372,A:AL,31,FALSE)-50))</f>
        <v>782</v>
      </c>
      <c r="AG372" s="3">
        <f>IF(ISERROR(VLOOKUP($A372,'SegEnds_NonXtal_BW#'!$A:$Z,23,FALSE)+VLOOKUP($A372,A:AL,34,FALSE)-50),"-",(VLOOKUP($A372,'SegEnds_NonXtal_BW#'!$A:$Z,23,FALSE)+VLOOKUP($A372,A:AL,34,FALSE)-50))</f>
        <v>787</v>
      </c>
      <c r="AH372" s="3">
        <v>804</v>
      </c>
      <c r="AI372" s="3">
        <f>IF(ISERROR((VLOOKUP($A372,'SegEnds_NonXtal_BW#'!$A:$Z,24,FALSE)+VLOOKUP($A372,A:AL,34,FALSE)-50)),"-",(VLOOKUP($A372,'SegEnds_NonXtal_BW#'!$A:$Z,24,FALSE)+VLOOKUP($A372,A:AL,34,FALSE)-50))</f>
        <v>818</v>
      </c>
      <c r="AJ372" s="3">
        <f>IF(ISERROR(VLOOKUP($A372,'SegEnds_NonXtal_BW#'!$A:$Z,25,FALSE)+VLOOKUP($A372,A:AL,37,FALSE)-50),"-",(VLOOKUP($A372,'SegEnds_NonXtal_BW#'!$A:$Z,25,FALSE)+VLOOKUP($A372,A:AL,37,FALSE)-50))</f>
        <v>819</v>
      </c>
      <c r="AK372" s="3">
        <v>823</v>
      </c>
      <c r="AL372" s="3">
        <f>IF(ISERROR((VLOOKUP($A372,'SegEnds_NonXtal_BW#'!$A:$Z,26,FALSE)+VLOOKUP($A372,A:AL,37,FALSE)-50)),"-",(VLOOKUP($A372,'SegEnds_NonXtal_BW#'!$A:$Z,26,FALSE)+VLOOKUP($A372,A:AL,37,FALSE)-50))</f>
        <v>830</v>
      </c>
      <c r="AM372" s="28" t="str">
        <f>VLOOKUP(A372,Classification!A:B,2,FALSE)</f>
        <v>C</v>
      </c>
      <c r="AN372" s="28" t="b">
        <f t="shared" si="220"/>
        <v>1</v>
      </c>
      <c r="AO372" s="3" t="str">
        <f>IF(ISERROR(MATCH(A372,'SegEnds_Xtal_Prot#'!B:B, 0)), "NoXtal", "Xtal")</f>
        <v>NoXtal</v>
      </c>
      <c r="AP372" s="3">
        <f t="shared" si="205"/>
        <v>3</v>
      </c>
      <c r="AQ372" s="3">
        <f t="shared" si="206"/>
        <v>1</v>
      </c>
      <c r="AR372" s="3" t="str">
        <f t="shared" si="207"/>
        <v>-</v>
      </c>
      <c r="AS372" s="3" t="str">
        <f t="shared" si="208"/>
        <v>-</v>
      </c>
      <c r="AT372" s="3" t="str">
        <f t="shared" si="209"/>
        <v>-</v>
      </c>
      <c r="AU372" s="3" t="str">
        <f t="shared" si="210"/>
        <v>-</v>
      </c>
      <c r="AV372" s="3">
        <f t="shared" si="211"/>
        <v>20</v>
      </c>
      <c r="AW372" s="3">
        <f t="shared" si="212"/>
        <v>2</v>
      </c>
      <c r="AX372" s="3">
        <f t="shared" si="213"/>
        <v>9</v>
      </c>
      <c r="AY372" s="3">
        <f t="shared" si="214"/>
        <v>5</v>
      </c>
      <c r="AZ372" s="3">
        <f t="shared" si="215"/>
        <v>1</v>
      </c>
      <c r="BA372" s="3">
        <f>IF(ISERROR(LEN(VLOOKUP(A372,Seqs!A:E,2,FALSE))-AL372),"-",LEN(VLOOKUP(A372,Seqs!A:E,2,FALSE))-AL372)</f>
        <v>9</v>
      </c>
      <c r="BB372" s="16">
        <f t="shared" si="216"/>
        <v>31</v>
      </c>
      <c r="BC372" s="9" t="str">
        <f t="shared" si="217"/>
        <v>-</v>
      </c>
      <c r="BD372" s="3">
        <f t="shared" si="218"/>
        <v>31</v>
      </c>
      <c r="BE372" s="3">
        <f t="shared" si="219"/>
        <v>37</v>
      </c>
      <c r="BF372" s="3">
        <f>AH372-AE372</f>
        <v>29</v>
      </c>
    </row>
    <row r="373" spans="1:58" s="3" customFormat="1" x14ac:dyDescent="0.2">
      <c r="A373" s="3" t="s">
        <v>124</v>
      </c>
      <c r="B373" s="3" t="str">
        <f>LOWER(VLOOKUP(A373,Xtal_Templ!A:B,2,FALSE))</f>
        <v>grm1_human</v>
      </c>
      <c r="C373" s="3">
        <f>VLOOKUP($A373,'SegEnds_NonXtal_BW#'!$A:$Z,3,FALSE)+D373-50</f>
        <v>567</v>
      </c>
      <c r="D373" s="3">
        <v>583</v>
      </c>
      <c r="E373" s="3">
        <f>IF(ISERROR(VLOOKUP($A373,'SegEnds_NonXtal_BW#'!$A:$Z,4,FALSE)+VLOOKUP($A373,A:AL,4,FALSE)-50),"-",(VLOOKUP($A373,'SegEnds_NonXtal_BW#'!$A:$Z,4,FALSE)+VLOOKUP($A373,A:AL,4,FALSE)-50))</f>
        <v>593</v>
      </c>
      <c r="F373" s="3">
        <f t="shared" si="222"/>
        <v>596</v>
      </c>
      <c r="G373" s="3">
        <v>599</v>
      </c>
      <c r="H373" s="3">
        <f t="shared" si="223"/>
        <v>602</v>
      </c>
      <c r="I373" s="3">
        <f t="shared" si="224"/>
        <v>603</v>
      </c>
      <c r="J373" s="3">
        <v>614</v>
      </c>
      <c r="K373" s="3">
        <f>VLOOKUP($A373,'SegEnds_NonXtal_BW#'!$A:$Z,8,FALSE)+VLOOKUP($A373,A:AL,10,FALSE)-50</f>
        <v>625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630</v>
      </c>
      <c r="P373" s="3">
        <v>658</v>
      </c>
      <c r="Q373" s="3">
        <f>VLOOKUP($A373,'SegEnds_NonXtal_BW#'!$A:$Z,12,FALSE)+VLOOKUP($A373,A:AL,16,FALSE)-50</f>
        <v>662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677</v>
      </c>
      <c r="V373" s="3">
        <v>689</v>
      </c>
      <c r="W373" s="3">
        <f>IF(ISERROR(VLOOKUP($A373,'SegEnds_NonXtal_BW#'!$A:$Z,16,FALSE)+VLOOKUP($A373,A:AL,22,FALSE)-50),"-",(VLOOKUP($A373,'SegEnds_NonXtal_BW#'!$A:$Z,16,FALSE)+VLOOKUP($A373,A:AL,22,FALSE)-50))</f>
        <v>703</v>
      </c>
      <c r="X373" s="3">
        <f>IF(ISERROR(VLOOKUP($A373,'SegEnds_NonXtal_BW#'!$A:$Z,17,FALSE)+VLOOKUP($A373,A:AL,25,FALSE)-50),"-",(VLOOKUP($A373,'SegEnds_NonXtal_BW#'!$A:$Z,17,FALSE)+VLOOKUP($A373,A:AL,25,FALSE)-50))</f>
        <v>722</v>
      </c>
      <c r="Y373" s="3">
        <v>722</v>
      </c>
      <c r="Z373" s="3">
        <f t="shared" si="226"/>
        <v>724</v>
      </c>
      <c r="AA373" s="3">
        <f>IF(ISERROR(VLOOKUP($A373,'SegEnds_NonXtal_BW#'!$A:$Z,19,FALSE)+VLOOKUP($A373,A:AL,28,FALSE)-50),"-",(VLOOKUP($A373,'SegEnds_NonXtal_BW#'!$A:$Z,19,FALSE)+VLOOKUP($A373,A:AL,28,FALSE)-50))</f>
        <v>726</v>
      </c>
      <c r="AB373" s="3">
        <v>740</v>
      </c>
      <c r="AC373" s="3">
        <f>IF(ISERROR((VLOOKUP($A373,'SegEnds_NonXtal_BW#'!$A:$Z,20,FALSE)+VLOOKUP($A373,A:AL,28,FALSE)-50)),"-",(VLOOKUP($A373,'SegEnds_NonXtal_BW#'!$A:$Z,20,FALSE)+VLOOKUP($A373,A:AL,28,FALSE)-50))</f>
        <v>751</v>
      </c>
      <c r="AD373" s="3">
        <f>IF(ISERROR(VLOOKUP($A373,'SegEnds_NonXtal_BW#'!$A:$Z,21,FALSE)+VLOOKUP($A373,A:AL,31,FALSE)-50),"-",(VLOOKUP($A373,'SegEnds_NonXtal_BW#'!$A:$Z,21,FALSE)+VLOOKUP($A373,A:AL,31,FALSE)-50))</f>
        <v>760</v>
      </c>
      <c r="AE373" s="3">
        <v>777</v>
      </c>
      <c r="AF373" s="3">
        <f>IF(ISERROR((VLOOKUP($A373,'SegEnds_NonXtal_BW#'!$A:$Z,22,FALSE)+VLOOKUP($A373,A:AL,31,FALSE)-50)),"-",(VLOOKUP($A373,'SegEnds_NonXtal_BW#'!$A:$Z,22,FALSE)+VLOOKUP($A373,A:AL,31,FALSE)-50))</f>
        <v>784</v>
      </c>
      <c r="AG373" s="3">
        <f>IF(ISERROR(VLOOKUP($A373,'SegEnds_NonXtal_BW#'!$A:$Z,23,FALSE)+VLOOKUP($A373,A:AL,34,FALSE)-50),"-",(VLOOKUP($A373,'SegEnds_NonXtal_BW#'!$A:$Z,23,FALSE)+VLOOKUP($A373,A:AL,34,FALSE)-50))</f>
        <v>789</v>
      </c>
      <c r="AH373" s="3">
        <v>806</v>
      </c>
      <c r="AI373" s="3">
        <f>IF(ISERROR((VLOOKUP($A373,'SegEnds_NonXtal_BW#'!$A:$Z,24,FALSE)+VLOOKUP($A373,A:AL,34,FALSE)-50)),"-",(VLOOKUP($A373,'SegEnds_NonXtal_BW#'!$A:$Z,24,FALSE)+VLOOKUP($A373,A:AL,34,FALSE)-50))</f>
        <v>820</v>
      </c>
      <c r="AJ373" s="3">
        <f>IF(ISERROR(VLOOKUP($A373,'SegEnds_NonXtal_BW#'!$A:$Z,25,FALSE)+VLOOKUP($A373,A:AL,37,FALSE)-50),"-",(VLOOKUP($A373,'SegEnds_NonXtal_BW#'!$A:$Z,25,FALSE)+VLOOKUP($A373,A:AL,37,FALSE)-50))</f>
        <v>821</v>
      </c>
      <c r="AK373" s="3">
        <v>825</v>
      </c>
      <c r="AL373" s="3">
        <f>IF(ISERROR((VLOOKUP($A373,'SegEnds_NonXtal_BW#'!$A:$Z,26,FALSE)+VLOOKUP($A373,A:AL,37,FALSE)-50)),"-",(VLOOKUP($A373,'SegEnds_NonXtal_BW#'!$A:$Z,26,FALSE)+VLOOKUP($A373,A:AL,37,FALSE)-50))</f>
        <v>832</v>
      </c>
      <c r="AM373" s="28" t="str">
        <f>VLOOKUP(A373,Classification!A:B,2,FALSE)</f>
        <v>C</v>
      </c>
      <c r="AN373" s="28" t="b">
        <f t="shared" si="220"/>
        <v>1</v>
      </c>
      <c r="AO373" s="3" t="str">
        <f>IF(ISERROR(MATCH(A373,'SegEnds_Xtal_Prot#'!B:B, 0)), "NoXtal", "Xtal")</f>
        <v>NoXtal</v>
      </c>
      <c r="AP373" s="3">
        <f t="shared" si="205"/>
        <v>3</v>
      </c>
      <c r="AQ373" s="3">
        <f t="shared" si="206"/>
        <v>1</v>
      </c>
      <c r="AR373" s="3" t="str">
        <f t="shared" si="207"/>
        <v>-</v>
      </c>
      <c r="AS373" s="3" t="str">
        <f t="shared" si="208"/>
        <v>-</v>
      </c>
      <c r="AT373" s="3" t="str">
        <f t="shared" si="209"/>
        <v>-</v>
      </c>
      <c r="AU373" s="3" t="str">
        <f t="shared" si="210"/>
        <v>-</v>
      </c>
      <c r="AV373" s="3">
        <f t="shared" si="211"/>
        <v>19</v>
      </c>
      <c r="AW373" s="3">
        <f t="shared" si="212"/>
        <v>2</v>
      </c>
      <c r="AX373" s="3">
        <f t="shared" si="213"/>
        <v>9</v>
      </c>
      <c r="AY373" s="3">
        <f t="shared" si="214"/>
        <v>5</v>
      </c>
      <c r="AZ373" s="3">
        <f t="shared" si="215"/>
        <v>1</v>
      </c>
      <c r="BA373" s="3">
        <f>IF(ISERROR(LEN(VLOOKUP(A373,Seqs!A:E,2,FALSE))-AL373),"-",LEN(VLOOKUP(A373,Seqs!A:E,2,FALSE))-AL373)</f>
        <v>20</v>
      </c>
      <c r="BB373" s="16">
        <f t="shared" si="216"/>
        <v>31</v>
      </c>
      <c r="BC373" s="9" t="str">
        <f t="shared" si="217"/>
        <v>-</v>
      </c>
      <c r="BD373" s="3">
        <f t="shared" si="218"/>
        <v>31</v>
      </c>
      <c r="BE373" s="3">
        <f t="shared" si="219"/>
        <v>37</v>
      </c>
      <c r="BF373" s="3">
        <f>AH373-AE373</f>
        <v>29</v>
      </c>
    </row>
    <row r="374" spans="1:58" s="3" customFormat="1" x14ac:dyDescent="0.2">
      <c r="A374" s="3" t="s">
        <v>446</v>
      </c>
      <c r="B374" s="3" t="str">
        <f>LOWER(VLOOKUP(A374,Xtal_Templ!A:B,2,FALSE))</f>
        <v>fzd4_human</v>
      </c>
      <c r="C374" s="3">
        <f>VLOOKUP($A374,'SegEnds_NonXtal_BW#'!$A:$Z,3,FALSE)+D374-50</f>
        <v>312</v>
      </c>
      <c r="D374" s="3">
        <v>334</v>
      </c>
      <c r="E374" s="3">
        <f>IF(ISERROR(VLOOKUP($A374,'SegEnds_NonXtal_BW#'!$A:$Z,4,FALSE)+VLOOKUP($A374,A:AL,4,FALSE)-50),"-",(VLOOKUP($A374,'SegEnds_NonXtal_BW#'!$A:$Z,4,FALSE)+VLOOKUP($A374,A:AL,4,FALSE)-50))</f>
        <v>344</v>
      </c>
      <c r="F374" s="3">
        <f t="shared" si="222"/>
        <v>345</v>
      </c>
      <c r="G374" s="3">
        <v>348</v>
      </c>
      <c r="H374" s="3">
        <f t="shared" ref="H374:H384" si="227">G374+1</f>
        <v>349</v>
      </c>
      <c r="I374" s="3">
        <f t="shared" si="224"/>
        <v>350</v>
      </c>
      <c r="J374" s="3">
        <v>360</v>
      </c>
      <c r="K374" s="3">
        <f>VLOOKUP($A374,'SegEnds_NonXtal_BW#'!$A:$Z,8,FALSE)+VLOOKUP($A374,A:AL,10,FALSE)-50</f>
        <v>376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399</v>
      </c>
      <c r="P374" s="3">
        <v>427</v>
      </c>
      <c r="Q374" s="3">
        <f>VLOOKUP($A374,'SegEnds_NonXtal_BW#'!$A:$Z,12,FALSE)+VLOOKUP($A374,A:AL,16,FALSE)-50</f>
        <v>432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443</v>
      </c>
      <c r="V374" s="3">
        <v>452</v>
      </c>
      <c r="W374" s="3">
        <f>IF(ISERROR(VLOOKUP($A374,'SegEnds_NonXtal_BW#'!$A:$Z,16,FALSE)+VLOOKUP($A374,A:AL,22,FALSE)-50),"-",(VLOOKUP($A374,'SegEnds_NonXtal_BW#'!$A:$Z,16,FALSE)+VLOOKUP($A374,A:AL,22,FALSE)-50))</f>
        <v>466</v>
      </c>
      <c r="X374" s="3">
        <f>IF(ISERROR(VLOOKUP($A374,'SegEnds_NonXtal_BW#'!$A:$Z,17,FALSE)+VLOOKUP($A374,A:AL,25,FALSE)-50),"-",(VLOOKUP($A374,'SegEnds_NonXtal_BW#'!$A:$Z,17,FALSE)+VLOOKUP($A374,A:AL,25,FALSE)-50))</f>
        <v>477</v>
      </c>
      <c r="Y374" s="3">
        <v>477</v>
      </c>
      <c r="Z374" s="3">
        <f t="shared" si="226"/>
        <v>479</v>
      </c>
      <c r="AA374" s="3">
        <f>IF(ISERROR(VLOOKUP($A374,'SegEnds_NonXtal_BW#'!$A:$Z,19,FALSE)+VLOOKUP($A374,A:AL,28,FALSE)-50),"-",(VLOOKUP($A374,'SegEnds_NonXtal_BW#'!$A:$Z,19,FALSE)+VLOOKUP($A374,A:AL,28,FALSE)-50))</f>
        <v>483</v>
      </c>
      <c r="AB374" s="3">
        <v>498</v>
      </c>
      <c r="AC374" s="3">
        <f>IF(ISERROR((VLOOKUP($A374,'SegEnds_NonXtal_BW#'!$A:$Z,20,FALSE)+VLOOKUP($A374,A:AL,28,FALSE)-50)),"-",(VLOOKUP($A374,'SegEnds_NonXtal_BW#'!$A:$Z,20,FALSE)+VLOOKUP($A374,A:AL,28,FALSE)-50))</f>
        <v>520</v>
      </c>
      <c r="AD374" s="3">
        <f>IF(ISERROR(VLOOKUP($A374,'SegEnds_NonXtal_BW#'!$A:$Z,21,FALSE)+VLOOKUP($A374,A:AL,31,FALSE)-50),"-",(VLOOKUP($A374,'SegEnds_NonXtal_BW#'!$A:$Z,21,FALSE)+VLOOKUP($A374,A:AL,31,FALSE)-50))</f>
        <v>531</v>
      </c>
      <c r="AE374" s="3">
        <v>553</v>
      </c>
      <c r="AF374" s="3">
        <f>IF(ISERROR((VLOOKUP($A374,'SegEnds_NonXtal_BW#'!$A:$Z,22,FALSE)+VLOOKUP($A374,A:AL,31,FALSE)-50)),"-",(VLOOKUP($A374,'SegEnds_NonXtal_BW#'!$A:$Z,22,FALSE)+VLOOKUP($A374,A:AL,31,FALSE)-50))</f>
        <v>581</v>
      </c>
      <c r="AG374" s="3">
        <f>IF(ISERROR(VLOOKUP($A374,'SegEnds_NonXtal_BW#'!$A:$Z,23,FALSE)+VLOOKUP($A374,A:AL,34,FALSE)-50),"-",(VLOOKUP($A374,'SegEnds_NonXtal_BW#'!$A:$Z,23,FALSE)+VLOOKUP($A374,A:AL,34,FALSE)-50))</f>
        <v>599</v>
      </c>
      <c r="AH374" s="3">
        <v>615</v>
      </c>
      <c r="AI374" s="3">
        <f>IF(ISERROR((VLOOKUP($A374,'SegEnds_NonXtal_BW#'!$A:$Z,24,FALSE)+VLOOKUP($A374,A:AL,34,FALSE)-50)),"-",(VLOOKUP($A374,'SegEnds_NonXtal_BW#'!$A:$Z,24,FALSE)+VLOOKUP($A374,A:AL,34,FALSE)-50))</f>
        <v>622</v>
      </c>
      <c r="AJ374" s="3">
        <f>IF(ISERROR(VLOOKUP($A374,'SegEnds_NonXtal_BW#'!$A:$Z,25,FALSE)+VLOOKUP($A374,A:AL,37,FALSE)-50),"-",(VLOOKUP($A374,'SegEnds_NonXtal_BW#'!$A:$Z,25,FALSE)+VLOOKUP($A374,A:AL,37,FALSE)-50))</f>
        <v>623</v>
      </c>
      <c r="AK374" s="3">
        <v>626</v>
      </c>
      <c r="AL374" s="3">
        <f>IF(ISERROR((VLOOKUP($A374,'SegEnds_NonXtal_BW#'!$A:$Z,26,FALSE)+VLOOKUP($A374,A:AL,37,FALSE)-50)),"-",(VLOOKUP($A374,'SegEnds_NonXtal_BW#'!$A:$Z,26,FALSE)+VLOOKUP($A374,A:AL,37,FALSE)-50))</f>
        <v>638</v>
      </c>
      <c r="AM374" s="28" t="str">
        <f>VLOOKUP(A374,Classification!A:B,2,FALSE)</f>
        <v>F</v>
      </c>
      <c r="AN374" s="28" t="b">
        <f t="shared" si="220"/>
        <v>1</v>
      </c>
      <c r="AO374" s="3" t="str">
        <f>IF(ISERROR(MATCH(A374,'SegEnds_Xtal_Prot#'!B:B, 0)), "NoXtal", "Xtal")</f>
        <v>NoXtal</v>
      </c>
      <c r="AP374" s="3">
        <f t="shared" si="205"/>
        <v>1</v>
      </c>
      <c r="AQ374" s="3">
        <f t="shared" si="206"/>
        <v>1</v>
      </c>
      <c r="AR374" s="3" t="str">
        <f t="shared" si="207"/>
        <v>-</v>
      </c>
      <c r="AS374" s="3" t="str">
        <f t="shared" si="208"/>
        <v>-</v>
      </c>
      <c r="AT374" s="3" t="str">
        <f t="shared" si="209"/>
        <v>-</v>
      </c>
      <c r="AU374" s="3" t="str">
        <f t="shared" si="210"/>
        <v>-</v>
      </c>
      <c r="AV374" s="3">
        <f t="shared" si="211"/>
        <v>11</v>
      </c>
      <c r="AW374" s="3">
        <f t="shared" si="212"/>
        <v>4</v>
      </c>
      <c r="AX374" s="3">
        <f t="shared" si="213"/>
        <v>11</v>
      </c>
      <c r="AY374" s="3">
        <f t="shared" si="214"/>
        <v>18</v>
      </c>
      <c r="AZ374" s="3">
        <f t="shared" si="215"/>
        <v>1</v>
      </c>
      <c r="BA374" s="3">
        <f>IF(ISERROR(LEN(VLOOKUP(A374,Seqs!A:E,2,FALSE))-AL374),"-",LEN(VLOOKUP(A374,Seqs!A:E,2,FALSE))-AL374)</f>
        <v>9</v>
      </c>
      <c r="BB374" s="16">
        <f t="shared" si="216"/>
        <v>26</v>
      </c>
      <c r="BC374" s="9" t="str">
        <f t="shared" si="217"/>
        <v>-</v>
      </c>
      <c r="BD374" s="3">
        <f t="shared" si="218"/>
        <v>26</v>
      </c>
      <c r="BE374" s="3">
        <f t="shared" si="219"/>
        <v>55</v>
      </c>
      <c r="BF374" s="3">
        <f>AH374-AE374</f>
        <v>62</v>
      </c>
    </row>
    <row r="375" spans="1:58" s="3" customFormat="1" x14ac:dyDescent="0.2">
      <c r="A375" s="3" t="s">
        <v>447</v>
      </c>
      <c r="B375" s="3" t="str">
        <f>LOWER(VLOOKUP(A375,Xtal_Templ!A:B,2,FALSE))</f>
        <v>fzd4_human</v>
      </c>
      <c r="C375" s="3">
        <f>VLOOKUP($A375,'SegEnds_NonXtal_BW#'!$A:$Z,3,FALSE)+D375-50</f>
        <v>220</v>
      </c>
      <c r="D375" s="3">
        <v>242</v>
      </c>
      <c r="E375" s="3">
        <f>IF(ISERROR(VLOOKUP($A375,'SegEnds_NonXtal_BW#'!$A:$Z,4,FALSE)+VLOOKUP($A375,A:AL,4,FALSE)-50),"-",(VLOOKUP($A375,'SegEnds_NonXtal_BW#'!$A:$Z,4,FALSE)+VLOOKUP($A375,A:AL,4,FALSE)-50))</f>
        <v>252</v>
      </c>
      <c r="F375" s="3">
        <f t="shared" si="222"/>
        <v>253</v>
      </c>
      <c r="G375" s="3">
        <v>256</v>
      </c>
      <c r="H375" s="3">
        <f t="shared" si="227"/>
        <v>257</v>
      </c>
      <c r="I375" s="3">
        <f t="shared" si="224"/>
        <v>258</v>
      </c>
      <c r="J375" s="3">
        <v>268</v>
      </c>
      <c r="K375" s="3">
        <f>VLOOKUP($A375,'SegEnds_NonXtal_BW#'!$A:$Z,8,FALSE)+VLOOKUP($A375,A:AL,10,FALSE)-50</f>
        <v>284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306</v>
      </c>
      <c r="P375" s="3">
        <v>334</v>
      </c>
      <c r="Q375" s="3">
        <f>VLOOKUP($A375,'SegEnds_NonXtal_BW#'!$A:$Z,12,FALSE)+VLOOKUP($A375,A:AL,16,FALSE)-50</f>
        <v>339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350</v>
      </c>
      <c r="V375" s="3">
        <v>359</v>
      </c>
      <c r="W375" s="3">
        <f>IF(ISERROR(VLOOKUP($A375,'SegEnds_NonXtal_BW#'!$A:$Z,16,FALSE)+VLOOKUP($A375,A:AL,22,FALSE)-50),"-",(VLOOKUP($A375,'SegEnds_NonXtal_BW#'!$A:$Z,16,FALSE)+VLOOKUP($A375,A:AL,22,FALSE)-50))</f>
        <v>373</v>
      </c>
      <c r="X375" s="3">
        <f>IF(ISERROR(VLOOKUP($A375,'SegEnds_NonXtal_BW#'!$A:$Z,17,FALSE)+VLOOKUP($A375,A:AL,25,FALSE)-50),"-",(VLOOKUP($A375,'SegEnds_NonXtal_BW#'!$A:$Z,17,FALSE)+VLOOKUP($A375,A:AL,25,FALSE)-50))</f>
        <v>384</v>
      </c>
      <c r="Y375" s="3">
        <v>384</v>
      </c>
      <c r="Z375" s="3">
        <f t="shared" si="226"/>
        <v>386</v>
      </c>
      <c r="AA375" s="3">
        <f>IF(ISERROR(VLOOKUP($A375,'SegEnds_NonXtal_BW#'!$A:$Z,19,FALSE)+VLOOKUP($A375,A:AL,28,FALSE)-50),"-",(VLOOKUP($A375,'SegEnds_NonXtal_BW#'!$A:$Z,19,FALSE)+VLOOKUP($A375,A:AL,28,FALSE)-50))</f>
        <v>390</v>
      </c>
      <c r="AB375" s="3">
        <v>405</v>
      </c>
      <c r="AC375" s="3">
        <f>IF(ISERROR((VLOOKUP($A375,'SegEnds_NonXtal_BW#'!$A:$Z,20,FALSE)+VLOOKUP($A375,A:AL,28,FALSE)-50)),"-",(VLOOKUP($A375,'SegEnds_NonXtal_BW#'!$A:$Z,20,FALSE)+VLOOKUP($A375,A:AL,28,FALSE)-50))</f>
        <v>427</v>
      </c>
      <c r="AD375" s="3">
        <f>IF(ISERROR(VLOOKUP($A375,'SegEnds_NonXtal_BW#'!$A:$Z,21,FALSE)+VLOOKUP($A375,A:AL,31,FALSE)-50),"-",(VLOOKUP($A375,'SegEnds_NonXtal_BW#'!$A:$Z,21,FALSE)+VLOOKUP($A375,A:AL,31,FALSE)-50))</f>
        <v>438</v>
      </c>
      <c r="AE375" s="3">
        <v>460</v>
      </c>
      <c r="AF375" s="3">
        <f>IF(ISERROR((VLOOKUP($A375,'SegEnds_NonXtal_BW#'!$A:$Z,22,FALSE)+VLOOKUP($A375,A:AL,31,FALSE)-50)),"-",(VLOOKUP($A375,'SegEnds_NonXtal_BW#'!$A:$Z,22,FALSE)+VLOOKUP($A375,A:AL,31,FALSE)-50))</f>
        <v>488</v>
      </c>
      <c r="AG375" s="3">
        <f>IF(ISERROR(VLOOKUP($A375,'SegEnds_NonXtal_BW#'!$A:$Z,23,FALSE)+VLOOKUP($A375,A:AL,34,FALSE)-50),"-",(VLOOKUP($A375,'SegEnds_NonXtal_BW#'!$A:$Z,23,FALSE)+VLOOKUP($A375,A:AL,34,FALSE)-50))</f>
        <v>500</v>
      </c>
      <c r="AH375" s="3">
        <v>516</v>
      </c>
      <c r="AI375" s="3">
        <f>IF(ISERROR((VLOOKUP($A375,'SegEnds_NonXtal_BW#'!$A:$Z,24,FALSE)+VLOOKUP($A375,A:AL,34,FALSE)-50)),"-",(VLOOKUP($A375,'SegEnds_NonXtal_BW#'!$A:$Z,24,FALSE)+VLOOKUP($A375,A:AL,34,FALSE)-50))</f>
        <v>523</v>
      </c>
      <c r="AJ375" s="3">
        <f>IF(ISERROR(VLOOKUP($A375,'SegEnds_NonXtal_BW#'!$A:$Z,25,FALSE)+VLOOKUP($A375,A:AL,37,FALSE)-50),"-",(VLOOKUP($A375,'SegEnds_NonXtal_BW#'!$A:$Z,25,FALSE)+VLOOKUP($A375,A:AL,37,FALSE)-50))</f>
        <v>524</v>
      </c>
      <c r="AK375" s="3">
        <v>527</v>
      </c>
      <c r="AL375" s="3">
        <f>IF(ISERROR((VLOOKUP($A375,'SegEnds_NonXtal_BW#'!$A:$Z,26,FALSE)+VLOOKUP($A375,A:AL,37,FALSE)-50)),"-",(VLOOKUP($A375,'SegEnds_NonXtal_BW#'!$A:$Z,26,FALSE)+VLOOKUP($A375,A:AL,37,FALSE)-50))</f>
        <v>539</v>
      </c>
      <c r="AM375" s="28" t="str">
        <f>VLOOKUP(A375,Classification!A:B,2,FALSE)</f>
        <v>F</v>
      </c>
      <c r="AN375" s="28" t="b">
        <f t="shared" si="220"/>
        <v>1</v>
      </c>
      <c r="AO375" s="3" t="str">
        <f>IF(ISERROR(MATCH(A375,'SegEnds_Xtal_Prot#'!B:B, 0)), "NoXtal", "Xtal")</f>
        <v>NoXtal</v>
      </c>
      <c r="AP375" s="3">
        <f t="shared" si="205"/>
        <v>1</v>
      </c>
      <c r="AQ375" s="3">
        <f t="shared" si="206"/>
        <v>1</v>
      </c>
      <c r="AR375" s="3" t="str">
        <f t="shared" si="207"/>
        <v>-</v>
      </c>
      <c r="AS375" s="3" t="str">
        <f t="shared" si="208"/>
        <v>-</v>
      </c>
      <c r="AT375" s="3" t="str">
        <f t="shared" si="209"/>
        <v>-</v>
      </c>
      <c r="AU375" s="3" t="str">
        <f t="shared" si="210"/>
        <v>-</v>
      </c>
      <c r="AV375" s="3">
        <f t="shared" si="211"/>
        <v>11</v>
      </c>
      <c r="AW375" s="3">
        <f t="shared" si="212"/>
        <v>4</v>
      </c>
      <c r="AX375" s="3">
        <f t="shared" si="213"/>
        <v>11</v>
      </c>
      <c r="AY375" s="3">
        <f t="shared" si="214"/>
        <v>12</v>
      </c>
      <c r="AZ375" s="3">
        <f t="shared" si="215"/>
        <v>1</v>
      </c>
      <c r="BA375" s="3">
        <f>IF(ISERROR(LEN(VLOOKUP(A375,Seqs!A:E,2,FALSE))-AL375),"-",LEN(VLOOKUP(A375,Seqs!A:E,2,FALSE))-AL375)</f>
        <v>42</v>
      </c>
      <c r="BB375" s="16">
        <f t="shared" si="216"/>
        <v>26</v>
      </c>
      <c r="BC375" s="9" t="str">
        <f t="shared" si="217"/>
        <v>-</v>
      </c>
      <c r="BD375" s="3">
        <f t="shared" si="218"/>
        <v>26</v>
      </c>
      <c r="BE375" s="3">
        <f t="shared" si="219"/>
        <v>55</v>
      </c>
    </row>
    <row r="376" spans="1:58" s="3" customFormat="1" x14ac:dyDescent="0.2">
      <c r="A376" s="3" t="s">
        <v>448</v>
      </c>
      <c r="B376" s="3" t="str">
        <f>LOWER(VLOOKUP(A376,Xtal_Templ!A:B,2,FALSE))</f>
        <v>fzd4_human</v>
      </c>
      <c r="C376" s="3">
        <f>VLOOKUP($A376,'SegEnds_NonXtal_BW#'!$A:$Z,3,FALSE)+D376-50</f>
        <v>237</v>
      </c>
      <c r="D376" s="3">
        <v>259</v>
      </c>
      <c r="E376" s="3">
        <f>IF(ISERROR(VLOOKUP($A376,'SegEnds_NonXtal_BW#'!$A:$Z,4,FALSE)+VLOOKUP($A376,A:AL,4,FALSE)-50),"-",(VLOOKUP($A376,'SegEnds_NonXtal_BW#'!$A:$Z,4,FALSE)+VLOOKUP($A376,A:AL,4,FALSE)-50))</f>
        <v>269</v>
      </c>
      <c r="F376" s="3">
        <f t="shared" si="222"/>
        <v>270</v>
      </c>
      <c r="G376" s="3">
        <v>273</v>
      </c>
      <c r="H376" s="3">
        <f t="shared" si="227"/>
        <v>274</v>
      </c>
      <c r="I376" s="3">
        <f t="shared" si="224"/>
        <v>275</v>
      </c>
      <c r="J376" s="3">
        <v>285</v>
      </c>
      <c r="K376" s="3">
        <f>VLOOKUP($A376,'SegEnds_NonXtal_BW#'!$A:$Z,8,FALSE)+VLOOKUP($A376,A:AL,10,FALSE)-50</f>
        <v>301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324</v>
      </c>
      <c r="P376" s="3">
        <v>352</v>
      </c>
      <c r="Q376" s="3">
        <f>VLOOKUP($A376,'SegEnds_NonXtal_BW#'!$A:$Z,12,FALSE)+VLOOKUP($A376,A:AL,16,FALSE)-50</f>
        <v>357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368</v>
      </c>
      <c r="V376" s="3">
        <v>377</v>
      </c>
      <c r="W376" s="3">
        <f>IF(ISERROR(VLOOKUP($A376,'SegEnds_NonXtal_BW#'!$A:$Z,16,FALSE)+VLOOKUP($A376,A:AL,22,FALSE)-50),"-",(VLOOKUP($A376,'SegEnds_NonXtal_BW#'!$A:$Z,16,FALSE)+VLOOKUP($A376,A:AL,22,FALSE)-50))</f>
        <v>391</v>
      </c>
      <c r="X376" s="3">
        <f>IF(ISERROR(VLOOKUP($A376,'SegEnds_NonXtal_BW#'!$A:$Z,17,FALSE)+VLOOKUP($A376,A:AL,25,FALSE)-50),"-",(VLOOKUP($A376,'SegEnds_NonXtal_BW#'!$A:$Z,17,FALSE)+VLOOKUP($A376,A:AL,25,FALSE)-50))</f>
        <v>402</v>
      </c>
      <c r="Y376" s="3">
        <v>402</v>
      </c>
      <c r="Z376" s="3">
        <f t="shared" si="226"/>
        <v>404</v>
      </c>
      <c r="AA376" s="3">
        <f>IF(ISERROR(VLOOKUP($A376,'SegEnds_NonXtal_BW#'!$A:$Z,19,FALSE)+VLOOKUP($A376,A:AL,28,FALSE)-50),"-",(VLOOKUP($A376,'SegEnds_NonXtal_BW#'!$A:$Z,19,FALSE)+VLOOKUP($A376,A:AL,28,FALSE)-50))</f>
        <v>408</v>
      </c>
      <c r="AB376" s="3">
        <v>423</v>
      </c>
      <c r="AC376" s="3">
        <f>IF(ISERROR((VLOOKUP($A376,'SegEnds_NonXtal_BW#'!$A:$Z,20,FALSE)+VLOOKUP($A376,A:AL,28,FALSE)-50)),"-",(VLOOKUP($A376,'SegEnds_NonXtal_BW#'!$A:$Z,20,FALSE)+VLOOKUP($A376,A:AL,28,FALSE)-50))</f>
        <v>445</v>
      </c>
      <c r="AD376" s="3">
        <f>IF(ISERROR(VLOOKUP($A376,'SegEnds_NonXtal_BW#'!$A:$Z,21,FALSE)+VLOOKUP($A376,A:AL,31,FALSE)-50),"-",(VLOOKUP($A376,'SegEnds_NonXtal_BW#'!$A:$Z,21,FALSE)+VLOOKUP($A376,A:AL,31,FALSE)-50))</f>
        <v>456</v>
      </c>
      <c r="AE376" s="3">
        <v>478</v>
      </c>
      <c r="AF376" s="3">
        <f>IF(ISERROR((VLOOKUP($A376,'SegEnds_NonXtal_BW#'!$A:$Z,22,FALSE)+VLOOKUP($A376,A:AL,31,FALSE)-50)),"-",(VLOOKUP($A376,'SegEnds_NonXtal_BW#'!$A:$Z,22,FALSE)+VLOOKUP($A376,A:AL,31,FALSE)-50))</f>
        <v>506</v>
      </c>
      <c r="AG376" s="3">
        <f>IF(ISERROR(VLOOKUP($A376,'SegEnds_NonXtal_BW#'!$A:$Z,23,FALSE)+VLOOKUP($A376,A:AL,34,FALSE)-50),"-",(VLOOKUP($A376,'SegEnds_NonXtal_BW#'!$A:$Z,23,FALSE)+VLOOKUP($A376,A:AL,34,FALSE)-50))</f>
        <v>517</v>
      </c>
      <c r="AH376" s="3">
        <v>533</v>
      </c>
      <c r="AI376" s="3">
        <f>IF(ISERROR((VLOOKUP($A376,'SegEnds_NonXtal_BW#'!$A:$Z,24,FALSE)+VLOOKUP($A376,A:AL,34,FALSE)-50)),"-",(VLOOKUP($A376,'SegEnds_NonXtal_BW#'!$A:$Z,24,FALSE)+VLOOKUP($A376,A:AL,34,FALSE)-50))</f>
        <v>540</v>
      </c>
      <c r="AJ376" s="3">
        <f>IF(ISERROR(VLOOKUP($A376,'SegEnds_NonXtal_BW#'!$A:$Z,25,FALSE)+VLOOKUP($A376,A:AL,37,FALSE)-50),"-",(VLOOKUP($A376,'SegEnds_NonXtal_BW#'!$A:$Z,25,FALSE)+VLOOKUP($A376,A:AL,37,FALSE)-50))</f>
        <v>541</v>
      </c>
      <c r="AK376" s="3">
        <v>544</v>
      </c>
      <c r="AL376" s="3">
        <f>IF(ISERROR((VLOOKUP($A376,'SegEnds_NonXtal_BW#'!$A:$Z,26,FALSE)+VLOOKUP($A376,A:AL,37,FALSE)-50)),"-",(VLOOKUP($A376,'SegEnds_NonXtal_BW#'!$A:$Z,26,FALSE)+VLOOKUP($A376,A:AL,37,FALSE)-50))</f>
        <v>556</v>
      </c>
      <c r="AM376" s="28" t="str">
        <f>VLOOKUP(A376,Classification!A:B,2,FALSE)</f>
        <v>F</v>
      </c>
      <c r="AN376" s="28" t="b">
        <f t="shared" si="220"/>
        <v>1</v>
      </c>
      <c r="AO376" s="3" t="str">
        <f>IF(ISERROR(MATCH(A376,'SegEnds_Xtal_Prot#'!B:B, 0)), "NoXtal", "Xtal")</f>
        <v>NoXtal</v>
      </c>
      <c r="AP376" s="3">
        <f t="shared" si="205"/>
        <v>1</v>
      </c>
      <c r="AQ376" s="3">
        <f t="shared" si="206"/>
        <v>1</v>
      </c>
      <c r="AR376" s="3" t="str">
        <f t="shared" si="207"/>
        <v>-</v>
      </c>
      <c r="AS376" s="3" t="str">
        <f t="shared" si="208"/>
        <v>-</v>
      </c>
      <c r="AT376" s="3" t="str">
        <f t="shared" si="209"/>
        <v>-</v>
      </c>
      <c r="AU376" s="3" t="str">
        <f t="shared" si="210"/>
        <v>-</v>
      </c>
      <c r="AV376" s="3">
        <f t="shared" si="211"/>
        <v>11</v>
      </c>
      <c r="AW376" s="3">
        <f t="shared" si="212"/>
        <v>4</v>
      </c>
      <c r="AX376" s="3">
        <f t="shared" si="213"/>
        <v>11</v>
      </c>
      <c r="AY376" s="3">
        <f t="shared" si="214"/>
        <v>11</v>
      </c>
      <c r="AZ376" s="3">
        <f t="shared" si="215"/>
        <v>1</v>
      </c>
      <c r="BA376" s="3">
        <f>IF(ISERROR(LEN(VLOOKUP(A376,Seqs!A:E,2,FALSE))-AL376),"-",LEN(VLOOKUP(A376,Seqs!A:E,2,FALSE))-AL376)</f>
        <v>9</v>
      </c>
      <c r="BB376" s="16">
        <f t="shared" si="216"/>
        <v>26</v>
      </c>
      <c r="BC376" s="9" t="str">
        <f t="shared" si="217"/>
        <v>-</v>
      </c>
      <c r="BD376" s="3">
        <f t="shared" si="218"/>
        <v>26</v>
      </c>
      <c r="BE376" s="3">
        <f t="shared" si="219"/>
        <v>55</v>
      </c>
      <c r="BF376" s="3">
        <f>AH376-AE376</f>
        <v>55</v>
      </c>
    </row>
    <row r="377" spans="1:58" s="3" customFormat="1" x14ac:dyDescent="0.2">
      <c r="A377" s="3" t="s">
        <v>449</v>
      </c>
      <c r="B377" s="3" t="str">
        <f>LOWER(VLOOKUP(A377,Xtal_Templ!A:B,2,FALSE))</f>
        <v>fzd4_human</v>
      </c>
      <c r="C377" s="3">
        <f>VLOOKUP($A377,'SegEnds_NonXtal_BW#'!$A:$Z,3,FALSE)+D377-50</f>
        <v>195</v>
      </c>
      <c r="D377" s="3">
        <v>217</v>
      </c>
      <c r="E377" s="3">
        <f>IF(ISERROR(VLOOKUP($A377,'SegEnds_NonXtal_BW#'!$A:$Z,4,FALSE)+VLOOKUP($A377,A:AL,4,FALSE)-50),"-",(VLOOKUP($A377,'SegEnds_NonXtal_BW#'!$A:$Z,4,FALSE)+VLOOKUP($A377,A:AL,4,FALSE)-50))</f>
        <v>227</v>
      </c>
      <c r="F377" s="3">
        <f t="shared" si="222"/>
        <v>228</v>
      </c>
      <c r="G377" s="3">
        <v>231</v>
      </c>
      <c r="H377" s="3">
        <f t="shared" si="227"/>
        <v>232</v>
      </c>
      <c r="I377" s="3">
        <f t="shared" si="224"/>
        <v>233</v>
      </c>
      <c r="J377" s="3">
        <v>243</v>
      </c>
      <c r="K377" s="3">
        <f>VLOOKUP($A377,'SegEnds_NonXtal_BW#'!$A:$Z,8,FALSE)+VLOOKUP($A377,A:AL,10,FALSE)-50</f>
        <v>259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283</v>
      </c>
      <c r="P377" s="3">
        <v>311</v>
      </c>
      <c r="Q377" s="3">
        <f>VLOOKUP($A377,'SegEnds_NonXtal_BW#'!$A:$Z,12,FALSE)+VLOOKUP($A377,A:AL,16,FALSE)-50</f>
        <v>316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327</v>
      </c>
      <c r="V377" s="3">
        <v>336</v>
      </c>
      <c r="W377" s="3">
        <f>IF(ISERROR(VLOOKUP($A377,'SegEnds_NonXtal_BW#'!$A:$Z,16,FALSE)+VLOOKUP($A377,A:AL,22,FALSE)-50),"-",(VLOOKUP($A377,'SegEnds_NonXtal_BW#'!$A:$Z,16,FALSE)+VLOOKUP($A377,A:AL,22,FALSE)-50))</f>
        <v>350</v>
      </c>
      <c r="X377" s="3">
        <f>IF(ISERROR(VLOOKUP($A377,'SegEnds_NonXtal_BW#'!$A:$Z,17,FALSE)+VLOOKUP($A377,A:AL,25,FALSE)-50),"-",(VLOOKUP($A377,'SegEnds_NonXtal_BW#'!$A:$Z,17,FALSE)+VLOOKUP($A377,A:AL,25,FALSE)-50))</f>
        <v>361</v>
      </c>
      <c r="Y377" s="3">
        <v>361</v>
      </c>
      <c r="Z377" s="3">
        <f t="shared" si="226"/>
        <v>363</v>
      </c>
      <c r="AA377" s="3">
        <f>IF(ISERROR(VLOOKUP($A377,'SegEnds_NonXtal_BW#'!$A:$Z,19,FALSE)+VLOOKUP($A377,A:AL,28,FALSE)-50),"-",(VLOOKUP($A377,'SegEnds_NonXtal_BW#'!$A:$Z,19,FALSE)+VLOOKUP($A377,A:AL,28,FALSE)-50))</f>
        <v>367</v>
      </c>
      <c r="AB377" s="3">
        <v>382</v>
      </c>
      <c r="AC377" s="3">
        <f>IF(ISERROR((VLOOKUP($A377,'SegEnds_NonXtal_BW#'!$A:$Z,20,FALSE)+VLOOKUP($A377,A:AL,28,FALSE)-50)),"-",(VLOOKUP($A377,'SegEnds_NonXtal_BW#'!$A:$Z,20,FALSE)+VLOOKUP($A377,A:AL,28,FALSE)-50))</f>
        <v>404</v>
      </c>
      <c r="AD377" s="3">
        <f>IF(ISERROR(VLOOKUP($A377,'SegEnds_NonXtal_BW#'!$A:$Z,21,FALSE)+VLOOKUP($A377,A:AL,31,FALSE)-50),"-",(VLOOKUP($A377,'SegEnds_NonXtal_BW#'!$A:$Z,21,FALSE)+VLOOKUP($A377,A:AL,31,FALSE)-50))</f>
        <v>415</v>
      </c>
      <c r="AE377" s="3">
        <v>437</v>
      </c>
      <c r="AF377" s="3">
        <f>IF(ISERROR((VLOOKUP($A377,'SegEnds_NonXtal_BW#'!$A:$Z,22,FALSE)+VLOOKUP($A377,A:AL,31,FALSE)-50)),"-",(VLOOKUP($A377,'SegEnds_NonXtal_BW#'!$A:$Z,22,FALSE)+VLOOKUP($A377,A:AL,31,FALSE)-50))</f>
        <v>465</v>
      </c>
      <c r="AG377" s="3">
        <f>IF(ISERROR(VLOOKUP($A377,'SegEnds_NonXtal_BW#'!$A:$Z,23,FALSE)+VLOOKUP($A377,A:AL,34,FALSE)-50),"-",(VLOOKUP($A377,'SegEnds_NonXtal_BW#'!$A:$Z,23,FALSE)+VLOOKUP($A377,A:AL,34,FALSE)-50))</f>
        <v>476</v>
      </c>
      <c r="AH377" s="3">
        <v>492</v>
      </c>
      <c r="AI377" s="3">
        <f>IF(ISERROR((VLOOKUP($A377,'SegEnds_NonXtal_BW#'!$A:$Z,24,FALSE)+VLOOKUP($A377,A:AL,34,FALSE)-50)),"-",(VLOOKUP($A377,'SegEnds_NonXtal_BW#'!$A:$Z,24,FALSE)+VLOOKUP($A377,A:AL,34,FALSE)-50))</f>
        <v>499</v>
      </c>
      <c r="AJ377" s="3">
        <f>IF(ISERROR(VLOOKUP($A377,'SegEnds_NonXtal_BW#'!$A:$Z,25,FALSE)+VLOOKUP($A377,A:AL,37,FALSE)-50),"-",(VLOOKUP($A377,'SegEnds_NonXtal_BW#'!$A:$Z,25,FALSE)+VLOOKUP($A377,A:AL,37,FALSE)-50))</f>
        <v>500</v>
      </c>
      <c r="AK377" s="3">
        <v>503</v>
      </c>
      <c r="AL377" s="3">
        <f>IF(ISERROR((VLOOKUP($A377,'SegEnds_NonXtal_BW#'!$A:$Z,26,FALSE)+VLOOKUP($A377,A:AL,37,FALSE)-50)),"-",(VLOOKUP($A377,'SegEnds_NonXtal_BW#'!$A:$Z,26,FALSE)+VLOOKUP($A377,A:AL,37,FALSE)-50))</f>
        <v>515</v>
      </c>
      <c r="AM377" s="28" t="str">
        <f>VLOOKUP(A377,Classification!A:B,2,FALSE)</f>
        <v>F</v>
      </c>
      <c r="AN377" s="28" t="b">
        <f t="shared" si="220"/>
        <v>1</v>
      </c>
      <c r="AO377" s="3" t="str">
        <f>IF(ISERROR(MATCH(A377,'SegEnds_Xtal_Prot#'!B:B, 0)), "NoXtal", "Xtal")</f>
        <v>NoXtal</v>
      </c>
      <c r="AP377" s="3">
        <f t="shared" si="205"/>
        <v>1</v>
      </c>
      <c r="AQ377" s="3">
        <f t="shared" si="206"/>
        <v>1</v>
      </c>
      <c r="AR377" s="3" t="str">
        <f t="shared" si="207"/>
        <v>-</v>
      </c>
      <c r="AS377" s="3" t="str">
        <f t="shared" si="208"/>
        <v>-</v>
      </c>
      <c r="AT377" s="3" t="str">
        <f t="shared" si="209"/>
        <v>-</v>
      </c>
      <c r="AU377" s="3" t="str">
        <f t="shared" si="210"/>
        <v>-</v>
      </c>
      <c r="AV377" s="3">
        <f t="shared" si="211"/>
        <v>11</v>
      </c>
      <c r="AW377" s="3">
        <f t="shared" si="212"/>
        <v>4</v>
      </c>
      <c r="AX377" s="3">
        <f t="shared" si="213"/>
        <v>11</v>
      </c>
      <c r="AY377" s="3">
        <f t="shared" si="214"/>
        <v>11</v>
      </c>
      <c r="AZ377" s="3">
        <f t="shared" si="215"/>
        <v>1</v>
      </c>
      <c r="BA377" s="3">
        <f>IF(ISERROR(LEN(VLOOKUP(A377,Seqs!A:E,2,FALSE))-AL377),"-",LEN(VLOOKUP(A377,Seqs!A:E,2,FALSE))-AL377)</f>
        <v>151</v>
      </c>
      <c r="BB377" s="16">
        <f t="shared" si="216"/>
        <v>26</v>
      </c>
      <c r="BC377" s="9" t="str">
        <f t="shared" si="217"/>
        <v>-</v>
      </c>
      <c r="BD377" s="3">
        <f t="shared" si="218"/>
        <v>26</v>
      </c>
      <c r="BE377" s="3">
        <f t="shared" si="219"/>
        <v>55</v>
      </c>
    </row>
    <row r="378" spans="1:58" s="3" customFormat="1" x14ac:dyDescent="0.2">
      <c r="A378" s="3" t="s">
        <v>450</v>
      </c>
      <c r="B378" s="3" t="str">
        <f>LOWER(VLOOKUP(A378,Xtal_Templ!A:B,2,FALSE))</f>
        <v>fzd4_human</v>
      </c>
      <c r="C378" s="3">
        <f>VLOOKUP($A378,'SegEnds_NonXtal_BW#'!$A:$Z,3,FALSE)+D378-50</f>
        <v>212</v>
      </c>
      <c r="D378" s="3">
        <v>234</v>
      </c>
      <c r="E378" s="3">
        <f>IF(ISERROR(VLOOKUP($A378,'SegEnds_NonXtal_BW#'!$A:$Z,4,FALSE)+VLOOKUP($A378,A:AL,4,FALSE)-50),"-",(VLOOKUP($A378,'SegEnds_NonXtal_BW#'!$A:$Z,4,FALSE)+VLOOKUP($A378,A:AL,4,FALSE)-50))</f>
        <v>244</v>
      </c>
      <c r="F378" s="3">
        <f t="shared" si="222"/>
        <v>245</v>
      </c>
      <c r="G378" s="3">
        <v>248</v>
      </c>
      <c r="H378" s="3">
        <f t="shared" si="227"/>
        <v>249</v>
      </c>
      <c r="I378" s="3">
        <f t="shared" si="224"/>
        <v>250</v>
      </c>
      <c r="J378" s="3">
        <v>260</v>
      </c>
      <c r="K378" s="3">
        <f>VLOOKUP($A378,'SegEnds_NonXtal_BW#'!$A:$Z,8,FALSE)+VLOOKUP($A378,A:AL,10,FALSE)-50</f>
        <v>276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299</v>
      </c>
      <c r="P378" s="3">
        <v>327</v>
      </c>
      <c r="Q378" s="3">
        <f>VLOOKUP($A378,'SegEnds_NonXtal_BW#'!$A:$Z,12,FALSE)+VLOOKUP($A378,A:AL,16,FALSE)-50</f>
        <v>332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343</v>
      </c>
      <c r="V378" s="3">
        <v>352</v>
      </c>
      <c r="W378" s="3">
        <f>IF(ISERROR(VLOOKUP($A378,'SegEnds_NonXtal_BW#'!$A:$Z,16,FALSE)+VLOOKUP($A378,A:AL,22,FALSE)-50),"-",(VLOOKUP($A378,'SegEnds_NonXtal_BW#'!$A:$Z,16,FALSE)+VLOOKUP($A378,A:AL,22,FALSE)-50))</f>
        <v>366</v>
      </c>
      <c r="X378" s="3">
        <f>IF(ISERROR(VLOOKUP($A378,'SegEnds_NonXtal_BW#'!$A:$Z,17,FALSE)+VLOOKUP($A378,A:AL,25,FALSE)-50),"-",(VLOOKUP($A378,'SegEnds_NonXtal_BW#'!$A:$Z,17,FALSE)+VLOOKUP($A378,A:AL,25,FALSE)-50))</f>
        <v>377</v>
      </c>
      <c r="Y378" s="3">
        <v>377</v>
      </c>
      <c r="Z378" s="3">
        <f t="shared" si="226"/>
        <v>379</v>
      </c>
      <c r="AA378" s="3">
        <f>IF(ISERROR(VLOOKUP($A378,'SegEnds_NonXtal_BW#'!$A:$Z,19,FALSE)+VLOOKUP($A378,A:AL,28,FALSE)-50),"-",(VLOOKUP($A378,'SegEnds_NonXtal_BW#'!$A:$Z,19,FALSE)+VLOOKUP($A378,A:AL,28,FALSE)-50))</f>
        <v>383</v>
      </c>
      <c r="AB378" s="3">
        <v>398</v>
      </c>
      <c r="AC378" s="3">
        <f>IF(ISERROR((VLOOKUP($A378,'SegEnds_NonXtal_BW#'!$A:$Z,20,FALSE)+VLOOKUP($A378,A:AL,28,FALSE)-50)),"-",(VLOOKUP($A378,'SegEnds_NonXtal_BW#'!$A:$Z,20,FALSE)+VLOOKUP($A378,A:AL,28,FALSE)-50))</f>
        <v>420</v>
      </c>
      <c r="AD378" s="3">
        <f>IF(ISERROR(VLOOKUP($A378,'SegEnds_NonXtal_BW#'!$A:$Z,21,FALSE)+VLOOKUP($A378,A:AL,31,FALSE)-50),"-",(VLOOKUP($A378,'SegEnds_NonXtal_BW#'!$A:$Z,21,FALSE)+VLOOKUP($A378,A:AL,31,FALSE)-50))</f>
        <v>431</v>
      </c>
      <c r="AE378" s="3">
        <v>453</v>
      </c>
      <c r="AF378" s="3">
        <f>IF(ISERROR((VLOOKUP($A378,'SegEnds_NonXtal_BW#'!$A:$Z,22,FALSE)+VLOOKUP($A378,A:AL,31,FALSE)-50)),"-",(VLOOKUP($A378,'SegEnds_NonXtal_BW#'!$A:$Z,22,FALSE)+VLOOKUP($A378,A:AL,31,FALSE)-50))</f>
        <v>461</v>
      </c>
      <c r="AG378" s="3">
        <f>IF(ISERROR(VLOOKUP($A378,'SegEnds_NonXtal_BW#'!$A:$Z,23,FALSE)+VLOOKUP($A378,A:AL,34,FALSE)-50),"-",(VLOOKUP($A378,'SegEnds_NonXtal_BW#'!$A:$Z,23,FALSE)+VLOOKUP($A378,A:AL,34,FALSE)-50))</f>
        <v>473</v>
      </c>
      <c r="AH378" s="3">
        <v>489</v>
      </c>
      <c r="AI378" s="3">
        <f>IF(ISERROR((VLOOKUP($A378,'SegEnds_NonXtal_BW#'!$A:$Z,24,FALSE)+VLOOKUP($A378,A:AL,34,FALSE)-50)),"-",(VLOOKUP($A378,'SegEnds_NonXtal_BW#'!$A:$Z,24,FALSE)+VLOOKUP($A378,A:AL,34,FALSE)-50))</f>
        <v>496</v>
      </c>
      <c r="AJ378" s="3">
        <f>IF(ISERROR(VLOOKUP($A378,'SegEnds_NonXtal_BW#'!$A:$Z,25,FALSE)+VLOOKUP($A378,A:AL,37,FALSE)-50),"-",(VLOOKUP($A378,'SegEnds_NonXtal_BW#'!$A:$Z,25,FALSE)+VLOOKUP($A378,A:AL,37,FALSE)-50))</f>
        <v>497</v>
      </c>
      <c r="AK378" s="3">
        <v>500</v>
      </c>
      <c r="AL378" s="3">
        <f>IF(ISERROR((VLOOKUP($A378,'SegEnds_NonXtal_BW#'!$A:$Z,26,FALSE)+VLOOKUP($A378,A:AL,37,FALSE)-50)),"-",(VLOOKUP($A378,'SegEnds_NonXtal_BW#'!$A:$Z,26,FALSE)+VLOOKUP($A378,A:AL,37,FALSE)-50))</f>
        <v>512</v>
      </c>
      <c r="AM378" s="28" t="str">
        <f>VLOOKUP(A378,Classification!A:B,2,FALSE)</f>
        <v>F</v>
      </c>
      <c r="AN378" s="28" t="b">
        <f t="shared" si="220"/>
        <v>1</v>
      </c>
      <c r="AO378" s="3" t="str">
        <f>IF(ISERROR(MATCH(A378,'SegEnds_Xtal_Prot#'!B:B, 0)), "NoXtal", "Xtal")</f>
        <v>Xtal</v>
      </c>
      <c r="AP378" s="3">
        <f t="shared" si="205"/>
        <v>1</v>
      </c>
      <c r="AQ378" s="3">
        <f t="shared" si="206"/>
        <v>1</v>
      </c>
      <c r="AR378" s="3" t="str">
        <f t="shared" si="207"/>
        <v>-</v>
      </c>
      <c r="AS378" s="3" t="str">
        <f t="shared" si="208"/>
        <v>-</v>
      </c>
      <c r="AT378" s="3" t="str">
        <f t="shared" si="209"/>
        <v>-</v>
      </c>
      <c r="AU378" s="3" t="str">
        <f t="shared" si="210"/>
        <v>-</v>
      </c>
      <c r="AV378" s="3">
        <f t="shared" si="211"/>
        <v>11</v>
      </c>
      <c r="AW378" s="3">
        <f t="shared" si="212"/>
        <v>4</v>
      </c>
      <c r="AX378" s="3">
        <f t="shared" si="213"/>
        <v>11</v>
      </c>
      <c r="AY378" s="3">
        <f t="shared" si="214"/>
        <v>12</v>
      </c>
      <c r="AZ378" s="3">
        <f t="shared" si="215"/>
        <v>1</v>
      </c>
      <c r="BA378" s="3">
        <f>IF(ISERROR(LEN(VLOOKUP(A378,Seqs!A:E,2,FALSE))-AL378),"-",LEN(VLOOKUP(A378,Seqs!A:E,2,FALSE))-AL378)</f>
        <v>25</v>
      </c>
      <c r="BB378" s="16">
        <f t="shared" si="216"/>
        <v>26</v>
      </c>
      <c r="BC378" s="9" t="str">
        <f t="shared" si="217"/>
        <v>-</v>
      </c>
      <c r="BD378" s="3">
        <f t="shared" si="218"/>
        <v>26</v>
      </c>
      <c r="BE378" s="3">
        <f t="shared" si="219"/>
        <v>55</v>
      </c>
      <c r="BF378" s="3">
        <f>AH378-AE378</f>
        <v>36</v>
      </c>
    </row>
    <row r="379" spans="1:58" s="3" customFormat="1" x14ac:dyDescent="0.2">
      <c r="A379" s="3" t="s">
        <v>451</v>
      </c>
      <c r="B379" s="3" t="str">
        <f>LOWER(VLOOKUP(A379,Xtal_Templ!A:B,2,FALSE))</f>
        <v>fzd4_human</v>
      </c>
      <c r="C379" s="3">
        <f>VLOOKUP($A379,'SegEnds_NonXtal_BW#'!$A:$Z,3,FALSE)+D379-50</f>
        <v>228</v>
      </c>
      <c r="D379" s="3">
        <v>250</v>
      </c>
      <c r="E379" s="3">
        <f>IF(ISERROR(VLOOKUP($A379,'SegEnds_NonXtal_BW#'!$A:$Z,4,FALSE)+VLOOKUP($A379,A:AL,4,FALSE)-50),"-",(VLOOKUP($A379,'SegEnds_NonXtal_BW#'!$A:$Z,4,FALSE)+VLOOKUP($A379,A:AL,4,FALSE)-50))</f>
        <v>260</v>
      </c>
      <c r="F379" s="3">
        <f t="shared" si="222"/>
        <v>261</v>
      </c>
      <c r="G379" s="3">
        <v>264</v>
      </c>
      <c r="H379" s="3">
        <f t="shared" si="227"/>
        <v>265</v>
      </c>
      <c r="I379" s="3">
        <f t="shared" si="224"/>
        <v>266</v>
      </c>
      <c r="J379" s="3">
        <v>276</v>
      </c>
      <c r="K379" s="3">
        <f>VLOOKUP($A379,'SegEnds_NonXtal_BW#'!$A:$Z,8,FALSE)+VLOOKUP($A379,A:AL,10,FALSE)-50</f>
        <v>292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312</v>
      </c>
      <c r="P379" s="3">
        <v>340</v>
      </c>
      <c r="Q379" s="3">
        <f>VLOOKUP($A379,'SegEnds_NonXtal_BW#'!$A:$Z,12,FALSE)+VLOOKUP($A379,A:AL,16,FALSE)-50</f>
        <v>345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356</v>
      </c>
      <c r="V379" s="3">
        <v>365</v>
      </c>
      <c r="W379" s="3">
        <f>IF(ISERROR(VLOOKUP($A379,'SegEnds_NonXtal_BW#'!$A:$Z,16,FALSE)+VLOOKUP($A379,A:AL,22,FALSE)-50),"-",(VLOOKUP($A379,'SegEnds_NonXtal_BW#'!$A:$Z,16,FALSE)+VLOOKUP($A379,A:AL,22,FALSE)-50))</f>
        <v>379</v>
      </c>
      <c r="X379" s="3">
        <f>IF(ISERROR(VLOOKUP($A379,'SegEnds_NonXtal_BW#'!$A:$Z,17,FALSE)+VLOOKUP($A379,A:AL,25,FALSE)-50),"-",(VLOOKUP($A379,'SegEnds_NonXtal_BW#'!$A:$Z,17,FALSE)+VLOOKUP($A379,A:AL,25,FALSE)-50))</f>
        <v>390</v>
      </c>
      <c r="Y379" s="3">
        <v>390</v>
      </c>
      <c r="Z379" s="3">
        <f t="shared" si="226"/>
        <v>392</v>
      </c>
      <c r="AA379" s="3">
        <f>IF(ISERROR(VLOOKUP($A379,'SegEnds_NonXtal_BW#'!$A:$Z,19,FALSE)+VLOOKUP($A379,A:AL,28,FALSE)-50),"-",(VLOOKUP($A379,'SegEnds_NonXtal_BW#'!$A:$Z,19,FALSE)+VLOOKUP($A379,A:AL,28,FALSE)-50))</f>
        <v>396</v>
      </c>
      <c r="AB379" s="3">
        <v>411</v>
      </c>
      <c r="AC379" s="3">
        <f>IF(ISERROR((VLOOKUP($A379,'SegEnds_NonXtal_BW#'!$A:$Z,20,FALSE)+VLOOKUP($A379,A:AL,28,FALSE)-50)),"-",(VLOOKUP($A379,'SegEnds_NonXtal_BW#'!$A:$Z,20,FALSE)+VLOOKUP($A379,A:AL,28,FALSE)-50))</f>
        <v>433</v>
      </c>
      <c r="AD379" s="3">
        <f>IF(ISERROR(VLOOKUP($A379,'SegEnds_NonXtal_BW#'!$A:$Z,21,FALSE)+VLOOKUP($A379,A:AL,31,FALSE)-50),"-",(VLOOKUP($A379,'SegEnds_NonXtal_BW#'!$A:$Z,21,FALSE)+VLOOKUP($A379,A:AL,31,FALSE)-50))</f>
        <v>444</v>
      </c>
      <c r="AE379" s="3">
        <v>466</v>
      </c>
      <c r="AF379" s="3">
        <f>IF(ISERROR((VLOOKUP($A379,'SegEnds_NonXtal_BW#'!$A:$Z,22,FALSE)+VLOOKUP($A379,A:AL,31,FALSE)-50)),"-",(VLOOKUP($A379,'SegEnds_NonXtal_BW#'!$A:$Z,22,FALSE)+VLOOKUP($A379,A:AL,31,FALSE)-50))</f>
        <v>494</v>
      </c>
      <c r="AG379" s="3">
        <f>IF(ISERROR(VLOOKUP($A379,'SegEnds_NonXtal_BW#'!$A:$Z,23,FALSE)+VLOOKUP($A379,A:AL,34,FALSE)-50),"-",(VLOOKUP($A379,'SegEnds_NonXtal_BW#'!$A:$Z,23,FALSE)+VLOOKUP($A379,A:AL,34,FALSE)-50))</f>
        <v>499</v>
      </c>
      <c r="AH379" s="3">
        <v>515</v>
      </c>
      <c r="AI379" s="3">
        <f>IF(ISERROR((VLOOKUP($A379,'SegEnds_NonXtal_BW#'!$A:$Z,24,FALSE)+VLOOKUP($A379,A:AL,34,FALSE)-50)),"-",(VLOOKUP($A379,'SegEnds_NonXtal_BW#'!$A:$Z,24,FALSE)+VLOOKUP($A379,A:AL,34,FALSE)-50))</f>
        <v>522</v>
      </c>
      <c r="AJ379" s="3">
        <f>IF(ISERROR(VLOOKUP($A379,'SegEnds_NonXtal_BW#'!$A:$Z,25,FALSE)+VLOOKUP($A379,A:AL,37,FALSE)-50),"-",(VLOOKUP($A379,'SegEnds_NonXtal_BW#'!$A:$Z,25,FALSE)+VLOOKUP($A379,A:AL,37,FALSE)-50))</f>
        <v>523</v>
      </c>
      <c r="AK379" s="3">
        <v>526</v>
      </c>
      <c r="AL379" s="3">
        <f>IF(ISERROR((VLOOKUP($A379,'SegEnds_NonXtal_BW#'!$A:$Z,26,FALSE)+VLOOKUP($A379,A:AL,37,FALSE)-50)),"-",(VLOOKUP($A379,'SegEnds_NonXtal_BW#'!$A:$Z,26,FALSE)+VLOOKUP($A379,A:AL,37,FALSE)-50))</f>
        <v>538</v>
      </c>
      <c r="AM379" s="28" t="str">
        <f>VLOOKUP(A379,Classification!A:B,2,FALSE)</f>
        <v>F</v>
      </c>
      <c r="AN379" s="28" t="b">
        <f t="shared" si="220"/>
        <v>1</v>
      </c>
      <c r="AO379" s="3" t="str">
        <f>IF(ISERROR(MATCH(A379,'SegEnds_Xtal_Prot#'!B:B, 0)), "NoXtal", "Xtal")</f>
        <v>NoXtal</v>
      </c>
      <c r="AP379" s="3">
        <f t="shared" si="205"/>
        <v>1</v>
      </c>
      <c r="AQ379" s="3">
        <f t="shared" si="206"/>
        <v>1</v>
      </c>
      <c r="AR379" s="3" t="str">
        <f t="shared" si="207"/>
        <v>-</v>
      </c>
      <c r="AS379" s="3" t="str">
        <f t="shared" si="208"/>
        <v>-</v>
      </c>
      <c r="AT379" s="3" t="str">
        <f t="shared" si="209"/>
        <v>-</v>
      </c>
      <c r="AU379" s="3" t="str">
        <f t="shared" si="210"/>
        <v>-</v>
      </c>
      <c r="AV379" s="3">
        <f t="shared" si="211"/>
        <v>11</v>
      </c>
      <c r="AW379" s="3">
        <f t="shared" si="212"/>
        <v>4</v>
      </c>
      <c r="AX379" s="3">
        <f t="shared" si="213"/>
        <v>11</v>
      </c>
      <c r="AY379" s="3">
        <f t="shared" si="214"/>
        <v>5</v>
      </c>
      <c r="AZ379" s="3">
        <f t="shared" si="215"/>
        <v>1</v>
      </c>
      <c r="BA379" s="3">
        <f>IF(ISERROR(LEN(VLOOKUP(A379,Seqs!A:E,2,FALSE))-AL379),"-",LEN(VLOOKUP(A379,Seqs!A:E,2,FALSE))-AL379)</f>
        <v>47</v>
      </c>
      <c r="BB379" s="16">
        <f t="shared" si="216"/>
        <v>26</v>
      </c>
      <c r="BC379" s="9" t="str">
        <f t="shared" si="217"/>
        <v>-</v>
      </c>
      <c r="BD379" s="3">
        <f t="shared" si="218"/>
        <v>26</v>
      </c>
      <c r="BE379" s="3">
        <f t="shared" si="219"/>
        <v>55</v>
      </c>
    </row>
    <row r="380" spans="1:58" s="3" customFormat="1" x14ac:dyDescent="0.2">
      <c r="A380" s="3" t="s">
        <v>452</v>
      </c>
      <c r="B380" s="3" t="str">
        <f>LOWER(VLOOKUP(A380,Xtal_Templ!A:B,2,FALSE))</f>
        <v>fzd4_human</v>
      </c>
      <c r="C380" s="3">
        <f>VLOOKUP($A380,'SegEnds_NonXtal_BW#'!$A:$Z,3,FALSE)+D380-50</f>
        <v>191</v>
      </c>
      <c r="D380" s="3">
        <v>213</v>
      </c>
      <c r="E380" s="3">
        <f>IF(ISERROR(VLOOKUP($A380,'SegEnds_NonXtal_BW#'!$A:$Z,4,FALSE)+VLOOKUP($A380,A:AL,4,FALSE)-50),"-",(VLOOKUP($A380,'SegEnds_NonXtal_BW#'!$A:$Z,4,FALSE)+VLOOKUP($A380,A:AL,4,FALSE)-50))</f>
        <v>223</v>
      </c>
      <c r="F380" s="3">
        <f t="shared" si="222"/>
        <v>224</v>
      </c>
      <c r="G380" s="3">
        <v>227</v>
      </c>
      <c r="H380" s="3">
        <f t="shared" si="227"/>
        <v>228</v>
      </c>
      <c r="I380" s="3">
        <f t="shared" si="224"/>
        <v>229</v>
      </c>
      <c r="J380" s="3">
        <v>239</v>
      </c>
      <c r="K380" s="3">
        <f>VLOOKUP($A380,'SegEnds_NonXtal_BW#'!$A:$Z,8,FALSE)+VLOOKUP($A380,A:AL,10,FALSE)-50</f>
        <v>255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279</v>
      </c>
      <c r="P380" s="3">
        <v>307</v>
      </c>
      <c r="Q380" s="3">
        <f>VLOOKUP($A380,'SegEnds_NonXtal_BW#'!$A:$Z,12,FALSE)+VLOOKUP($A380,A:AL,16,FALSE)-50</f>
        <v>312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323</v>
      </c>
      <c r="V380" s="3">
        <v>332</v>
      </c>
      <c r="W380" s="3">
        <f>IF(ISERROR(VLOOKUP($A380,'SegEnds_NonXtal_BW#'!$A:$Z,16,FALSE)+VLOOKUP($A380,A:AL,22,FALSE)-50),"-",(VLOOKUP($A380,'SegEnds_NonXtal_BW#'!$A:$Z,16,FALSE)+VLOOKUP($A380,A:AL,22,FALSE)-50))</f>
        <v>346</v>
      </c>
      <c r="X380" s="3">
        <f>IF(ISERROR(VLOOKUP($A380,'SegEnds_NonXtal_BW#'!$A:$Z,17,FALSE)+VLOOKUP($A380,A:AL,25,FALSE)-50),"-",(VLOOKUP($A380,'SegEnds_NonXtal_BW#'!$A:$Z,17,FALSE)+VLOOKUP($A380,A:AL,25,FALSE)-50))</f>
        <v>357</v>
      </c>
      <c r="Y380" s="3">
        <v>357</v>
      </c>
      <c r="Z380" s="3">
        <f t="shared" si="226"/>
        <v>359</v>
      </c>
      <c r="AA380" s="3">
        <f>IF(ISERROR(VLOOKUP($A380,'SegEnds_NonXtal_BW#'!$A:$Z,19,FALSE)+VLOOKUP($A380,A:AL,28,FALSE)-50),"-",(VLOOKUP($A380,'SegEnds_NonXtal_BW#'!$A:$Z,19,FALSE)+VLOOKUP($A380,A:AL,28,FALSE)-50))</f>
        <v>363</v>
      </c>
      <c r="AB380" s="3">
        <v>378</v>
      </c>
      <c r="AC380" s="3">
        <f>IF(ISERROR((VLOOKUP($A380,'SegEnds_NonXtal_BW#'!$A:$Z,20,FALSE)+VLOOKUP($A380,A:AL,28,FALSE)-50)),"-",(VLOOKUP($A380,'SegEnds_NonXtal_BW#'!$A:$Z,20,FALSE)+VLOOKUP($A380,A:AL,28,FALSE)-50))</f>
        <v>400</v>
      </c>
      <c r="AD380" s="3">
        <f>IF(ISERROR(VLOOKUP($A380,'SegEnds_NonXtal_BW#'!$A:$Z,21,FALSE)+VLOOKUP($A380,A:AL,31,FALSE)-50),"-",(VLOOKUP($A380,'SegEnds_NonXtal_BW#'!$A:$Z,21,FALSE)+VLOOKUP($A380,A:AL,31,FALSE)-50))</f>
        <v>411</v>
      </c>
      <c r="AE380" s="3">
        <v>433</v>
      </c>
      <c r="AF380" s="3">
        <f>IF(ISERROR((VLOOKUP($A380,'SegEnds_NonXtal_BW#'!$A:$Z,22,FALSE)+VLOOKUP($A380,A:AL,31,FALSE)-50)),"-",(VLOOKUP($A380,'SegEnds_NonXtal_BW#'!$A:$Z,22,FALSE)+VLOOKUP($A380,A:AL,31,FALSE)-50))</f>
        <v>461</v>
      </c>
      <c r="AG380" s="3">
        <f>IF(ISERROR(VLOOKUP($A380,'SegEnds_NonXtal_BW#'!$A:$Z,23,FALSE)+VLOOKUP($A380,A:AL,34,FALSE)-50),"-",(VLOOKUP($A380,'SegEnds_NonXtal_BW#'!$A:$Z,23,FALSE)+VLOOKUP($A380,A:AL,34,FALSE)-50))</f>
        <v>472</v>
      </c>
      <c r="AH380" s="3">
        <v>488</v>
      </c>
      <c r="AI380" s="3">
        <f>IF(ISERROR((VLOOKUP($A380,'SegEnds_NonXtal_BW#'!$A:$Z,24,FALSE)+VLOOKUP($A380,A:AL,34,FALSE)-50)),"-",(VLOOKUP($A380,'SegEnds_NonXtal_BW#'!$A:$Z,24,FALSE)+VLOOKUP($A380,A:AL,34,FALSE)-50))</f>
        <v>495</v>
      </c>
      <c r="AJ380" s="3">
        <f>IF(ISERROR(VLOOKUP($A380,'SegEnds_NonXtal_BW#'!$A:$Z,25,FALSE)+VLOOKUP($A380,A:AL,37,FALSE)-50),"-",(VLOOKUP($A380,'SegEnds_NonXtal_BW#'!$A:$Z,25,FALSE)+VLOOKUP($A380,A:AL,37,FALSE)-50))</f>
        <v>496</v>
      </c>
      <c r="AK380" s="3">
        <v>499</v>
      </c>
      <c r="AL380" s="3">
        <f>IF(ISERROR((VLOOKUP($A380,'SegEnds_NonXtal_BW#'!$A:$Z,26,FALSE)+VLOOKUP($A380,A:AL,37,FALSE)-50)),"-",(VLOOKUP($A380,'SegEnds_NonXtal_BW#'!$A:$Z,26,FALSE)+VLOOKUP($A380,A:AL,37,FALSE)-50))</f>
        <v>511</v>
      </c>
      <c r="AM380" s="28" t="str">
        <f>VLOOKUP(A380,Classification!A:B,2,FALSE)</f>
        <v>F</v>
      </c>
      <c r="AN380" s="28" t="b">
        <f t="shared" si="220"/>
        <v>1</v>
      </c>
      <c r="AO380" s="3" t="str">
        <f>IF(ISERROR(MATCH(A380,'SegEnds_Xtal_Prot#'!B:B, 0)), "NoXtal", "Xtal")</f>
        <v>NoXtal</v>
      </c>
      <c r="AP380" s="3">
        <f t="shared" si="205"/>
        <v>1</v>
      </c>
      <c r="AQ380" s="3">
        <f t="shared" si="206"/>
        <v>1</v>
      </c>
      <c r="AR380" s="3" t="str">
        <f t="shared" si="207"/>
        <v>-</v>
      </c>
      <c r="AS380" s="3" t="str">
        <f t="shared" si="208"/>
        <v>-</v>
      </c>
      <c r="AT380" s="3" t="str">
        <f t="shared" si="209"/>
        <v>-</v>
      </c>
      <c r="AU380" s="3" t="str">
        <f t="shared" si="210"/>
        <v>-</v>
      </c>
      <c r="AV380" s="3">
        <f t="shared" si="211"/>
        <v>11</v>
      </c>
      <c r="AW380" s="3">
        <f t="shared" si="212"/>
        <v>4</v>
      </c>
      <c r="AX380" s="3">
        <f t="shared" si="213"/>
        <v>11</v>
      </c>
      <c r="AY380" s="3">
        <f t="shared" si="214"/>
        <v>11</v>
      </c>
      <c r="AZ380" s="3">
        <f t="shared" si="215"/>
        <v>1</v>
      </c>
      <c r="BA380" s="3">
        <f>IF(ISERROR(LEN(VLOOKUP(A380,Seqs!A:E,2,FALSE))-AL380),"-",LEN(VLOOKUP(A380,Seqs!A:E,2,FALSE))-AL380)</f>
        <v>195</v>
      </c>
      <c r="BB380" s="16">
        <f t="shared" si="216"/>
        <v>26</v>
      </c>
      <c r="BC380" s="9" t="str">
        <f t="shared" si="217"/>
        <v>-</v>
      </c>
      <c r="BD380" s="3">
        <f t="shared" si="218"/>
        <v>26</v>
      </c>
      <c r="BE380" s="3">
        <f t="shared" si="219"/>
        <v>55</v>
      </c>
    </row>
    <row r="381" spans="1:58" s="3" customFormat="1" x14ac:dyDescent="0.2">
      <c r="A381" s="3" t="s">
        <v>453</v>
      </c>
      <c r="B381" s="3" t="str">
        <f>LOWER(VLOOKUP(A381,Xtal_Templ!A:B,2,FALSE))</f>
        <v>fzd4_human</v>
      </c>
      <c r="C381" s="3">
        <f>VLOOKUP($A381,'SegEnds_NonXtal_BW#'!$A:$Z,3,FALSE)+D381-50</f>
        <v>246</v>
      </c>
      <c r="D381" s="3">
        <v>268</v>
      </c>
      <c r="E381" s="3">
        <f>IF(ISERROR(VLOOKUP($A381,'SegEnds_NonXtal_BW#'!$A:$Z,4,FALSE)+VLOOKUP($A381,A:AL,4,FALSE)-50),"-",(VLOOKUP($A381,'SegEnds_NonXtal_BW#'!$A:$Z,4,FALSE)+VLOOKUP($A381,A:AL,4,FALSE)-50))</f>
        <v>278</v>
      </c>
      <c r="F381" s="3">
        <f t="shared" si="222"/>
        <v>279</v>
      </c>
      <c r="G381" s="3">
        <v>282</v>
      </c>
      <c r="H381" s="3">
        <f t="shared" si="227"/>
        <v>283</v>
      </c>
      <c r="I381" s="3">
        <f t="shared" si="224"/>
        <v>284</v>
      </c>
      <c r="J381" s="3">
        <v>294</v>
      </c>
      <c r="K381" s="3">
        <f>VLOOKUP($A381,'SegEnds_NonXtal_BW#'!$A:$Z,8,FALSE)+VLOOKUP($A381,A:AL,10,FALSE)-50</f>
        <v>310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333</v>
      </c>
      <c r="P381" s="3">
        <v>361</v>
      </c>
      <c r="Q381" s="3">
        <f>VLOOKUP($A381,'SegEnds_NonXtal_BW#'!$A:$Z,12,FALSE)+VLOOKUP($A381,A:AL,16,FALSE)-50</f>
        <v>366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377</v>
      </c>
      <c r="V381" s="3">
        <v>386</v>
      </c>
      <c r="W381" s="3">
        <f>IF(ISERROR(VLOOKUP($A381,'SegEnds_NonXtal_BW#'!$A:$Z,16,FALSE)+VLOOKUP($A381,A:AL,22,FALSE)-50),"-",(VLOOKUP($A381,'SegEnds_NonXtal_BW#'!$A:$Z,16,FALSE)+VLOOKUP($A381,A:AL,22,FALSE)-50))</f>
        <v>400</v>
      </c>
      <c r="X381" s="3">
        <f>IF(ISERROR(VLOOKUP($A381,'SegEnds_NonXtal_BW#'!$A:$Z,17,FALSE)+VLOOKUP($A381,A:AL,25,FALSE)-50),"-",(VLOOKUP($A381,'SegEnds_NonXtal_BW#'!$A:$Z,17,FALSE)+VLOOKUP($A381,A:AL,25,FALSE)-50))</f>
        <v>411</v>
      </c>
      <c r="Y381" s="3">
        <v>411</v>
      </c>
      <c r="Z381" s="3">
        <f t="shared" si="226"/>
        <v>413</v>
      </c>
      <c r="AA381" s="3">
        <f>IF(ISERROR(VLOOKUP($A381,'SegEnds_NonXtal_BW#'!$A:$Z,19,FALSE)+VLOOKUP($A381,A:AL,28,FALSE)-50),"-",(VLOOKUP($A381,'SegEnds_NonXtal_BW#'!$A:$Z,19,FALSE)+VLOOKUP($A381,A:AL,28,FALSE)-50))</f>
        <v>417</v>
      </c>
      <c r="AB381" s="3">
        <v>432</v>
      </c>
      <c r="AC381" s="3">
        <f>IF(ISERROR((VLOOKUP($A381,'SegEnds_NonXtal_BW#'!$A:$Z,20,FALSE)+VLOOKUP($A381,A:AL,28,FALSE)-50)),"-",(VLOOKUP($A381,'SegEnds_NonXtal_BW#'!$A:$Z,20,FALSE)+VLOOKUP($A381,A:AL,28,FALSE)-50))</f>
        <v>454</v>
      </c>
      <c r="AD381" s="3">
        <f>IF(ISERROR(VLOOKUP($A381,'SegEnds_NonXtal_BW#'!$A:$Z,21,FALSE)+VLOOKUP($A381,A:AL,31,FALSE)-50),"-",(VLOOKUP($A381,'SegEnds_NonXtal_BW#'!$A:$Z,21,FALSE)+VLOOKUP($A381,A:AL,31,FALSE)-50))</f>
        <v>465</v>
      </c>
      <c r="AE381" s="3">
        <v>487</v>
      </c>
      <c r="AF381" s="3">
        <f>IF(ISERROR((VLOOKUP($A381,'SegEnds_NonXtal_BW#'!$A:$Z,22,FALSE)+VLOOKUP($A381,A:AL,31,FALSE)-50)),"-",(VLOOKUP($A381,'SegEnds_NonXtal_BW#'!$A:$Z,22,FALSE)+VLOOKUP($A381,A:AL,31,FALSE)-50))</f>
        <v>515</v>
      </c>
      <c r="AG381" s="3">
        <f>IF(ISERROR(VLOOKUP($A381,'SegEnds_NonXtal_BW#'!$A:$Z,23,FALSE)+VLOOKUP($A381,A:AL,34,FALSE)-50),"-",(VLOOKUP($A381,'SegEnds_NonXtal_BW#'!$A:$Z,23,FALSE)+VLOOKUP($A381,A:AL,34,FALSE)-50))</f>
        <v>526</v>
      </c>
      <c r="AH381" s="3">
        <v>542</v>
      </c>
      <c r="AI381" s="3">
        <f>IF(ISERROR((VLOOKUP($A381,'SegEnds_NonXtal_BW#'!$A:$Z,24,FALSE)+VLOOKUP($A381,A:AL,34,FALSE)-50)),"-",(VLOOKUP($A381,'SegEnds_NonXtal_BW#'!$A:$Z,24,FALSE)+VLOOKUP($A381,A:AL,34,FALSE)-50))</f>
        <v>549</v>
      </c>
      <c r="AJ381" s="3">
        <f>IF(ISERROR(VLOOKUP($A381,'SegEnds_NonXtal_BW#'!$A:$Z,25,FALSE)+VLOOKUP($A381,A:AL,37,FALSE)-50),"-",(VLOOKUP($A381,'SegEnds_NonXtal_BW#'!$A:$Z,25,FALSE)+VLOOKUP($A381,A:AL,37,FALSE)-50))</f>
        <v>550</v>
      </c>
      <c r="AK381" s="3">
        <v>553</v>
      </c>
      <c r="AL381" s="3">
        <f>IF(ISERROR((VLOOKUP($A381,'SegEnds_NonXtal_BW#'!$A:$Z,26,FALSE)+VLOOKUP($A381,A:AL,37,FALSE)-50)),"-",(VLOOKUP($A381,'SegEnds_NonXtal_BW#'!$A:$Z,26,FALSE)+VLOOKUP($A381,A:AL,37,FALSE)-50))</f>
        <v>565</v>
      </c>
      <c r="AM381" s="28" t="str">
        <f>VLOOKUP(A381,Classification!A:B,2,FALSE)</f>
        <v>F</v>
      </c>
      <c r="AN381" s="28" t="b">
        <f t="shared" si="220"/>
        <v>1</v>
      </c>
      <c r="AO381" s="3" t="str">
        <f>IF(ISERROR(MATCH(A381,'SegEnds_Xtal_Prot#'!B:B, 0)), "NoXtal", "Xtal")</f>
        <v>NoXtal</v>
      </c>
      <c r="AP381" s="3">
        <f t="shared" si="205"/>
        <v>1</v>
      </c>
      <c r="AQ381" s="3">
        <f t="shared" si="206"/>
        <v>1</v>
      </c>
      <c r="AR381" s="3" t="str">
        <f t="shared" si="207"/>
        <v>-</v>
      </c>
      <c r="AS381" s="3" t="str">
        <f t="shared" si="208"/>
        <v>-</v>
      </c>
      <c r="AT381" s="3" t="str">
        <f t="shared" si="209"/>
        <v>-</v>
      </c>
      <c r="AU381" s="3" t="str">
        <f t="shared" si="210"/>
        <v>-</v>
      </c>
      <c r="AV381" s="3">
        <f t="shared" si="211"/>
        <v>11</v>
      </c>
      <c r="AW381" s="3">
        <f t="shared" si="212"/>
        <v>4</v>
      </c>
      <c r="AX381" s="3">
        <f t="shared" si="213"/>
        <v>11</v>
      </c>
      <c r="AY381" s="3">
        <f t="shared" si="214"/>
        <v>11</v>
      </c>
      <c r="AZ381" s="3">
        <f t="shared" si="215"/>
        <v>1</v>
      </c>
      <c r="BA381" s="3">
        <f>IF(ISERROR(LEN(VLOOKUP(A381,Seqs!A:E,2,FALSE))-AL381),"-",LEN(VLOOKUP(A381,Seqs!A:E,2,FALSE))-AL381)</f>
        <v>9</v>
      </c>
      <c r="BB381" s="16">
        <f t="shared" si="216"/>
        <v>26</v>
      </c>
      <c r="BC381" s="9" t="str">
        <f t="shared" si="217"/>
        <v>-</v>
      </c>
      <c r="BD381" s="3">
        <f t="shared" si="218"/>
        <v>26</v>
      </c>
      <c r="BE381" s="3">
        <f t="shared" si="219"/>
        <v>55</v>
      </c>
      <c r="BF381" s="3">
        <f>AH381-AE381</f>
        <v>55</v>
      </c>
    </row>
    <row r="382" spans="1:58" s="3" customFormat="1" x14ac:dyDescent="0.2">
      <c r="A382" s="3" t="s">
        <v>454</v>
      </c>
      <c r="B382" s="3" t="str">
        <f>LOWER(VLOOKUP(A382,Xtal_Templ!A:B,2,FALSE))</f>
        <v>fzd4_human</v>
      </c>
      <c r="C382" s="3">
        <f>VLOOKUP($A382,'SegEnds_NonXtal_BW#'!$A:$Z,3,FALSE)+D382-50</f>
        <v>270</v>
      </c>
      <c r="D382" s="3">
        <v>292</v>
      </c>
      <c r="E382" s="3">
        <f>IF(ISERROR(VLOOKUP($A382,'SegEnds_NonXtal_BW#'!$A:$Z,4,FALSE)+VLOOKUP($A382,A:AL,4,FALSE)-50),"-",(VLOOKUP($A382,'SegEnds_NonXtal_BW#'!$A:$Z,4,FALSE)+VLOOKUP($A382,A:AL,4,FALSE)-50))</f>
        <v>302</v>
      </c>
      <c r="F382" s="3">
        <f t="shared" si="222"/>
        <v>303</v>
      </c>
      <c r="G382" s="3">
        <v>306</v>
      </c>
      <c r="H382" s="3">
        <f t="shared" si="227"/>
        <v>307</v>
      </c>
      <c r="I382" s="3">
        <f t="shared" si="224"/>
        <v>308</v>
      </c>
      <c r="J382" s="3">
        <v>318</v>
      </c>
      <c r="K382" s="3">
        <f>VLOOKUP($A382,'SegEnds_NonXtal_BW#'!$A:$Z,8,FALSE)+VLOOKUP($A382,A:AL,10,FALSE)-50</f>
        <v>334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393</v>
      </c>
      <c r="P382" s="3">
        <v>421</v>
      </c>
      <c r="Q382" s="3">
        <f>VLOOKUP($A382,'SegEnds_NonXtal_BW#'!$A:$Z,12,FALSE)+VLOOKUP($A382,A:AL,16,FALSE)-50</f>
        <v>426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437</v>
      </c>
      <c r="V382" s="3">
        <v>446</v>
      </c>
      <c r="W382" s="3">
        <f>IF(ISERROR(VLOOKUP($A382,'SegEnds_NonXtal_BW#'!$A:$Z,16,FALSE)+VLOOKUP($A382,A:AL,22,FALSE)-50),"-",(VLOOKUP($A382,'SegEnds_NonXtal_BW#'!$A:$Z,16,FALSE)+VLOOKUP($A382,A:AL,22,FALSE)-50))</f>
        <v>460</v>
      </c>
      <c r="X382" s="3">
        <f>IF(ISERROR(VLOOKUP($A382,'SegEnds_NonXtal_BW#'!$A:$Z,17,FALSE)+VLOOKUP($A382,A:AL,25,FALSE)-50),"-",(VLOOKUP($A382,'SegEnds_NonXtal_BW#'!$A:$Z,17,FALSE)+VLOOKUP($A382,A:AL,25,FALSE)-50))</f>
        <v>471</v>
      </c>
      <c r="Y382" s="3">
        <v>471</v>
      </c>
      <c r="Z382" s="3">
        <f t="shared" si="226"/>
        <v>473</v>
      </c>
      <c r="AA382" s="3">
        <f>IF(ISERROR(VLOOKUP($A382,'SegEnds_NonXtal_BW#'!$A:$Z,19,FALSE)+VLOOKUP($A382,A:AL,28,FALSE)-50),"-",(VLOOKUP($A382,'SegEnds_NonXtal_BW#'!$A:$Z,19,FALSE)+VLOOKUP($A382,A:AL,28,FALSE)-50))</f>
        <v>477</v>
      </c>
      <c r="AB382" s="3">
        <v>492</v>
      </c>
      <c r="AC382" s="3">
        <f>IF(ISERROR((VLOOKUP($A382,'SegEnds_NonXtal_BW#'!$A:$Z,20,FALSE)+VLOOKUP($A382,A:AL,28,FALSE)-50)),"-",(VLOOKUP($A382,'SegEnds_NonXtal_BW#'!$A:$Z,20,FALSE)+VLOOKUP($A382,A:AL,28,FALSE)-50))</f>
        <v>514</v>
      </c>
      <c r="AD382" s="3">
        <f>IF(ISERROR(VLOOKUP($A382,'SegEnds_NonXtal_BW#'!$A:$Z,21,FALSE)+VLOOKUP($A382,A:AL,31,FALSE)-50),"-",(VLOOKUP($A382,'SegEnds_NonXtal_BW#'!$A:$Z,21,FALSE)+VLOOKUP($A382,A:AL,31,FALSE)-50))</f>
        <v>527</v>
      </c>
      <c r="AE382" s="3">
        <v>549</v>
      </c>
      <c r="AF382" s="3">
        <f>IF(ISERROR((VLOOKUP($A382,'SegEnds_NonXtal_BW#'!$A:$Z,22,FALSE)+VLOOKUP($A382,A:AL,31,FALSE)-50)),"-",(VLOOKUP($A382,'SegEnds_NonXtal_BW#'!$A:$Z,22,FALSE)+VLOOKUP($A382,A:AL,31,FALSE)-50))</f>
        <v>577</v>
      </c>
      <c r="AG382" s="3">
        <f>IF(ISERROR(VLOOKUP($A382,'SegEnds_NonXtal_BW#'!$A:$Z,23,FALSE)+VLOOKUP($A382,A:AL,34,FALSE)-50),"-",(VLOOKUP($A382,'SegEnds_NonXtal_BW#'!$A:$Z,23,FALSE)+VLOOKUP($A382,A:AL,34,FALSE)-50))</f>
        <v>582</v>
      </c>
      <c r="AH382" s="3">
        <v>598</v>
      </c>
      <c r="AI382" s="3">
        <f>IF(ISERROR((VLOOKUP($A382,'SegEnds_NonXtal_BW#'!$A:$Z,24,FALSE)+VLOOKUP($A382,A:AL,34,FALSE)-50)),"-",(VLOOKUP($A382,'SegEnds_NonXtal_BW#'!$A:$Z,24,FALSE)+VLOOKUP($A382,A:AL,34,FALSE)-50))</f>
        <v>605</v>
      </c>
      <c r="AJ382" s="3">
        <f>IF(ISERROR(VLOOKUP($A382,'SegEnds_NonXtal_BW#'!$A:$Z,25,FALSE)+VLOOKUP($A382,A:AL,37,FALSE)-50),"-",(VLOOKUP($A382,'SegEnds_NonXtal_BW#'!$A:$Z,25,FALSE)+VLOOKUP($A382,A:AL,37,FALSE)-50))</f>
        <v>606</v>
      </c>
      <c r="AK382" s="3">
        <v>609</v>
      </c>
      <c r="AL382" s="3">
        <f>IF(ISERROR((VLOOKUP($A382,'SegEnds_NonXtal_BW#'!$A:$Z,26,FALSE)+VLOOKUP($A382,A:AL,37,FALSE)-50)),"-",(VLOOKUP($A382,'SegEnds_NonXtal_BW#'!$A:$Z,26,FALSE)+VLOOKUP($A382,A:AL,37,FALSE)-50))</f>
        <v>621</v>
      </c>
      <c r="AM382" s="28" t="str">
        <f>VLOOKUP(A382,Classification!A:B,2,FALSE)</f>
        <v>F</v>
      </c>
      <c r="AN382" s="28" t="b">
        <f t="shared" si="220"/>
        <v>1</v>
      </c>
      <c r="AO382" s="3" t="str">
        <f>IF(ISERROR(MATCH(A382,'SegEnds_Xtal_Prot#'!B:B, 0)), "NoXtal", "Xtal")</f>
        <v>NoXtal</v>
      </c>
      <c r="AP382" s="3">
        <f t="shared" si="205"/>
        <v>1</v>
      </c>
      <c r="AQ382" s="3">
        <f t="shared" si="206"/>
        <v>1</v>
      </c>
      <c r="AR382" s="3" t="str">
        <f t="shared" si="207"/>
        <v>-</v>
      </c>
      <c r="AS382" s="3" t="str">
        <f t="shared" si="208"/>
        <v>-</v>
      </c>
      <c r="AT382" s="3" t="str">
        <f t="shared" si="209"/>
        <v>-</v>
      </c>
      <c r="AU382" s="3" t="str">
        <f t="shared" si="210"/>
        <v>-</v>
      </c>
      <c r="AV382" s="3">
        <f t="shared" si="211"/>
        <v>11</v>
      </c>
      <c r="AW382" s="3">
        <f t="shared" si="212"/>
        <v>4</v>
      </c>
      <c r="AX382" s="3">
        <f t="shared" si="213"/>
        <v>13</v>
      </c>
      <c r="AY382" s="3">
        <f t="shared" si="214"/>
        <v>5</v>
      </c>
      <c r="AZ382" s="3">
        <f t="shared" si="215"/>
        <v>1</v>
      </c>
      <c r="BA382" s="3">
        <f>IF(ISERROR(LEN(VLOOKUP(A382,Seqs!A:E,2,FALSE))-AL382),"-",LEN(VLOOKUP(A382,Seqs!A:E,2,FALSE))-AL382)</f>
        <v>73</v>
      </c>
      <c r="BB382" s="16">
        <f t="shared" si="216"/>
        <v>26</v>
      </c>
      <c r="BC382" s="9" t="str">
        <f t="shared" si="217"/>
        <v>-</v>
      </c>
      <c r="BD382" s="3">
        <f t="shared" si="218"/>
        <v>26</v>
      </c>
      <c r="BE382" s="3">
        <f t="shared" si="219"/>
        <v>57</v>
      </c>
    </row>
    <row r="383" spans="1:58" s="3" customFormat="1" x14ac:dyDescent="0.2">
      <c r="A383" s="3" t="s">
        <v>455</v>
      </c>
      <c r="B383" s="3" t="str">
        <f>LOWER(VLOOKUP(A383,Xtal_Templ!A:B,2,FALSE))</f>
        <v>fzd4_human</v>
      </c>
      <c r="C383" s="3">
        <f>VLOOKUP($A383,'SegEnds_NonXtal_BW#'!$A:$Z,3,FALSE)+D383-50</f>
        <v>224</v>
      </c>
      <c r="D383" s="3">
        <v>246</v>
      </c>
      <c r="E383" s="3">
        <f>IF(ISERROR(VLOOKUP($A383,'SegEnds_NonXtal_BW#'!$A:$Z,4,FALSE)+VLOOKUP($A383,A:AL,4,FALSE)-50),"-",(VLOOKUP($A383,'SegEnds_NonXtal_BW#'!$A:$Z,4,FALSE)+VLOOKUP($A383,A:AL,4,FALSE)-50))</f>
        <v>256</v>
      </c>
      <c r="F383" s="3">
        <f t="shared" si="222"/>
        <v>257</v>
      </c>
      <c r="G383" s="3">
        <v>260</v>
      </c>
      <c r="H383" s="3">
        <f t="shared" si="227"/>
        <v>261</v>
      </c>
      <c r="I383" s="3">
        <f t="shared" si="224"/>
        <v>262</v>
      </c>
      <c r="J383" s="3">
        <v>272</v>
      </c>
      <c r="K383" s="3">
        <f>VLOOKUP($A383,'SegEnds_NonXtal_BW#'!$A:$Z,8,FALSE)+VLOOKUP($A383,A:AL,10,FALSE)-50</f>
        <v>288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310</v>
      </c>
      <c r="P383" s="3">
        <v>338</v>
      </c>
      <c r="Q383" s="3">
        <f>VLOOKUP($A383,'SegEnds_NonXtal_BW#'!$A:$Z,12,FALSE)+VLOOKUP($A383,A:AL,16,FALSE)-50</f>
        <v>343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354</v>
      </c>
      <c r="V383" s="3">
        <v>363</v>
      </c>
      <c r="W383" s="3">
        <f>IF(ISERROR(VLOOKUP($A383,'SegEnds_NonXtal_BW#'!$A:$Z,16,FALSE)+VLOOKUP($A383,A:AL,22,FALSE)-50),"-",(VLOOKUP($A383,'SegEnds_NonXtal_BW#'!$A:$Z,16,FALSE)+VLOOKUP($A383,A:AL,22,FALSE)-50))</f>
        <v>377</v>
      </c>
      <c r="X383" s="3">
        <f>IF(ISERROR(VLOOKUP($A383,'SegEnds_NonXtal_BW#'!$A:$Z,17,FALSE)+VLOOKUP($A383,A:AL,25,FALSE)-50),"-",(VLOOKUP($A383,'SegEnds_NonXtal_BW#'!$A:$Z,17,FALSE)+VLOOKUP($A383,A:AL,25,FALSE)-50))</f>
        <v>388</v>
      </c>
      <c r="Y383" s="3">
        <v>388</v>
      </c>
      <c r="Z383" s="3">
        <f t="shared" si="226"/>
        <v>390</v>
      </c>
      <c r="AA383" s="3">
        <f>IF(ISERROR(VLOOKUP($A383,'SegEnds_NonXtal_BW#'!$A:$Z,19,FALSE)+VLOOKUP($A383,A:AL,28,FALSE)-50),"-",(VLOOKUP($A383,'SegEnds_NonXtal_BW#'!$A:$Z,19,FALSE)+VLOOKUP($A383,A:AL,28,FALSE)-50))</f>
        <v>394</v>
      </c>
      <c r="AB383" s="3">
        <v>409</v>
      </c>
      <c r="AC383" s="3">
        <f>IF(ISERROR((VLOOKUP($A383,'SegEnds_NonXtal_BW#'!$A:$Z,20,FALSE)+VLOOKUP($A383,A:AL,28,FALSE)-50)),"-",(VLOOKUP($A383,'SegEnds_NonXtal_BW#'!$A:$Z,20,FALSE)+VLOOKUP($A383,A:AL,28,FALSE)-50))</f>
        <v>431</v>
      </c>
      <c r="AD383" s="3">
        <f>IF(ISERROR(VLOOKUP($A383,'SegEnds_NonXtal_BW#'!$A:$Z,21,FALSE)+VLOOKUP($A383,A:AL,31,FALSE)-50),"-",(VLOOKUP($A383,'SegEnds_NonXtal_BW#'!$A:$Z,21,FALSE)+VLOOKUP($A383,A:AL,31,FALSE)-50))</f>
        <v>442</v>
      </c>
      <c r="AE383" s="3">
        <v>464</v>
      </c>
      <c r="AF383" s="3">
        <f>IF(ISERROR((VLOOKUP($A383,'SegEnds_NonXtal_BW#'!$A:$Z,22,FALSE)+VLOOKUP($A383,A:AL,31,FALSE)-50)),"-",(VLOOKUP($A383,'SegEnds_NonXtal_BW#'!$A:$Z,22,FALSE)+VLOOKUP($A383,A:AL,31,FALSE)-50))</f>
        <v>492</v>
      </c>
      <c r="AG383" s="3">
        <f>IF(ISERROR(VLOOKUP($A383,'SegEnds_NonXtal_BW#'!$A:$Z,23,FALSE)+VLOOKUP($A383,A:AL,34,FALSE)-50),"-",(VLOOKUP($A383,'SegEnds_NonXtal_BW#'!$A:$Z,23,FALSE)+VLOOKUP($A383,A:AL,34,FALSE)-50))</f>
        <v>506</v>
      </c>
      <c r="AH383" s="3">
        <v>522</v>
      </c>
      <c r="AI383" s="3">
        <f>IF(ISERROR((VLOOKUP($A383,'SegEnds_NonXtal_BW#'!$A:$Z,24,FALSE)+VLOOKUP($A383,A:AL,34,FALSE)-50)),"-",(VLOOKUP($A383,'SegEnds_NonXtal_BW#'!$A:$Z,24,FALSE)+VLOOKUP($A383,A:AL,34,FALSE)-50))</f>
        <v>529</v>
      </c>
      <c r="AJ383" s="3">
        <f>IF(ISERROR(VLOOKUP($A383,'SegEnds_NonXtal_BW#'!$A:$Z,25,FALSE)+VLOOKUP($A383,A:AL,37,FALSE)-50),"-",(VLOOKUP($A383,'SegEnds_NonXtal_BW#'!$A:$Z,25,FALSE)+VLOOKUP($A383,A:AL,37,FALSE)-50))</f>
        <v>530</v>
      </c>
      <c r="AK383" s="3">
        <v>533</v>
      </c>
      <c r="AL383" s="3">
        <f>IF(ISERROR((VLOOKUP($A383,'SegEnds_NonXtal_BW#'!$A:$Z,26,FALSE)+VLOOKUP($A383,A:AL,37,FALSE)-50)),"-",(VLOOKUP($A383,'SegEnds_NonXtal_BW#'!$A:$Z,26,FALSE)+VLOOKUP($A383,A:AL,37,FALSE)-50))</f>
        <v>545</v>
      </c>
      <c r="AM383" s="28" t="str">
        <f>VLOOKUP(A383,Classification!A:B,2,FALSE)</f>
        <v>F</v>
      </c>
      <c r="AN383" s="28" t="b">
        <f t="shared" si="220"/>
        <v>1</v>
      </c>
      <c r="AO383" s="3" t="str">
        <f>IF(ISERROR(MATCH(A383,'SegEnds_Xtal_Prot#'!B:B, 0)), "NoXtal", "Xtal")</f>
        <v>NoXtal</v>
      </c>
      <c r="AP383" s="3">
        <f t="shared" si="205"/>
        <v>1</v>
      </c>
      <c r="AQ383" s="3">
        <f t="shared" si="206"/>
        <v>1</v>
      </c>
      <c r="AR383" s="3" t="str">
        <f t="shared" si="207"/>
        <v>-</v>
      </c>
      <c r="AS383" s="3" t="str">
        <f t="shared" si="208"/>
        <v>-</v>
      </c>
      <c r="AT383" s="3" t="str">
        <f t="shared" si="209"/>
        <v>-</v>
      </c>
      <c r="AU383" s="3" t="str">
        <f t="shared" si="210"/>
        <v>-</v>
      </c>
      <c r="AV383" s="3">
        <f t="shared" si="211"/>
        <v>11</v>
      </c>
      <c r="AW383" s="3">
        <f t="shared" si="212"/>
        <v>4</v>
      </c>
      <c r="AX383" s="3">
        <f t="shared" si="213"/>
        <v>11</v>
      </c>
      <c r="AY383" s="3">
        <f t="shared" si="214"/>
        <v>14</v>
      </c>
      <c r="AZ383" s="3">
        <f t="shared" si="215"/>
        <v>1</v>
      </c>
      <c r="BA383" s="3">
        <f>IF(ISERROR(LEN(VLOOKUP(A383,Seqs!A:E,2,FALSE))-AL383),"-",LEN(VLOOKUP(A383,Seqs!A:E,2,FALSE))-AL383)</f>
        <v>46</v>
      </c>
      <c r="BB383" s="16">
        <f t="shared" si="216"/>
        <v>26</v>
      </c>
      <c r="BC383" s="9" t="str">
        <f t="shared" si="217"/>
        <v>-</v>
      </c>
      <c r="BD383" s="3">
        <f t="shared" si="218"/>
        <v>26</v>
      </c>
      <c r="BE383" s="3">
        <f t="shared" si="219"/>
        <v>55</v>
      </c>
    </row>
    <row r="384" spans="1:58" s="3" customFormat="1" x14ac:dyDescent="0.2">
      <c r="A384" s="3" t="s">
        <v>33</v>
      </c>
      <c r="B384" s="3" t="str">
        <f>LOWER(VLOOKUP(A384,Xtal_Templ!A:B,2,FALSE))</f>
        <v>smo_human</v>
      </c>
      <c r="C384" s="3">
        <f>VLOOKUP($A384,'SegEnds_NonXtal_BW#'!$A:$Z,3,FALSE)+D384-50</f>
        <v>223</v>
      </c>
      <c r="D384" s="3">
        <v>245</v>
      </c>
      <c r="E384" s="3">
        <f>IF(ISERROR(VLOOKUP($A384,'SegEnds_NonXtal_BW#'!$A:$Z,4,FALSE)+VLOOKUP($A384,A:AL,4,FALSE)-50),"-",(VLOOKUP($A384,'SegEnds_NonXtal_BW#'!$A:$Z,4,FALSE)+VLOOKUP($A384,A:AL,4,FALSE)-50))</f>
        <v>255</v>
      </c>
      <c r="F384" s="3">
        <f t="shared" si="222"/>
        <v>256</v>
      </c>
      <c r="G384" s="3">
        <v>259</v>
      </c>
      <c r="H384" s="3">
        <f t="shared" si="227"/>
        <v>260</v>
      </c>
      <c r="I384" s="3">
        <f t="shared" si="224"/>
        <v>261</v>
      </c>
      <c r="J384" s="3">
        <v>272</v>
      </c>
      <c r="K384" s="3">
        <f>VLOOKUP($A384,'SegEnds_NonXtal_BW#'!$A:$Z,8,FALSE)+VLOOKUP($A384,A:AL,10,FALSE)-50</f>
        <v>285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312</v>
      </c>
      <c r="P384" s="3">
        <v>339</v>
      </c>
      <c r="Q384" s="3">
        <f>VLOOKUP($A384,'SegEnds_NonXtal_BW#'!$A:$Z,12,FALSE)+VLOOKUP($A384,A:AL,16,FALSE)-50</f>
        <v>345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356</v>
      </c>
      <c r="V384" s="3">
        <v>365</v>
      </c>
      <c r="W384" s="3">
        <f>IF(ISERROR(VLOOKUP($A384,'SegEnds_NonXtal_BW#'!$A:$Z,16,FALSE)+VLOOKUP($A384,A:AL,22,FALSE)-50),"-",(VLOOKUP($A384,'SegEnds_NonXtal_BW#'!$A:$Z,16,FALSE)+VLOOKUP($A384,A:AL,22,FALSE)-50))</f>
        <v>379</v>
      </c>
      <c r="X384" s="3">
        <f>IF(ISERROR(VLOOKUP($A384,'SegEnds_NonXtal_BW#'!$A:$Z,17,FALSE)+VLOOKUP($A384,A:AL,25,FALSE)-50),"-",(VLOOKUP($A384,'SegEnds_NonXtal_BW#'!$A:$Z,17,FALSE)+VLOOKUP($A384,A:AL,25,FALSE)-50))</f>
        <v>390</v>
      </c>
      <c r="Y384" s="3">
        <v>390</v>
      </c>
      <c r="Z384" s="3">
        <f t="shared" si="226"/>
        <v>392</v>
      </c>
      <c r="AA384" s="3">
        <f>IF(ISERROR(VLOOKUP($A384,'SegEnds_NonXtal_BW#'!$A:$Z,19,FALSE)+VLOOKUP($A384,A:AL,28,FALSE)-50),"-",(VLOOKUP($A384,'SegEnds_NonXtal_BW#'!$A:$Z,19,FALSE)+VLOOKUP($A384,A:AL,28,FALSE)-50))</f>
        <v>396</v>
      </c>
      <c r="AB384" s="3">
        <v>411</v>
      </c>
      <c r="AC384" s="3">
        <f>IF(ISERROR((VLOOKUP($A384,'SegEnds_NonXtal_BW#'!$A:$Z,20,FALSE)+VLOOKUP($A384,A:AL,28,FALSE)-50)),"-",(VLOOKUP($A384,'SegEnds_NonXtal_BW#'!$A:$Z,20,FALSE)+VLOOKUP($A384,A:AL,28,FALSE)-50))</f>
        <v>433</v>
      </c>
      <c r="AD384" s="3">
        <f>IF(ISERROR(VLOOKUP($A384,'SegEnds_NonXtal_BW#'!$A:$Z,21,FALSE)+VLOOKUP($A384,A:AL,31,FALSE)-50),"-",(VLOOKUP($A384,'SegEnds_NonXtal_BW#'!$A:$Z,21,FALSE)+VLOOKUP($A384,A:AL,31,FALSE)-50))</f>
        <v>438</v>
      </c>
      <c r="AE384" s="3">
        <v>468</v>
      </c>
      <c r="AF384" s="3">
        <f>IF(ISERROR((VLOOKUP($A384,'SegEnds_NonXtal_BW#'!$A:$Z,22,FALSE)+VLOOKUP($A384,A:AL,31,FALSE)-50)),"-",(VLOOKUP($A384,'SegEnds_NonXtal_BW#'!$A:$Z,22,FALSE)+VLOOKUP($A384,A:AL,31,FALSE)-50))</f>
        <v>496</v>
      </c>
      <c r="AG384" s="3">
        <f>IF(ISERROR(VLOOKUP($A384,'SegEnds_NonXtal_BW#'!$A:$Z,23,FALSE)+VLOOKUP($A384,A:AL,34,FALSE)-50),"-",(VLOOKUP($A384,'SegEnds_NonXtal_BW#'!$A:$Z,23,FALSE)+VLOOKUP($A384,A:AL,34,FALSE)-50))</f>
        <v>514</v>
      </c>
      <c r="AH384" s="3">
        <v>530</v>
      </c>
      <c r="AI384" s="3">
        <f>IF(ISERROR((VLOOKUP($A384,'SegEnds_NonXtal_BW#'!$A:$Z,24,FALSE)+VLOOKUP($A384,A:AL,34,FALSE)-50)),"-",(VLOOKUP($A384,'SegEnds_NonXtal_BW#'!$A:$Z,24,FALSE)+VLOOKUP($A384,A:AL,34,FALSE)-50))</f>
        <v>537</v>
      </c>
      <c r="AJ384" s="3">
        <f>IF(ISERROR(VLOOKUP($A384,'SegEnds_NonXtal_BW#'!$A:$Z,25,FALSE)+VLOOKUP($A384,A:AL,37,FALSE)-50),"-",(VLOOKUP($A384,'SegEnds_NonXtal_BW#'!$A:$Z,25,FALSE)+VLOOKUP($A384,A:AL,37,FALSE)-50))</f>
        <v>538</v>
      </c>
      <c r="AK384" s="3">
        <v>541</v>
      </c>
      <c r="AL384" s="3">
        <f>IF(ISERROR((VLOOKUP($A384,'SegEnds_NonXtal_BW#'!$A:$Z,26,FALSE)+VLOOKUP($A384,A:AL,37,FALSE)-50)),"-",(VLOOKUP($A384,'SegEnds_NonXtal_BW#'!$A:$Z,26,FALSE)+VLOOKUP($A384,A:AL,37,FALSE)-50))</f>
        <v>553</v>
      </c>
      <c r="AM384" s="28" t="str">
        <f>VLOOKUP(A384,Classification!A:B,2,FALSE)</f>
        <v>F</v>
      </c>
      <c r="AN384" s="28" t="b">
        <f t="shared" si="220"/>
        <v>1</v>
      </c>
      <c r="AO384" s="3" t="str">
        <f>IF(ISERROR(MATCH(A384,'SegEnds_Xtal_Prot#'!B:B, 0)), "NoXtal", "Xtal")</f>
        <v>Xtal</v>
      </c>
      <c r="AP384" s="3">
        <f t="shared" si="205"/>
        <v>1</v>
      </c>
      <c r="AQ384" s="3">
        <f t="shared" si="206"/>
        <v>1</v>
      </c>
      <c r="AR384" s="3" t="str">
        <f t="shared" si="207"/>
        <v>-</v>
      </c>
      <c r="AS384" s="3" t="str">
        <f t="shared" si="208"/>
        <v>-</v>
      </c>
      <c r="AT384" s="3" t="str">
        <f t="shared" si="209"/>
        <v>-</v>
      </c>
      <c r="AU384" s="3" t="str">
        <f t="shared" si="210"/>
        <v>-</v>
      </c>
      <c r="AV384" s="3">
        <f t="shared" si="211"/>
        <v>11</v>
      </c>
      <c r="AW384" s="3">
        <f t="shared" si="212"/>
        <v>4</v>
      </c>
      <c r="AX384" s="3">
        <f t="shared" si="213"/>
        <v>5</v>
      </c>
      <c r="AY384" s="3">
        <f t="shared" si="214"/>
        <v>18</v>
      </c>
      <c r="AZ384" s="3">
        <f t="shared" si="215"/>
        <v>1</v>
      </c>
      <c r="BA384" s="3">
        <f>IF(ISERROR(LEN(VLOOKUP(A384,Seqs!A:E,2,FALSE))-AL384),"-",LEN(VLOOKUP(A384,Seqs!A:E,2,FALSE))-AL384)</f>
        <v>234</v>
      </c>
      <c r="BB384" s="16">
        <f t="shared" si="216"/>
        <v>27</v>
      </c>
      <c r="BC384" s="9" t="str">
        <f t="shared" si="217"/>
        <v>-</v>
      </c>
      <c r="BD384" s="3">
        <f t="shared" si="218"/>
        <v>27</v>
      </c>
      <c r="BE384" s="3">
        <f t="shared" si="219"/>
        <v>57</v>
      </c>
    </row>
    <row r="385" spans="1:58" s="3" customFormat="1" x14ac:dyDescent="0.2">
      <c r="A385" s="3" t="s">
        <v>1594</v>
      </c>
      <c r="B385" s="3" t="str">
        <f>LOWER(VLOOKUP(A385,Xtal_Templ!A:B,2,FALSE))</f>
        <v>smo_mouse</v>
      </c>
      <c r="C385" s="3">
        <f>VLOOKUP($A385,'SegEnds_NonXtal_BW#'!$A:$Z,3,FALSE)+D385-50</f>
        <v>227</v>
      </c>
      <c r="D385" s="3">
        <v>249</v>
      </c>
      <c r="E385" s="3">
        <f>IF(ISERROR(VLOOKUP($A385,'SegEnds_NonXtal_BW#'!$A:$Z,4,FALSE)+VLOOKUP($A385,A:AL,4,FALSE)-50),"-",(VLOOKUP($A385,'SegEnds_NonXtal_BW#'!$A:$Z,4,FALSE)+VLOOKUP($A385,A:AL,4,FALSE)-50))</f>
        <v>259</v>
      </c>
      <c r="F385" s="3">
        <f t="shared" ref="F385" si="228">G385-3</f>
        <v>260</v>
      </c>
      <c r="G385" s="3">
        <v>263</v>
      </c>
      <c r="H385" s="3">
        <f t="shared" ref="H385" si="229">G385+1</f>
        <v>264</v>
      </c>
      <c r="I385" s="3">
        <f t="shared" ref="I385" si="230">H385+1</f>
        <v>265</v>
      </c>
      <c r="J385" s="3">
        <v>276</v>
      </c>
      <c r="K385" s="3">
        <f>VLOOKUP($A385,'SegEnds_NonXtal_BW#'!$A:$Z,8,FALSE)+VLOOKUP($A385,A:AL,10,FALSE)-50</f>
        <v>289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316</v>
      </c>
      <c r="P385" s="3">
        <v>343</v>
      </c>
      <c r="Q385" s="3">
        <f>VLOOKUP($A385,'SegEnds_NonXtal_BW#'!$A:$Z,12,FALSE)+VLOOKUP($A385,A:AL,16,FALSE)-50</f>
        <v>349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360</v>
      </c>
      <c r="V385" s="3">
        <v>369</v>
      </c>
      <c r="W385" s="3">
        <f>IF(ISERROR(VLOOKUP($A385,'SegEnds_NonXtal_BW#'!$A:$Z,16,FALSE)+VLOOKUP($A385,A:AL,22,FALSE)-50),"-",(VLOOKUP($A385,'SegEnds_NonXtal_BW#'!$A:$Z,16,FALSE)+VLOOKUP($A385,A:AL,22,FALSE)-50))</f>
        <v>383</v>
      </c>
      <c r="X385" s="3">
        <f>IF(ISERROR(VLOOKUP($A385,'SegEnds_NonXtal_BW#'!$A:$Z,17,FALSE)+VLOOKUP($A385,A:AL,25,FALSE)-50),"-",(VLOOKUP($A385,'SegEnds_NonXtal_BW#'!$A:$Z,17,FALSE)+VLOOKUP($A385,A:AL,25,FALSE)-50))</f>
        <v>394</v>
      </c>
      <c r="Y385" s="3">
        <v>394</v>
      </c>
      <c r="Z385" s="3">
        <f t="shared" ref="Z385" si="231">Y385+2</f>
        <v>396</v>
      </c>
      <c r="AA385" s="3">
        <f>IF(ISERROR(VLOOKUP($A385,'SegEnds_NonXtal_BW#'!$A:$Z,19,FALSE)+VLOOKUP($A385,A:AL,28,FALSE)-50),"-",(VLOOKUP($A385,'SegEnds_NonXtal_BW#'!$A:$Z,19,FALSE)+VLOOKUP($A385,A:AL,28,FALSE)-50))</f>
        <v>400</v>
      </c>
      <c r="AB385" s="3">
        <v>415</v>
      </c>
      <c r="AC385" s="3">
        <f>IF(ISERROR((VLOOKUP($A385,'SegEnds_NonXtal_BW#'!$A:$Z,20,FALSE)+VLOOKUP($A385,A:AL,28,FALSE)-50)),"-",(VLOOKUP($A385,'SegEnds_NonXtal_BW#'!$A:$Z,20,FALSE)+VLOOKUP($A385,A:AL,28,FALSE)-50))</f>
        <v>437</v>
      </c>
      <c r="AD385" s="3">
        <f>IF(ISERROR(VLOOKUP($A385,'SegEnds_NonXtal_BW#'!$A:$Z,21,FALSE)+VLOOKUP($A385,A:AL,31,FALSE)-50),"-",(VLOOKUP($A385,'SegEnds_NonXtal_BW#'!$A:$Z,21,FALSE)+VLOOKUP($A385,A:AL,31,FALSE)-50))</f>
        <v>442</v>
      </c>
      <c r="AE385" s="3">
        <v>472</v>
      </c>
      <c r="AF385" s="3">
        <f>IF(ISERROR((VLOOKUP($A385,'SegEnds_NonXtal_BW#'!$A:$Z,22,FALSE)+VLOOKUP($A385,A:AL,31,FALSE)-50)),"-",(VLOOKUP($A385,'SegEnds_NonXtal_BW#'!$A:$Z,22,FALSE)+VLOOKUP($A385,A:AL,31,FALSE)-50))</f>
        <v>500</v>
      </c>
      <c r="AG385" s="3">
        <f>IF(ISERROR(VLOOKUP($A385,'SegEnds_NonXtal_BW#'!$A:$Z,23,FALSE)+VLOOKUP($A385,A:AL,34,FALSE)-50),"-",(VLOOKUP($A385,'SegEnds_NonXtal_BW#'!$A:$Z,23,FALSE)+VLOOKUP($A385,A:AL,34,FALSE)-50))</f>
        <v>518</v>
      </c>
      <c r="AH385" s="3">
        <v>534</v>
      </c>
      <c r="AI385" s="3">
        <f>IF(ISERROR((VLOOKUP($A385,'SegEnds_NonXtal_BW#'!$A:$Z,24,FALSE)+VLOOKUP($A385,A:AL,34,FALSE)-50)),"-",(VLOOKUP($A385,'SegEnds_NonXtal_BW#'!$A:$Z,24,FALSE)+VLOOKUP($A385,A:AL,34,FALSE)-50))</f>
        <v>541</v>
      </c>
      <c r="AJ385" s="3">
        <f>IF(ISERROR(VLOOKUP($A385,'SegEnds_NonXtal_BW#'!$A:$Z,25,FALSE)+VLOOKUP($A385,A:AL,37,FALSE)-50),"-",(VLOOKUP($A385,'SegEnds_NonXtal_BW#'!$A:$Z,25,FALSE)+VLOOKUP($A385,A:AL,37,FALSE)-50))</f>
        <v>542</v>
      </c>
      <c r="AK385" s="3">
        <v>545</v>
      </c>
      <c r="AL385" s="3">
        <f>IF(ISERROR((VLOOKUP($A385,'SegEnds_NonXtal_BW#'!$A:$Z,26,FALSE)+VLOOKUP($A385,A:AL,37,FALSE)-50)),"-",(VLOOKUP($A385,'SegEnds_NonXtal_BW#'!$A:$Z,26,FALSE)+VLOOKUP($A385,A:AL,37,FALSE)-50))</f>
        <v>557</v>
      </c>
      <c r="AM385" s="28" t="str">
        <f>VLOOKUP(A385,Classification!A:B,2,FALSE)</f>
        <v>F</v>
      </c>
      <c r="AN385" s="28" t="b">
        <f t="shared" ref="AN385" si="232">AND(IF(Y385="-",IF(AA385-W385&gt;3,TRUE,FALSE),TRUE),IF(M385="-",IF(O385-K385&gt;3,TRUE,FALSE),TRUE),IF(AG385-AF385&gt;1,TRUE,FALSE),C385&lt;E385,OR(E385&lt;F385,F385="-"),OR(F385&lt;H385,F385="-"),OR(H385&lt;I385,H385="-"),I385&lt;K385,OR(K385&lt;L385,L385="-"),OR(L385&lt;N385,L385="-"),OR(N385&lt;O385,N385="-"),O385&lt;Q385,OR(Q385&lt;R385,R385="-"),OR(R385&lt;T385,R385="-"),OR(T385&lt;U385,T385="-"),U385&lt;W385,OR(W385&lt;X385,X385="-"),OR(X385&lt;Z385,X385="-"),OR(Z385&lt;AA385,Z385="-"),AA385&lt;AC385,AC385&lt;AD385,AD385&lt;AF385,AF385&lt;AG385,AG385&lt;AI385,OR(AI385&lt;AJ385,AJ385="-"),OR(AJ385&lt;AL385,AJ385="-"))</f>
        <v>1</v>
      </c>
      <c r="AO385" s="3" t="str">
        <f>IF(ISERROR(MATCH(A385,'SegEnds_Xtal_Prot#'!B:B, 0)), "NoXtal", "Xtal")</f>
        <v>Xtal</v>
      </c>
      <c r="AP385" s="3">
        <f t="shared" ref="AP385" si="233">IF(ISERROR(F385-E385),"-",F385-E385)</f>
        <v>1</v>
      </c>
      <c r="AQ385" s="3">
        <f t="shared" ref="AQ385" si="234">IF(ISERROR(I385-H385),"-",I385-H385)</f>
        <v>1</v>
      </c>
      <c r="AR385" s="3" t="str">
        <f t="shared" ref="AR385" si="235">IF(ISERROR(L385-K385),"-",L385-K385)</f>
        <v>-</v>
      </c>
      <c r="AS385" s="3" t="str">
        <f t="shared" ref="AS385" si="236">IF(ISERROR(O385-N385),"-",O385-N385)</f>
        <v>-</v>
      </c>
      <c r="AT385" s="3" t="str">
        <f t="shared" ref="AT385" si="237">IF(ISERROR(R385-Q385),"-",R385-Q385)</f>
        <v>-</v>
      </c>
      <c r="AU385" s="3" t="str">
        <f t="shared" ref="AU385" si="238">IF(ISERROR(U385-T385),"-",U385-T385)</f>
        <v>-</v>
      </c>
      <c r="AV385" s="3">
        <f t="shared" ref="AV385" si="239">IF(ISERROR(X385-W385),"-",X385-W385)</f>
        <v>11</v>
      </c>
      <c r="AW385" s="3">
        <f t="shared" ref="AW385" si="240">IF(ISERROR(AA385-Z385),"-",AA385-Z385)</f>
        <v>4</v>
      </c>
      <c r="AX385" s="3">
        <f t="shared" ref="AX385" si="241">IF(ISERROR(AD385-AC385),"-",AD385-AC385)</f>
        <v>5</v>
      </c>
      <c r="AY385" s="3">
        <f t="shared" ref="AY385" si="242">IF(ISERROR(AG385-AF385),"-",AG385-AF385)</f>
        <v>18</v>
      </c>
      <c r="AZ385" s="3">
        <f t="shared" ref="AZ385" si="243">IF(ISERROR(AJ385-AI385),"-",AJ385-AI385)</f>
        <v>1</v>
      </c>
      <c r="BA385" s="3">
        <f>IF(ISERROR(LEN(VLOOKUP(A385,Seqs!A:E,2,FALSE))-AL385),"-",LEN(VLOOKUP(A385,Seqs!A:E,2,FALSE))-AL385)</f>
        <v>236</v>
      </c>
      <c r="BB385" s="16">
        <f t="shared" ref="BB385" si="244">J385-D385</f>
        <v>27</v>
      </c>
      <c r="BC385" s="9" t="str">
        <f t="shared" ref="BC385" si="245">IF(ISERROR(V385-S385),"-",V385-S385)</f>
        <v>-</v>
      </c>
      <c r="BD385" s="3">
        <f t="shared" ref="BD385" si="246">J385-D385</f>
        <v>27</v>
      </c>
      <c r="BE385" s="3">
        <f t="shared" ref="BE385" si="247">AE385-AB385</f>
        <v>57</v>
      </c>
    </row>
    <row r="386" spans="1:58" s="9" customFormat="1" x14ac:dyDescent="0.2">
      <c r="A386" s="127" t="s">
        <v>1495</v>
      </c>
      <c r="B386" s="9" t="str">
        <f>LOWER(VLOOKUP(A386,Xtal_Templ!A:B,2,FALSE))</f>
        <v>q98sw5_xenla</v>
      </c>
      <c r="C386" s="9">
        <f>VLOOKUP($A386,'SegEnds_NonXtal_BW#'!$A:$Z,3,FALSE)+D386-50</f>
        <v>196</v>
      </c>
      <c r="D386" s="9">
        <v>218</v>
      </c>
      <c r="E386" s="9">
        <f>IF(ISERROR(VLOOKUP($A386,'SegEnds_NonXtal_BW#'!$A:$Z,4,FALSE)+VLOOKUP($A386,A:AL,4,FALSE)-50),"-",(VLOOKUP($A386,'SegEnds_NonXtal_BW#'!$A:$Z,4,FALSE)+VLOOKUP($A386,A:AL,4,FALSE)-50))</f>
        <v>228</v>
      </c>
      <c r="F386" s="9">
        <f>G386-3</f>
        <v>229</v>
      </c>
      <c r="G386" s="9">
        <v>232</v>
      </c>
      <c r="H386" s="9">
        <f>G386+1</f>
        <v>233</v>
      </c>
      <c r="I386" s="9">
        <f>H386+1</f>
        <v>234</v>
      </c>
      <c r="J386" s="9">
        <v>245</v>
      </c>
      <c r="K386" s="9">
        <f>VLOOKUP($A386,'SegEnds_NonXtal_BW#'!$A:$Z,8,FALSE)+VLOOKUP($A386,A:AL,10,FALSE)-50</f>
        <v>256</v>
      </c>
      <c r="L386" s="9" t="str">
        <f>IF(ISERROR(VLOOKUP($A386,'SegEnds_NonXtal_BW#'!$A:$Z,9,FALSE)+VLOOKUP($A386,A:AL,13,FALSE)-50),"-",(VLOOKUP($A386,'SegEnds_NonXtal_BW#'!$A:$Z,9,FALSE)+VLOOKUP($A386,A:AL,13,FALSE)-50))</f>
        <v>-</v>
      </c>
      <c r="M386" s="9" t="s">
        <v>23</v>
      </c>
      <c r="N386" s="9" t="str">
        <f>IF(ISERROR(VLOOKUP($A386,'SegEnds_NonXtal_BW#'!$A:$Z,10,FALSE)+VLOOKUP($A386,A:AL,13,FALSE)-50),"-",(VLOOKUP($A386,'SegEnds_NonXtal_BW#'!$A:$Z,10,FALSE)+VLOOKUP($A386,A:AL,13,FALSE)-50))</f>
        <v>-</v>
      </c>
      <c r="O386" s="9">
        <f>VLOOKUP($A386,'SegEnds_NonXtal_BW#'!$A:$Z,11,FALSE)+VLOOKUP($A386,A:AL,16,FALSE)-50</f>
        <v>285</v>
      </c>
      <c r="P386" s="9">
        <v>312</v>
      </c>
      <c r="Q386" s="9">
        <f>VLOOKUP($A386,'SegEnds_NonXtal_BW#'!$A:$Z,12,FALSE)+VLOOKUP($A386,A:AL,16,FALSE)-50</f>
        <v>321</v>
      </c>
      <c r="R386" s="9" t="str">
        <f>IF(ISERROR(VLOOKUP($A386,'SegEnds_NonXtal_BW#'!$A:$Z,13,FALSE)+VLOOKUP($A386,A:AL,19,FALSE)-50),"-",VLOOKUP($A386,'SegEnds_NonXtal_BW#'!$A:$Z,13,FALSE)+VLOOKUP($A386,A:AL,19,FALSE)-50)</f>
        <v>-</v>
      </c>
      <c r="S386" s="9" t="s">
        <v>23</v>
      </c>
      <c r="T386" s="9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326</v>
      </c>
      <c r="V386" s="9">
        <v>338</v>
      </c>
      <c r="W386" s="9">
        <f>IF(ISERROR(VLOOKUP($A386,'SegEnds_NonXtal_BW#'!$A:$Z,16,FALSE)+VLOOKUP($A386,A:AL,22,FALSE)-50),"-",(VLOOKUP($A386,'SegEnds_NonXtal_BW#'!$A:$Z,16,FALSE)+VLOOKUP($A386,A:AL,22,FALSE)-50))</f>
        <v>351</v>
      </c>
      <c r="X386" s="9">
        <f>IF(ISERROR(VLOOKUP($A386,'SegEnds_NonXtal_BW#'!$A:$Z,17,FALSE)+VLOOKUP($A386,A:AL,25,FALSE)-50),"-",(VLOOKUP($A386,'SegEnds_NonXtal_BW#'!$A:$Z,17,FALSE)+VLOOKUP($A386,A:AL,25,FALSE)-50))</f>
        <v>363</v>
      </c>
      <c r="Y386" s="9">
        <v>363</v>
      </c>
      <c r="Z386" s="9">
        <f>Y386+2</f>
        <v>365</v>
      </c>
      <c r="AA386" s="9">
        <f>IF(ISERROR(VLOOKUP($A386,'SegEnds_NonXtal_BW#'!$A:$Z,19,FALSE)+VLOOKUP($A386,A:AL,28,FALSE)-50),"-",(VLOOKUP($A386,'SegEnds_NonXtal_BW#'!$A:$Z,19,FALSE)+VLOOKUP($A386,A:AL,28,FALSE)-50))</f>
        <v>369</v>
      </c>
      <c r="AB386" s="9">
        <v>384</v>
      </c>
      <c r="AC386" s="9">
        <f>IF(ISERROR((VLOOKUP($A386,'SegEnds_NonXtal_BW#'!$A:$Z,20,FALSE)+VLOOKUP($A386,A:AL,28,FALSE)-50)),"-",(VLOOKUP($A386,'SegEnds_NonXtal_BW#'!$A:$Z,20,FALSE)+VLOOKUP($A386,A:AL,28,FALSE)-50))</f>
        <v>406</v>
      </c>
      <c r="AD386" s="9">
        <f>IF(ISERROR(VLOOKUP($A386,'SegEnds_NonXtal_BW#'!$A:$Z,21,FALSE)+VLOOKUP($A386,A:AL,31,FALSE)-50),"-",(VLOOKUP($A386,'SegEnds_NonXtal_BW#'!$A:$Z,21,FALSE)+VLOOKUP($A386,A:AL,31,FALSE)-50))</f>
        <v>415</v>
      </c>
      <c r="AE386" s="9">
        <v>441</v>
      </c>
      <c r="AF386" s="9">
        <f>IF(ISERROR((VLOOKUP($A386,'SegEnds_NonXtal_BW#'!$A:$Z,22,FALSE)+VLOOKUP($A386,A:AL,31,FALSE)-50)),"-",(VLOOKUP($A386,'SegEnds_NonXtal_BW#'!$A:$Z,22,FALSE)+VLOOKUP($A386,A:AL,31,FALSE)-50))</f>
        <v>472</v>
      </c>
      <c r="AG386" s="9">
        <f>IF(ISERROR(VLOOKUP($A386,'SegEnds_NonXtal_BW#'!$A:$Z,23,FALSE)+VLOOKUP($A386,A:AL,34,FALSE)-50),"-",(VLOOKUP($A386,'SegEnds_NonXtal_BW#'!$A:$Z,23,FALSE)+VLOOKUP($A386,A:AL,34,FALSE)-50))</f>
        <v>487</v>
      </c>
      <c r="AH386" s="9">
        <v>503</v>
      </c>
      <c r="AI386" s="9">
        <f>IF(ISERROR((VLOOKUP($A386,'SegEnds_NonXtal_BW#'!$A:$Z,24,FALSE)+VLOOKUP($A386,A:AL,34,FALSE)-50)),"-",(VLOOKUP($A386,'SegEnds_NonXtal_BW#'!$A:$Z,24,FALSE)+VLOOKUP($A386,A:AL,34,FALSE)-50))</f>
        <v>510</v>
      </c>
      <c r="AJ386" s="9">
        <f>IF(ISERROR(VLOOKUP($A386,'SegEnds_NonXtal_BW#'!$A:$Z,25,FALSE)+VLOOKUP($A386,A:AL,37,FALSE)-50),"-",(VLOOKUP($A386,'SegEnds_NonXtal_BW#'!$A:$Z,25,FALSE)+VLOOKUP($A386,A:AL,37,FALSE)-50))</f>
        <v>511</v>
      </c>
      <c r="AK386" s="9">
        <v>514</v>
      </c>
      <c r="AL386" s="9">
        <f>IF(ISERROR((VLOOKUP($A386,'SegEnds_NonXtal_BW#'!$A:$Z,26,FALSE)+VLOOKUP($A386,A:AL,37,FALSE)-50)),"-",(VLOOKUP($A386,'SegEnds_NonXtal_BW#'!$A:$Z,26,FALSE)+VLOOKUP($A386,A:AL,37,FALSE)-50))</f>
        <v>526</v>
      </c>
      <c r="AM386" s="58" t="str">
        <f>VLOOKUP(A386,Classification!A:B,2,FALSE)</f>
        <v>F</v>
      </c>
      <c r="AN386" s="58" t="b">
        <f>AND(IF(Y386="-",IF(AA386-W386&gt;3,TRUE,FALSE),TRUE),IF(M386="-",IF(O386-K386&gt;3,TRUE,FALSE),TRUE),IF(AG386-AF386&gt;1,TRUE,FALS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9" t="str">
        <f>IF(ISERROR(MATCH(A386,'SegEnds_Xtal_Prot#'!B:B, 0)), "NoXtal", "Xtal")</f>
        <v>Xtal</v>
      </c>
      <c r="AP386" s="9">
        <f>IF(ISERROR(F386-E386),"-",F386-E386)</f>
        <v>1</v>
      </c>
      <c r="AQ386" s="9">
        <f>IF(ISERROR(I386-H386),"-",I386-H386)</f>
        <v>1</v>
      </c>
      <c r="AR386" s="9" t="str">
        <f>IF(ISERROR(L386-K386),"-",L386-K386)</f>
        <v>-</v>
      </c>
      <c r="AS386" s="9" t="str">
        <f>IF(ISERROR(O386-N386),"-",O386-N386)</f>
        <v>-</v>
      </c>
      <c r="AT386" s="9" t="str">
        <f>IF(ISERROR(R386-Q386),"-",R386-Q386)</f>
        <v>-</v>
      </c>
      <c r="AU386" s="9" t="str">
        <f>IF(ISERROR(U386-T386),"-",U386-T386)</f>
        <v>-</v>
      </c>
      <c r="AV386" s="9">
        <f>IF(ISERROR(X386-W386),"-",X386-W386)</f>
        <v>12</v>
      </c>
      <c r="AW386" s="9">
        <f>IF(ISERROR(AA386-Z386),"-",AA386-Z386)</f>
        <v>4</v>
      </c>
      <c r="AX386" s="9">
        <f>IF(ISERROR(AD386-AC386),"-",AD386-AC386)</f>
        <v>9</v>
      </c>
      <c r="AY386" s="9">
        <f>IF(ISERROR(AG386-AF386),"-",AG386-AF386)</f>
        <v>15</v>
      </c>
      <c r="AZ386" s="9">
        <f>IF(ISERROR(AJ386-AI386),"-",AJ386-AI386)</f>
        <v>1</v>
      </c>
      <c r="BA386" s="9">
        <f>IF(ISERROR(LEN(VLOOKUP(A386,Seqs!A:E,2,FALSE))-AL386),"-",LEN(VLOOKUP(A386,Seqs!A:E,2,FALSE))-AL386)</f>
        <v>288</v>
      </c>
      <c r="BB386" s="126">
        <f>J386-D386</f>
        <v>27</v>
      </c>
      <c r="BC386" s="9" t="str">
        <f>IF(ISERROR(V386-S386),"-",V386-S386)</f>
        <v>-</v>
      </c>
      <c r="BD386" s="9">
        <f>J386-D386</f>
        <v>27</v>
      </c>
      <c r="BE386" s="9">
        <f>AE386-AB386</f>
        <v>57</v>
      </c>
    </row>
    <row r="387" spans="1:58" s="3" customFormat="1" x14ac:dyDescent="0.2">
      <c r="A387" s="3" t="s">
        <v>481</v>
      </c>
      <c r="B387" s="3" t="str">
        <f>LOWER(VLOOKUP(A387,Xtal_Templ!A:B,2,FALSE))</f>
        <v>fpr2_human</v>
      </c>
      <c r="C387" s="3">
        <v>20</v>
      </c>
      <c r="D387" s="3">
        <v>53</v>
      </c>
      <c r="E387" s="3">
        <f>IF(ISERROR(VLOOKUP($A387,'SegEnds_NonXtal_BW#'!$A:$Z,4,FALSE)+VLOOKUP($A387,A:AL,4,FALSE)-50),"-",(VLOOKUP($A387,'SegEnds_NonXtal_BW#'!$A:$Z,4,FALSE)+VLOOKUP($A387,A:AL,4,FALSE)-50))</f>
        <v>63</v>
      </c>
      <c r="F387" s="3" t="str">
        <f>IF(ISERROR(VLOOKUP($A387,'SegEnds_NonXtal_BW#'!$A:$Z,5,FALSE)+VLOOKUP($A387,A:AL,7,FALSE)-50),"-",(VLOOKUP($A387,'SegEnds_NonXtal_BW#'!$A:$Z,5,FALSE)+VLOOKUP($A387,A:AL,7,FALSE)-50))</f>
        <v>-</v>
      </c>
      <c r="G387" s="3" t="s">
        <v>23</v>
      </c>
      <c r="H387" s="3" t="str">
        <f>IF(ISERROR(VLOOKUP($A387,'SegEnds_NonXtal_BW#'!$A:$Z,6,FALSE)+VLOOKUP($A387,A:AL,7,FALSE)-50),"-",(VLOOKUP($A387,'SegEnds_NonXtal_BW#'!$A:$Z,6,FALSE)+VLOOKUP($A387,A:AL,7,FALSE)-50))</f>
        <v>-</v>
      </c>
      <c r="I387" s="3">
        <f>VLOOKUP($A387,'SegEnds_NonXtal_BW#'!$A:$Z,7,FALSE)+J387-50</f>
        <v>60</v>
      </c>
      <c r="J387" s="3">
        <v>71</v>
      </c>
      <c r="K387" s="3">
        <f>VLOOKUP($A387,'SegEnds_NonXtal_BW#'!$A:$Z,8,FALSE)+VLOOKUP($A387,A:AL,10,FALSE)-50</f>
        <v>84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125</v>
      </c>
      <c r="P387" s="3">
        <v>152</v>
      </c>
      <c r="Q387" s="3">
        <f>VLOOKUP($A387,'SegEnds_NonXtal_BW#'!$A:$Z,12,FALSE)+VLOOKUP($A387,A:AL,16,FALSE)-50</f>
        <v>158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0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175</v>
      </c>
      <c r="V387" s="3">
        <v>185</v>
      </c>
      <c r="W387" s="3">
        <f>IF(ISERROR(VLOOKUP($A387,'SegEnds_NonXtal_BW#'!$A:$Z,16,FALSE)+VLOOKUP($A387,A:AL,22,FALSE)-50),"-",(VLOOKUP($A387,'SegEnds_NonXtal_BW#'!$A:$Z,16,FALSE)+VLOOKUP($A387,A:AL,22,FALSE)-50))</f>
        <v>199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257</v>
      </c>
      <c r="AB387" s="3">
        <v>268</v>
      </c>
      <c r="AC387" s="3">
        <f>IF(ISERROR((VLOOKUP($A387,'SegEnds_NonXtal_BW#'!$A:$Z,20,FALSE)+VLOOKUP($A387,A:AL,28,FALSE)-50)),"-",(VLOOKUP($A387,'SegEnds_NonXtal_BW#'!$A:$Z,20,FALSE)+VLOOKUP($A387,A:AL,28,FALSE)-50))</f>
        <v>279</v>
      </c>
      <c r="AD387" s="3">
        <f>IF(ISERROR(VLOOKUP($A387,'SegEnds_NonXtal_BW#'!$A:$Z,21,FALSE)+VLOOKUP($A387,A:AL,31,FALSE)-50),"-",(VLOOKUP($A387,'SegEnds_NonXtal_BW#'!$A:$Z,21,FALSE)+VLOOKUP($A387,A:AL,31,FALSE)-50))</f>
        <v>326</v>
      </c>
      <c r="AE387" s="3">
        <v>347</v>
      </c>
      <c r="AF387" s="3">
        <f>IF(ISERROR((VLOOKUP($A387,'SegEnds_NonXtal_BW#'!$A:$Z,22,FALSE)+VLOOKUP($A387,A:AL,31,FALSE)-50)),"-",(VLOOKUP($A387,'SegEnds_NonXtal_BW#'!$A:$Z,22,FALSE)+VLOOKUP($A387,A:AL,31,FALSE)-50))</f>
        <v>350</v>
      </c>
      <c r="AG387" s="3">
        <f>IF(ISERROR(VLOOKUP($A387,'SegEnds_NonXtal_BW#'!$A:$Z,23,FALSE)+VLOOKUP($A387,A:AL,34,FALSE)-50),"-",(VLOOKUP($A387,'SegEnds_NonXtal_BW#'!$A:$Z,23,FALSE)+VLOOKUP($A387,A:AL,34,FALSE)-50))</f>
        <v>365</v>
      </c>
      <c r="AH387" s="3">
        <v>380</v>
      </c>
      <c r="AI387" s="3">
        <f>IF(ISERROR((VLOOKUP($A387,'SegEnds_NonXtal_BW#'!$A:$Z,24,FALSE)+VLOOKUP($A387,A:AL,34,FALSE)-50)),"-",(VLOOKUP($A387,'SegEnds_NonXtal_BW#'!$A:$Z,24,FALSE)+VLOOKUP($A387,A:AL,34,FALSE)-50))</f>
        <v>386</v>
      </c>
      <c r="AJ387" s="3">
        <f>IF(ISERROR(VLOOKUP($A387,'SegEnds_NonXtal_BW#'!$A:$Z,25,FALSE)+VLOOKUP($A387,A:AL,37,FALSE)-50),"-",(VLOOKUP($A387,'SegEnds_NonXtal_BW#'!$A:$Z,25,FALSE)+VLOOKUP($A387,A:AL,37,FALSE)-50))</f>
        <v>387</v>
      </c>
      <c r="AK387" s="3">
        <v>390</v>
      </c>
      <c r="AL387" s="3">
        <f>IF(ISERROR((VLOOKUP($A387,'SegEnds_NonXtal_BW#'!$A:$Z,26,FALSE)+VLOOKUP($A387,A:AL,37,FALSE)-50)),"-",(VLOOKUP($A387,'SegEnds_NonXtal_BW#'!$A:$Z,26,FALSE)+VLOOKUP($A387,A:AL,37,FALSE)-50))</f>
        <v>397</v>
      </c>
      <c r="AM387" s="28" t="str">
        <f>VLOOKUP(A387,Classification!A:B,2,FALSE)</f>
        <v>O</v>
      </c>
      <c r="AN387" s="28" t="b">
        <f t="shared" si="220"/>
        <v>1</v>
      </c>
      <c r="AO387" s="3" t="str">
        <f>IF(ISERROR(MATCH(A387,'SegEnds_Xtal_Prot#'!B:B, 0)), "NoXtal", "Xtal")</f>
        <v>NoXtal</v>
      </c>
      <c r="AP387" s="3" t="str">
        <f t="shared" si="205"/>
        <v>-</v>
      </c>
      <c r="AQ387" s="3" t="str">
        <f t="shared" si="206"/>
        <v>-</v>
      </c>
      <c r="AR387" s="3" t="str">
        <f t="shared" si="207"/>
        <v>-</v>
      </c>
      <c r="AS387" s="3" t="str">
        <f t="shared" si="208"/>
        <v>-</v>
      </c>
      <c r="AT387" s="3" t="str">
        <f t="shared" si="209"/>
        <v>-</v>
      </c>
      <c r="AU387" s="3" t="str">
        <f t="shared" si="210"/>
        <v>-</v>
      </c>
      <c r="AV387" s="3" t="str">
        <f t="shared" si="211"/>
        <v>-</v>
      </c>
      <c r="AW387" s="3" t="str">
        <f t="shared" si="212"/>
        <v>-</v>
      </c>
      <c r="AX387" s="3">
        <f t="shared" si="213"/>
        <v>47</v>
      </c>
      <c r="AY387" s="3">
        <f t="shared" si="214"/>
        <v>15</v>
      </c>
      <c r="AZ387" s="3">
        <f t="shared" si="215"/>
        <v>1</v>
      </c>
      <c r="BA387" s="3">
        <f>IF(ISERROR(LEN(VLOOKUP(A387,Seqs!A:E,2,FALSE))-AL387),"-",LEN(VLOOKUP(A387,Seqs!A:E,2,FALSE))-AL387)</f>
        <v>20</v>
      </c>
      <c r="BB387" s="16">
        <f t="shared" si="216"/>
        <v>18</v>
      </c>
      <c r="BC387" s="9" t="str">
        <f t="shared" si="217"/>
        <v>-</v>
      </c>
      <c r="BD387" s="3">
        <f t="shared" si="218"/>
        <v>18</v>
      </c>
      <c r="BE387" s="3">
        <f t="shared" si="219"/>
        <v>79</v>
      </c>
      <c r="BF387" s="3">
        <f>AH387-AE387</f>
        <v>33</v>
      </c>
    </row>
    <row r="388" spans="1:58" s="3" customFormat="1" x14ac:dyDescent="0.2">
      <c r="A388" s="3" t="s">
        <v>482</v>
      </c>
      <c r="B388" s="3" t="str">
        <f>LOWER(VLOOKUP(A388,Xtal_Templ!A:B,2,FALSE))</f>
        <v>ste2_yeast</v>
      </c>
      <c r="C388" s="3">
        <v>202</v>
      </c>
      <c r="D388" s="3">
        <v>231</v>
      </c>
      <c r="E388" s="3">
        <f>IF(ISERROR(VLOOKUP($A388,'SegEnds_NonXtal_BW#'!$A:$Z,4,FALSE)+VLOOKUP($A388,A:AL,4,FALSE)-50),"-",(VLOOKUP($A388,'SegEnds_NonXtal_BW#'!$A:$Z,4,FALSE)+VLOOKUP($A388,A:AL,4,FALSE)-50))</f>
        <v>241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269</v>
      </c>
      <c r="J388" s="3">
        <v>280</v>
      </c>
      <c r="K388" s="3">
        <f>VLOOKUP($A388,'SegEnds_NonXtal_BW#'!$A:$Z,8,FALSE)+VLOOKUP($A388,A:AL,10,FALSE)-50</f>
        <v>293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327</v>
      </c>
      <c r="P388" s="3">
        <v>354</v>
      </c>
      <c r="Q388" s="3">
        <f>VLOOKUP($A388,'SegEnds_NonXtal_BW#'!$A:$Z,12,FALSE)+VLOOKUP($A388,A:AL,16,FALSE)-50</f>
        <v>360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381</v>
      </c>
      <c r="V388" s="3">
        <v>391</v>
      </c>
      <c r="W388" s="3">
        <f>IF(ISERROR(VLOOKUP($A388,'SegEnds_NonXtal_BW#'!$A:$Z,16,FALSE)+VLOOKUP($A388,A:AL,22,FALSE)-50),"-",(VLOOKUP($A388,'SegEnds_NonXtal_BW#'!$A:$Z,16,FALSE)+VLOOKUP($A388,A:AL,22,FALSE)-50))</f>
        <v>405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461</v>
      </c>
      <c r="AB388" s="3">
        <v>472</v>
      </c>
      <c r="AC388" s="3">
        <f>IF(ISERROR((VLOOKUP($A388,'SegEnds_NonXtal_BW#'!$A:$Z,20,FALSE)+VLOOKUP($A388,A:AL,28,FALSE)-50)),"-",(VLOOKUP($A388,'SegEnds_NonXtal_BW#'!$A:$Z,20,FALSE)+VLOOKUP($A388,A:AL,28,FALSE)-50))</f>
        <v>483</v>
      </c>
      <c r="AD388" s="3">
        <f>IF(ISERROR(VLOOKUP($A388,'SegEnds_NonXtal_BW#'!$A:$Z,21,FALSE)+VLOOKUP($A388,A:AL,31,FALSE)-50),"-",(VLOOKUP($A388,'SegEnds_NonXtal_BW#'!$A:$Z,21,FALSE)+VLOOKUP($A388,A:AL,31,FALSE)-50))</f>
        <v>488</v>
      </c>
      <c r="AE388" s="3">
        <v>509</v>
      </c>
      <c r="AF388" s="3">
        <f>IF(ISERROR((VLOOKUP($A388,'SegEnds_NonXtal_BW#'!$A:$Z,22,FALSE)+VLOOKUP($A388,A:AL,31,FALSE)-50)),"-",(VLOOKUP($A388,'SegEnds_NonXtal_BW#'!$A:$Z,22,FALSE)+VLOOKUP($A388,A:AL,31,FALSE)-50))</f>
        <v>512</v>
      </c>
      <c r="AG388" s="3">
        <f>IF(ISERROR(VLOOKUP($A388,'SegEnds_NonXtal_BW#'!$A:$Z,23,FALSE)+VLOOKUP($A388,A:AL,34,FALSE)-50),"-",(VLOOKUP($A388,'SegEnds_NonXtal_BW#'!$A:$Z,23,FALSE)+VLOOKUP($A388,A:AL,34,FALSE)-50))</f>
        <v>538</v>
      </c>
      <c r="AH388" s="3">
        <v>553</v>
      </c>
      <c r="AI388" s="3">
        <f>IF(ISERROR((VLOOKUP($A388,'SegEnds_NonXtal_BW#'!$A:$Z,24,FALSE)+VLOOKUP($A388,A:AL,34,FALSE)-50)),"-",(VLOOKUP($A388,'SegEnds_NonXtal_BW#'!$A:$Z,24,FALSE)+VLOOKUP($A388,A:AL,34,FALSE)-50))</f>
        <v>559</v>
      </c>
      <c r="AJ388" s="3">
        <f>IF(ISERROR(VLOOKUP($A388,'SegEnds_NonXtal_BW#'!$A:$Z,25,FALSE)+VLOOKUP($A388,A:AL,37,FALSE)-50),"-",(VLOOKUP($A388,'SegEnds_NonXtal_BW#'!$A:$Z,25,FALSE)+VLOOKUP($A388,A:AL,37,FALSE)-50))</f>
        <v>561</v>
      </c>
      <c r="AK388" s="3">
        <v>564</v>
      </c>
      <c r="AL388" s="3">
        <f>IF(ISERROR((VLOOKUP($A388,'SegEnds_NonXtal_BW#'!$A:$Z,26,FALSE)+VLOOKUP($A388,A:AL,37,FALSE)-50)),"-",(VLOOKUP($A388,'SegEnds_NonXtal_BW#'!$A:$Z,26,FALSE)+VLOOKUP($A388,A:AL,37,FALSE)-50))</f>
        <v>571</v>
      </c>
      <c r="AM388" s="28" t="str">
        <f>VLOOKUP(A388,Classification!A:B,2,FALSE)</f>
        <v>O</v>
      </c>
      <c r="AN388" s="28" t="b">
        <f t="shared" si="220"/>
        <v>1</v>
      </c>
      <c r="AO388" s="3" t="str">
        <f>IF(ISERROR(MATCH(A388,'SegEnds_Xtal_Prot#'!B:B, 0)), "NoXtal", "Xtal")</f>
        <v>NoXtal</v>
      </c>
      <c r="AP388" s="3" t="str">
        <f t="shared" si="205"/>
        <v>-</v>
      </c>
      <c r="AQ388" s="3" t="str">
        <f t="shared" si="206"/>
        <v>-</v>
      </c>
      <c r="AR388" s="3" t="str">
        <f t="shared" si="207"/>
        <v>-</v>
      </c>
      <c r="AS388" s="3" t="str">
        <f t="shared" si="208"/>
        <v>-</v>
      </c>
      <c r="AT388" s="3" t="str">
        <f t="shared" si="209"/>
        <v>-</v>
      </c>
      <c r="AU388" s="3" t="str">
        <f t="shared" si="210"/>
        <v>-</v>
      </c>
      <c r="AV388" s="3" t="str">
        <f t="shared" si="211"/>
        <v>-</v>
      </c>
      <c r="AW388" s="3" t="str">
        <f t="shared" si="212"/>
        <v>-</v>
      </c>
      <c r="AX388" s="3">
        <f t="shared" si="213"/>
        <v>5</v>
      </c>
      <c r="AY388" s="3">
        <f t="shared" si="214"/>
        <v>26</v>
      </c>
      <c r="AZ388" s="3">
        <f t="shared" si="215"/>
        <v>2</v>
      </c>
      <c r="BA388" s="3">
        <f>IF(ISERROR(LEN(VLOOKUP(A388,Seqs!A:E,2,FALSE))-AL388),"-",LEN(VLOOKUP(A388,Seqs!A:E,2,FALSE))-AL388)</f>
        <v>29</v>
      </c>
      <c r="BB388" s="16">
        <f t="shared" si="216"/>
        <v>49</v>
      </c>
      <c r="BC388" s="9" t="str">
        <f t="shared" si="217"/>
        <v>-</v>
      </c>
      <c r="BD388" s="3">
        <f t="shared" si="218"/>
        <v>49</v>
      </c>
      <c r="BE388" s="3">
        <f t="shared" si="219"/>
        <v>37</v>
      </c>
      <c r="BF388" s="3">
        <f>AH388-AE388</f>
        <v>44</v>
      </c>
    </row>
    <row r="389" spans="1:58" s="3" customFormat="1" x14ac:dyDescent="0.2">
      <c r="A389" s="3" t="s">
        <v>485</v>
      </c>
      <c r="B389" s="3" t="str">
        <f>LOWER(VLOOKUP(A389,Xtal_Templ!A:B,2,FALSE))</f>
        <v>aa2ar_human</v>
      </c>
      <c r="C389" s="3">
        <v>12</v>
      </c>
      <c r="D389" s="3">
        <v>42</v>
      </c>
      <c r="E389" s="3">
        <f>IF(ISERROR(VLOOKUP($A389,'SegEnds_NonXtal_BW#'!$A:$Z,4,FALSE)+VLOOKUP($A389,A:AL,4,FALSE)-50),"-",(VLOOKUP($A389,'SegEnds_NonXtal_BW#'!$A:$Z,4,FALSE)+VLOOKUP($A389,A:AL,4,FALSE)-50))</f>
        <v>52</v>
      </c>
      <c r="F389" s="3" t="str">
        <f>IF(ISERROR(VLOOKUP($A389,'SegEnds_NonXtal_BW#'!$A:$Z,5,FALSE)+VLOOKUP($A389,A:AL,7,FALSE)-50),"-",(VLOOKUP($A389,'SegEnds_NonXtal_BW#'!$A:$Z,5,FALSE)+VLOOKUP($A389,A:AL,7,FALSE)-50))</f>
        <v>-</v>
      </c>
      <c r="G389" s="3" t="s">
        <v>23</v>
      </c>
      <c r="H389" s="3" t="str">
        <f>IF(ISERROR(VLOOKUP($A389,'SegEnds_NonXtal_BW#'!$A:$Z,6,FALSE)+VLOOKUP($A389,A:AL,7,FALSE)-50),"-",(VLOOKUP($A389,'SegEnds_NonXtal_BW#'!$A:$Z,6,FALSE)+VLOOKUP($A389,A:AL,7,FALSE)-50))</f>
        <v>-</v>
      </c>
      <c r="I389" s="3">
        <f>VLOOKUP($A389,'SegEnds_NonXtal_BW#'!$A:$Z,7,FALSE)+J389-50</f>
        <v>67</v>
      </c>
      <c r="J389" s="3">
        <v>78</v>
      </c>
      <c r="K389" s="3">
        <f>VLOOKUP($A389,'SegEnds_NonXtal_BW#'!$A:$Z,8,FALSE)+VLOOKUP($A389,A:AL,10,FALSE)-50</f>
        <v>91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114</v>
      </c>
      <c r="P389" s="3">
        <v>141</v>
      </c>
      <c r="Q389" s="3">
        <f>VLOOKUP($A389,'SegEnds_NonXtal_BW#'!$A:$Z,12,FALSE)+VLOOKUP($A389,A:AL,16,FALSE)-50</f>
        <v>147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0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152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176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190</v>
      </c>
      <c r="AB389" s="3">
        <v>201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238</v>
      </c>
      <c r="AE389" s="3">
        <v>259</v>
      </c>
      <c r="AF389" s="3">
        <f>IF(ISERROR((VLOOKUP($A389,'SegEnds_NonXtal_BW#'!$A:$Z,22,FALSE)+VLOOKUP($A389,A:AL,31,FALSE)-50)),"-",(VLOOKUP($A389,'SegEnds_NonXtal_BW#'!$A:$Z,22,FALSE)+VLOOKUP($A389,A:AL,31,FALSE)-50))</f>
        <v>262</v>
      </c>
      <c r="AG389" s="3">
        <f>IF(ISERROR(VLOOKUP($A389,'SegEnds_NonXtal_BW#'!$A:$Z,23,FALSE)+VLOOKUP($A389,A:AL,34,FALSE)-50),"-",(VLOOKUP($A389,'SegEnds_NonXtal_BW#'!$A:$Z,23,FALSE)+VLOOKUP($A389,A:AL,34,FALSE)-50))</f>
        <v>293</v>
      </c>
      <c r="AH389" s="3">
        <v>308</v>
      </c>
      <c r="AI389" s="3">
        <f>IF(ISERROR((VLOOKUP($A389,'SegEnds_NonXtal_BW#'!$A:$Z,24,FALSE)+VLOOKUP($A389,A:AL,34,FALSE)-50)),"-",(VLOOKUP($A389,'SegEnds_NonXtal_BW#'!$A:$Z,24,FALSE)+VLOOKUP($A389,A:AL,34,FALSE)-50))</f>
        <v>314</v>
      </c>
      <c r="AJ389" s="3">
        <f>IF(ISERROR(VLOOKUP($A389,'SegEnds_NonXtal_BW#'!$A:$Z,25,FALSE)+VLOOKUP($A389,A:AL,37,FALSE)-50),"-",(VLOOKUP($A389,'SegEnds_NonXtal_BW#'!$A:$Z,25,FALSE)+VLOOKUP($A389,A:AL,37,FALSE)-50))</f>
        <v>315</v>
      </c>
      <c r="AK389" s="3">
        <v>318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O</v>
      </c>
      <c r="AN389" s="28" t="b">
        <f t="shared" si="220"/>
        <v>1</v>
      </c>
      <c r="AO389" s="3" t="str">
        <f>IF(ISERROR(MATCH(A389,'SegEnds_Xtal_Prot#'!B:B, 0)), "NoXtal", "Xtal")</f>
        <v>NoXtal</v>
      </c>
      <c r="AP389" s="3" t="str">
        <f t="shared" si="205"/>
        <v>-</v>
      </c>
      <c r="AQ389" s="3" t="str">
        <f t="shared" si="206"/>
        <v>-</v>
      </c>
      <c r="AR389" s="3" t="str">
        <f t="shared" si="207"/>
        <v>-</v>
      </c>
      <c r="AS389" s="3" t="str">
        <f t="shared" si="208"/>
        <v>-</v>
      </c>
      <c r="AT389" s="3" t="str">
        <f t="shared" si="209"/>
        <v>-</v>
      </c>
      <c r="AU389" s="3" t="str">
        <f t="shared" si="210"/>
        <v>-</v>
      </c>
      <c r="AV389" s="3" t="str">
        <f t="shared" si="211"/>
        <v>-</v>
      </c>
      <c r="AW389" s="3" t="str">
        <f t="shared" si="212"/>
        <v>-</v>
      </c>
      <c r="AX389" s="3">
        <f t="shared" si="213"/>
        <v>26</v>
      </c>
      <c r="AY389" s="3">
        <f t="shared" si="214"/>
        <v>31</v>
      </c>
      <c r="AZ389" s="3">
        <f t="shared" si="215"/>
        <v>1</v>
      </c>
      <c r="BA389" s="3">
        <f>IF(ISERROR(LEN(VLOOKUP(A389,Seqs!A:E,2,FALSE))-AL389),"-",LEN(VLOOKUP(A389,Seqs!A:E,2,FALSE))-AL389)</f>
        <v>79</v>
      </c>
      <c r="BB389" s="16">
        <f t="shared" si="216"/>
        <v>36</v>
      </c>
      <c r="BC389" s="9" t="str">
        <f t="shared" si="217"/>
        <v>-</v>
      </c>
      <c r="BD389" s="3">
        <f t="shared" si="218"/>
        <v>36</v>
      </c>
      <c r="BE389" s="3">
        <f t="shared" si="219"/>
        <v>58</v>
      </c>
    </row>
    <row r="390" spans="1:58" s="3" customFormat="1" x14ac:dyDescent="0.2">
      <c r="A390" s="3" t="s">
        <v>486</v>
      </c>
      <c r="B390" s="3" t="str">
        <f>LOWER(VLOOKUP(A390,Xtal_Templ!A:B,2,FALSE))</f>
        <v>5ht2c_human</v>
      </c>
      <c r="C390" s="3">
        <f>VLOOKUP($A390,'SegEnds_NonXtal_BW#'!$A:$Z,3,FALSE)+D390-50</f>
        <v>12</v>
      </c>
      <c r="D390" s="3">
        <v>29</v>
      </c>
      <c r="E390" s="3">
        <f>IF(ISERROR(VLOOKUP($A390,'SegEnds_NonXtal_BW#'!$A:$Z,4,FALSE)+VLOOKUP($A390,A:AL,4,FALSE)-50),"-",(VLOOKUP($A390,'SegEnds_NonXtal_BW#'!$A:$Z,4,FALSE)+VLOOKUP($A390,A:AL,4,FALSE)-50))</f>
        <v>39</v>
      </c>
      <c r="F390" s="3" t="str">
        <f>IF(ISERROR(VLOOKUP($A390,'SegEnds_NonXtal_BW#'!$A:$Z,5,FALSE)+VLOOKUP($A390,A:AL,7,FALSE)-50),"-",(VLOOKUP($A390,'SegEnds_NonXtal_BW#'!$A:$Z,5,FALSE)+VLOOKUP($A390,A:AL,7,FALSE)-50))</f>
        <v>-</v>
      </c>
      <c r="G390" s="3" t="s">
        <v>23</v>
      </c>
      <c r="H390" s="3" t="str">
        <f>IF(ISERROR(VLOOKUP($A390,'SegEnds_NonXtal_BW#'!$A:$Z,6,FALSE)+VLOOKUP($A390,A:AL,7,FALSE)-50),"-",(VLOOKUP($A390,'SegEnds_NonXtal_BW#'!$A:$Z,6,FALSE)+VLOOKUP($A390,A:AL,7,FALSE)-50))</f>
        <v>-</v>
      </c>
      <c r="I390" s="3">
        <f>VLOOKUP($A390,'SegEnds_NonXtal_BW#'!$A:$Z,7,FALSE)+J390-50</f>
        <v>46</v>
      </c>
      <c r="J390" s="3">
        <v>57</v>
      </c>
      <c r="K390" s="3">
        <f>VLOOKUP($A390,'SegEnds_NonXtal_BW#'!$A:$Z,8,FALSE)+VLOOKUP($A390,A:AL,10,FALSE)-50</f>
        <v>70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104</v>
      </c>
      <c r="Q390" s="3">
        <f>VLOOKUP($A390,'SegEnds_NonXtal_BW#'!$A:$Z,12,FALSE)+VLOOKUP($A390,A:AL,16,FALSE)-50</f>
        <v>110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0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125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149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153</v>
      </c>
      <c r="AB390" s="3">
        <v>164</v>
      </c>
      <c r="AC390" s="3">
        <f>IF(ISERROR((VLOOKUP($A390,'SegEnds_NonXtal_BW#'!$A:$Z,20,FALSE)+VLOOKUP($A390,A:AL,28,FALSE)-50)),"-",(VLOOKUP($A390,'SegEnds_NonXtal_BW#'!$A:$Z,20,FALSE)+VLOOKUP($A390,A:AL,28,FALSE)-50))</f>
        <v>175</v>
      </c>
      <c r="AD390" s="3">
        <f>IF(ISERROR(VLOOKUP($A390,'SegEnds_NonXtal_BW#'!$A:$Z,21,FALSE)+VLOOKUP($A390,A:AL,31,FALSE)-50),"-",(VLOOKUP($A390,'SegEnds_NonXtal_BW#'!$A:$Z,21,FALSE)+VLOOKUP($A390,A:AL,31,FALSE)-50))</f>
        <v>210</v>
      </c>
      <c r="AE390" s="3">
        <v>231</v>
      </c>
      <c r="AF390" s="3">
        <f>IF(ISERROR((VLOOKUP($A390,'SegEnds_NonXtal_BW#'!$A:$Z,22,FALSE)+VLOOKUP($A390,A:AL,31,FALSE)-50)),"-",(VLOOKUP($A390,'SegEnds_NonXtal_BW#'!$A:$Z,22,FALSE)+VLOOKUP($A390,A:AL,31,FALSE)-50))</f>
        <v>234</v>
      </c>
      <c r="AG390" s="3">
        <f>IF(ISERROR(VLOOKUP($A390,'SegEnds_NonXtal_BW#'!$A:$Z,23,FALSE)+VLOOKUP($A390,A:AL,34,FALSE)-50),"-",(VLOOKUP($A390,'SegEnds_NonXtal_BW#'!$A:$Z,23,FALSE)+VLOOKUP($A390,A:AL,34,FALSE)-50))</f>
        <v>261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v>286</v>
      </c>
      <c r="AK390" s="3">
        <v>294</v>
      </c>
      <c r="AL390" s="3">
        <f>IF(ISERROR((VLOOKUP($A390,'SegEnds_NonXtal_BW#'!$A:$Z,26,FALSE)+VLOOKUP($A390,A:AL,37,FALSE)-50)),"-",(VLOOKUP($A390,'SegEnds_NonXtal_BW#'!$A:$Z,26,FALSE)+VLOOKUP($A390,A:AL,37,FALSE)-50))</f>
        <v>301</v>
      </c>
      <c r="AM390" s="28" t="str">
        <f>VLOOKUP(A390,Classification!A:B,2,FALSE)</f>
        <v>O</v>
      </c>
      <c r="AN390" s="28" t="b">
        <f t="shared" si="220"/>
        <v>1</v>
      </c>
      <c r="AO390" s="3" t="str">
        <f>IF(ISERROR(MATCH(A390,'SegEnds_Xtal_Prot#'!B:B, 0)), "NoXtal", "Xtal")</f>
        <v>NoXtal</v>
      </c>
      <c r="AP390" s="3" t="str">
        <f t="shared" si="205"/>
        <v>-</v>
      </c>
      <c r="AQ390" s="3" t="str">
        <f t="shared" si="206"/>
        <v>-</v>
      </c>
      <c r="AR390" s="3" t="str">
        <f t="shared" si="207"/>
        <v>-</v>
      </c>
      <c r="AS390" s="3" t="str">
        <f t="shared" si="208"/>
        <v>-</v>
      </c>
      <c r="AT390" s="3" t="str">
        <f t="shared" si="209"/>
        <v>-</v>
      </c>
      <c r="AU390" s="3" t="str">
        <f t="shared" si="210"/>
        <v>-</v>
      </c>
      <c r="AV390" s="3" t="str">
        <f t="shared" si="211"/>
        <v>-</v>
      </c>
      <c r="AW390" s="3" t="str">
        <f t="shared" si="212"/>
        <v>-</v>
      </c>
      <c r="AX390" s="3">
        <f t="shared" si="213"/>
        <v>35</v>
      </c>
      <c r="AY390" s="3">
        <f t="shared" si="214"/>
        <v>27</v>
      </c>
      <c r="AZ390" s="3">
        <f t="shared" si="215"/>
        <v>4</v>
      </c>
      <c r="BA390" s="3">
        <f>IF(ISERROR(LEN(VLOOKUP(A390,Seqs!A:E,2,FALSE))-AL390),"-",LEN(VLOOKUP(A390,Seqs!A:E,2,FALSE))-AL390)</f>
        <v>34</v>
      </c>
      <c r="BB390" s="16">
        <f t="shared" si="216"/>
        <v>28</v>
      </c>
      <c r="BC390" s="9" t="str">
        <f t="shared" si="217"/>
        <v>-</v>
      </c>
      <c r="BD390" s="3">
        <f t="shared" si="218"/>
        <v>28</v>
      </c>
      <c r="BE390" s="3">
        <f t="shared" si="219"/>
        <v>67</v>
      </c>
    </row>
    <row r="391" spans="1:58" s="3" customFormat="1" x14ac:dyDescent="0.2">
      <c r="A391" s="3" t="s">
        <v>484</v>
      </c>
      <c r="B391" s="3" t="str">
        <f>LOWER(VLOOKUP(A391,Xtal_Templ!A:B,2,FALSE))</f>
        <v>pe2r4_human</v>
      </c>
      <c r="C391" s="3">
        <v>27</v>
      </c>
      <c r="D391" s="3">
        <v>64</v>
      </c>
      <c r="E391" s="3">
        <f>IF(ISERROR(VLOOKUP($A391,'SegEnds_NonXtal_BW#'!$A:$Z,4,FALSE)+VLOOKUP($A391,A:AL,4,FALSE)-50),"-",(VLOOKUP($A391,'SegEnds_NonXtal_BW#'!$A:$Z,4,FALSE)+VLOOKUP($A391,A:AL,4,FALSE)-50))</f>
        <v>74</v>
      </c>
      <c r="F391" s="3" t="str">
        <f>IF(ISERROR(VLOOKUP($A391,'SegEnds_NonXtal_BW#'!$A:$Z,5,FALSE)+VLOOKUP($A391,A:AL,7,FALSE)-50),"-",(VLOOKUP($A391,'SegEnds_NonXtal_BW#'!$A:$Z,5,FALSE)+VLOOKUP($A391,A:AL,7,FALSE)-50))</f>
        <v>-</v>
      </c>
      <c r="G391" s="3" t="s">
        <v>23</v>
      </c>
      <c r="H391" s="3" t="str">
        <f>IF(ISERROR(VLOOKUP($A391,'SegEnds_NonXtal_BW#'!$A:$Z,6,FALSE)+VLOOKUP($A391,A:AL,7,FALSE)-50),"-",(VLOOKUP($A391,'SegEnds_NonXtal_BW#'!$A:$Z,6,FALSE)+VLOOKUP($A391,A:AL,7,FALSE)-50))</f>
        <v>-</v>
      </c>
      <c r="I391" s="3">
        <f>VLOOKUP($A391,'SegEnds_NonXtal_BW#'!$A:$Z,7,FALSE)+J391-50</f>
        <v>85</v>
      </c>
      <c r="J391" s="3">
        <v>96</v>
      </c>
      <c r="K391" s="3">
        <f>VLOOKUP($A391,'SegEnds_NonXtal_BW#'!$A:$Z,8,FALSE)+VLOOKUP($A391,A:AL,10,FALSE)-50</f>
        <v>109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114</v>
      </c>
      <c r="P391" s="3">
        <v>141</v>
      </c>
      <c r="Q391" s="3">
        <f>VLOOKUP($A391,'SegEnds_NonXtal_BW#'!$A:$Z,12,FALSE)+VLOOKUP($A391,A:AL,16,FALSE)-50</f>
        <v>147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0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162</v>
      </c>
      <c r="V391" s="3">
        <v>172</v>
      </c>
      <c r="W391" s="3">
        <f>IF(ISERROR(VLOOKUP($A391,'SegEnds_NonXtal_BW#'!$A:$Z,16,FALSE)+VLOOKUP($A391,A:AL,22,FALSE)-50),"-",(VLOOKUP($A391,'SegEnds_NonXtal_BW#'!$A:$Z,16,FALSE)+VLOOKUP($A391,A:AL,22,FALSE)-50))</f>
        <v>183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187</v>
      </c>
      <c r="AB391" s="3">
        <v>197</v>
      </c>
      <c r="AC391" s="3">
        <f>IF(ISERROR((VLOOKUP($A391,'SegEnds_NonXtal_BW#'!$A:$Z,20,FALSE)+VLOOKUP($A391,A:AL,28,FALSE)-50)),"-",(VLOOKUP($A391,'SegEnds_NonXtal_BW#'!$A:$Z,20,FALSE)+VLOOKUP($A391,A:AL,28,FALSE)-50))</f>
        <v>208</v>
      </c>
      <c r="AD391" s="3">
        <f>IF(ISERROR(VLOOKUP($A391,'SegEnds_NonXtal_BW#'!$A:$Z,21,FALSE)+VLOOKUP($A391,A:AL,31,FALSE)-50),"-",(VLOOKUP($A391,'SegEnds_NonXtal_BW#'!$A:$Z,21,FALSE)+VLOOKUP($A391,A:AL,31,FALSE)-50))</f>
        <v>252</v>
      </c>
      <c r="AE391" s="3">
        <v>273</v>
      </c>
      <c r="AF391" s="3">
        <f>IF(ISERROR((VLOOKUP($A391,'SegEnds_NonXtal_BW#'!$A:$Z,22,FALSE)+VLOOKUP($A391,A:AL,31,FALSE)-50)),"-",(VLOOKUP($A391,'SegEnds_NonXtal_BW#'!$A:$Z,22,FALSE)+VLOOKUP($A391,A:AL,31,FALSE)-50))</f>
        <v>276</v>
      </c>
      <c r="AG391" s="3">
        <f>IF(ISERROR(VLOOKUP($A391,'SegEnds_NonXtal_BW#'!$A:$Z,23,FALSE)+VLOOKUP($A391,A:AL,34,FALSE)-50),"-",(VLOOKUP($A391,'SegEnds_NonXtal_BW#'!$A:$Z,23,FALSE)+VLOOKUP($A391,A:AL,34,FALSE)-50))</f>
        <v>294</v>
      </c>
      <c r="AH391" s="3">
        <v>309</v>
      </c>
      <c r="AI391" s="3">
        <f>IF(ISERROR((VLOOKUP($A391,'SegEnds_NonXtal_BW#'!$A:$Z,24,FALSE)+VLOOKUP($A391,A:AL,34,FALSE)-50)),"-",(VLOOKUP($A391,'SegEnds_NonXtal_BW#'!$A:$Z,24,FALSE)+VLOOKUP($A391,A:AL,34,FALSE)-50))</f>
        <v>315</v>
      </c>
      <c r="AJ391" s="105">
        <v>320</v>
      </c>
      <c r="AK391" s="3">
        <v>333</v>
      </c>
      <c r="AL391" s="3">
        <f>IF(ISERROR((VLOOKUP($A391,'SegEnds_NonXtal_BW#'!$A:$Z,26,FALSE)+VLOOKUP($A391,A:AL,37,FALSE)-50)),"-",(VLOOKUP($A391,'SegEnds_NonXtal_BW#'!$A:$Z,26,FALSE)+VLOOKUP($A391,A:AL,37,FALSE)-50))</f>
        <v>340</v>
      </c>
      <c r="AM391" s="28" t="str">
        <f>VLOOKUP(A391,Classification!A:B,2,FALSE)</f>
        <v>O</v>
      </c>
      <c r="AN391" s="28" t="b">
        <f t="shared" si="220"/>
        <v>1</v>
      </c>
      <c r="AO391" s="3" t="str">
        <f>IF(ISERROR(MATCH(A391,'SegEnds_Xtal_Prot#'!B:B, 0)), "NoXtal", "Xtal")</f>
        <v>NoXtal</v>
      </c>
      <c r="AP391" s="3" t="str">
        <f t="shared" si="205"/>
        <v>-</v>
      </c>
      <c r="AQ391" s="3" t="str">
        <f t="shared" si="206"/>
        <v>-</v>
      </c>
      <c r="AR391" s="3" t="str">
        <f t="shared" si="207"/>
        <v>-</v>
      </c>
      <c r="AS391" s="3" t="str">
        <f t="shared" si="208"/>
        <v>-</v>
      </c>
      <c r="AT391" s="3" t="str">
        <f t="shared" si="209"/>
        <v>-</v>
      </c>
      <c r="AU391" s="3" t="str">
        <f t="shared" si="210"/>
        <v>-</v>
      </c>
      <c r="AV391" s="3" t="str">
        <f t="shared" si="211"/>
        <v>-</v>
      </c>
      <c r="AW391" s="3" t="str">
        <f t="shared" si="212"/>
        <v>-</v>
      </c>
      <c r="AX391" s="3">
        <f t="shared" si="213"/>
        <v>44</v>
      </c>
      <c r="AY391" s="3">
        <f t="shared" si="214"/>
        <v>18</v>
      </c>
      <c r="AZ391" s="3">
        <f t="shared" si="215"/>
        <v>5</v>
      </c>
      <c r="BA391" s="3">
        <f>IF(ISERROR(LEN(VLOOKUP(A391,Seqs!A:E,2,FALSE))-AL391),"-",LEN(VLOOKUP(A391,Seqs!A:E,2,FALSE))-AL391)</f>
        <v>33</v>
      </c>
      <c r="BB391" s="16">
        <f t="shared" si="216"/>
        <v>32</v>
      </c>
      <c r="BC391" s="9" t="str">
        <f t="shared" si="217"/>
        <v>-</v>
      </c>
      <c r="BD391" s="3">
        <f t="shared" si="218"/>
        <v>32</v>
      </c>
      <c r="BE391" s="3">
        <f t="shared" si="219"/>
        <v>76</v>
      </c>
    </row>
    <row r="392" spans="1:58" s="3" customFormat="1" x14ac:dyDescent="0.2">
      <c r="A392" s="3" t="s">
        <v>456</v>
      </c>
      <c r="B392" s="3" t="str">
        <f>LOWER(VLOOKUP(A392,Xtal_Templ!A:B,2,FALSE))</f>
        <v>drd2_human</v>
      </c>
      <c r="C392" s="3">
        <f>VLOOKUP($A392,'SegEnds_NonXtal_BW#'!$A:$Z,3,FALSE)+D392-50</f>
        <v>6</v>
      </c>
      <c r="D392" s="3">
        <v>24</v>
      </c>
      <c r="E392" s="3">
        <f t="shared" ref="E392:E416" si="248">F392-1</f>
        <v>36</v>
      </c>
      <c r="F392" s="3">
        <f t="shared" ref="F392:F416" si="249">G392-2</f>
        <v>37</v>
      </c>
      <c r="G392" s="3">
        <v>39</v>
      </c>
      <c r="H392" s="3">
        <f t="shared" ref="H392:I416" si="250">G392+1</f>
        <v>40</v>
      </c>
      <c r="I392" s="3">
        <f t="shared" si="250"/>
        <v>41</v>
      </c>
      <c r="J392" s="3">
        <v>54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ref="R392:R416" si="251">S392</f>
        <v>115</v>
      </c>
      <c r="S392" s="3">
        <v>115</v>
      </c>
      <c r="T392" s="100">
        <f t="shared" ref="T392:T416" si="252">S392+7</f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147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167</v>
      </c>
      <c r="AB392" s="3">
        <v>185</v>
      </c>
      <c r="AC392" s="3">
        <f>IF(ISERROR((VLOOKUP($A392,'SegEnds_NonXtal_BW#'!$A:$Z,20,FALSE)+VLOOKUP($A392,A:AL,28,FALSE)-50)),"-",(VLOOKUP($A392,'SegEnds_NonXtal_BW#'!$A:$Z,20,FALSE)+VLOOKUP($A392,A:AL,28,FALSE)-50))</f>
        <v>207</v>
      </c>
      <c r="AD392" s="3">
        <f>IF(ISERROR(VLOOKUP($A392,'SegEnds_NonXtal_BW#'!$A:$Z,21,FALSE)+VLOOKUP($A392,A:AL,31,FALSE)-50),"-",(VLOOKUP($A392,'SegEnds_NonXtal_BW#'!$A:$Z,21,FALSE)+VLOOKUP($A392,A:AL,31,FALSE)-50))</f>
        <v>217</v>
      </c>
      <c r="AE392" s="3">
        <v>238</v>
      </c>
      <c r="AF392" s="3">
        <f>IF(ISERROR((VLOOKUP($A392,'SegEnds_NonXtal_BW#'!$A:$Z,22,FALSE)+VLOOKUP($A392,A:AL,31,FALSE)-50)),"-",(VLOOKUP($A392,'SegEnds_NonXtal_BW#'!$A:$Z,22,FALSE)+VLOOKUP($A392,A:AL,31,FALSE)-50))</f>
        <v>249</v>
      </c>
      <c r="AG392" s="3">
        <f>IF(ISERROR(VLOOKUP($A392,'SegEnds_NonXtal_BW#'!$A:$Z,23,FALSE)+VLOOKUP($A392,A:AL,34,FALSE)-50),"-",(VLOOKUP($A392,'SegEnds_NonXtal_BW#'!$A:$Z,23,FALSE)+VLOOKUP($A392,A:AL,34,FALSE)-50))</f>
        <v>255</v>
      </c>
      <c r="AH392" s="3">
        <v>274</v>
      </c>
      <c r="AI392" s="3">
        <f>IF(ISERROR((VLOOKUP($A392,'SegEnds_NonXtal_BW#'!$A:$Z,24,FALSE)+VLOOKUP($A392,A:AL,34,FALSE)-50)),"-",(VLOOKUP($A392,'SegEnds_NonXtal_BW#'!$A:$Z,24,FALSE)+VLOOKUP($A392,A:AL,34,FALSE)-50))</f>
        <v>280</v>
      </c>
      <c r="AJ392" s="3">
        <f>IF(ISERROR(VLOOKUP($A392,'SegEnds_NonXtal_BW#'!$A:$Z,25,FALSE)+VLOOKUP($A392,A:AL,37,FALSE)-50),"-",(VLOOKUP($A392,'SegEnds_NonXtal_BW#'!$A:$Z,25,FALSE)+VLOOKUP($A392,A:AL,37,FALSE)-50))</f>
        <v>281</v>
      </c>
      <c r="AK392" s="3">
        <v>284</v>
      </c>
      <c r="AL392" s="3">
        <f>IF(ISERROR((VLOOKUP($A392,'SegEnds_NonXtal_BW#'!$A:$Z,26,FALSE)+VLOOKUP($A392,A:AL,37,FALSE)-50)),"-",(VLOOKUP($A392,'SegEnds_NonXtal_BW#'!$A:$Z,26,FALSE)+VLOOKUP($A392,A:AL,37,FALSE)-50))</f>
        <v>294</v>
      </c>
      <c r="AM392" s="28" t="str">
        <f>VLOOKUP(A392,Classification!A:B,2,FALSE)</f>
        <v>T</v>
      </c>
      <c r="AN392" s="28" t="b">
        <f t="shared" si="220"/>
        <v>1</v>
      </c>
      <c r="AO392" s="3" t="str">
        <f>IF(ISERROR(MATCH(A392,'SegEnds_Xtal_Prot#'!B:B, 0)), "NoXtal", "Xtal")</f>
        <v>NoXtal</v>
      </c>
      <c r="AP392" s="3">
        <f t="shared" si="205"/>
        <v>1</v>
      </c>
      <c r="AQ392" s="3">
        <f t="shared" si="206"/>
        <v>1</v>
      </c>
      <c r="AR392" s="3" t="str">
        <f t="shared" si="207"/>
        <v>-</v>
      </c>
      <c r="AS392" s="3" t="str">
        <f t="shared" si="208"/>
        <v>-</v>
      </c>
      <c r="AT392" s="3">
        <f t="shared" si="209"/>
        <v>3</v>
      </c>
      <c r="AU392" s="3">
        <f t="shared" si="210"/>
        <v>1</v>
      </c>
      <c r="AV392" s="3" t="str">
        <f t="shared" si="211"/>
        <v>-</v>
      </c>
      <c r="AW392" s="3" t="str">
        <f t="shared" si="212"/>
        <v>-</v>
      </c>
      <c r="AX392" s="3">
        <f t="shared" si="213"/>
        <v>10</v>
      </c>
      <c r="AY392" s="3">
        <f t="shared" si="214"/>
        <v>6</v>
      </c>
      <c r="AZ392" s="3">
        <f t="shared" si="215"/>
        <v>1</v>
      </c>
      <c r="BA392" s="3">
        <f>IF(ISERROR(LEN(VLOOKUP(A392,Seqs!A:E,2,FALSE))-AL392),"-",LEN(VLOOKUP(A392,Seqs!A:E,2,FALSE))-AL392)</f>
        <v>13</v>
      </c>
      <c r="BB392" s="16">
        <f t="shared" si="216"/>
        <v>30</v>
      </c>
      <c r="BC392" s="9">
        <f t="shared" si="217"/>
        <v>20</v>
      </c>
      <c r="BD392" s="3">
        <f t="shared" si="218"/>
        <v>30</v>
      </c>
      <c r="BE392" s="3">
        <f t="shared" si="219"/>
        <v>53</v>
      </c>
      <c r="BF392" s="3">
        <f t="shared" ref="BF392:BF416" si="253">AH392-AE392</f>
        <v>36</v>
      </c>
    </row>
    <row r="393" spans="1:58" s="3" customFormat="1" x14ac:dyDescent="0.2">
      <c r="A393" s="3" t="s">
        <v>457</v>
      </c>
      <c r="B393" s="3" t="str">
        <f>LOWER(VLOOKUP(A393,Xtal_Templ!A:B,2,FALSE))</f>
        <v>5ht2a_human</v>
      </c>
      <c r="C393" s="3">
        <f>VLOOKUP($A393,'SegEnds_NonXtal_BW#'!$A:$Z,3,FALSE)+D393-50</f>
        <v>6</v>
      </c>
      <c r="D393" s="3">
        <v>24</v>
      </c>
      <c r="E393" s="3">
        <f t="shared" si="248"/>
        <v>36</v>
      </c>
      <c r="F393" s="3">
        <f t="shared" si="249"/>
        <v>37</v>
      </c>
      <c r="G393" s="3">
        <v>39</v>
      </c>
      <c r="H393" s="3">
        <f t="shared" si="250"/>
        <v>40</v>
      </c>
      <c r="I393" s="3">
        <f t="shared" si="250"/>
        <v>41</v>
      </c>
      <c r="J393" s="3">
        <v>55</v>
      </c>
      <c r="K393" s="3">
        <f>VLOOKUP($A393,'SegEnds_NonXtal_BW#'!$A:$Z,8,FALSE)+VLOOKUP($A393,A:AL,10,FALSE)-50</f>
        <v>72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78</v>
      </c>
      <c r="P393" s="3">
        <v>107</v>
      </c>
      <c r="Q393" s="3">
        <f>VLOOKUP($A393,'SegEnds_NonXtal_BW#'!$A:$Z,12,FALSE)+VLOOKUP($A393,A:AL,16,FALSE)-50</f>
        <v>113</v>
      </c>
      <c r="R393" s="3">
        <f t="shared" si="251"/>
        <v>116</v>
      </c>
      <c r="S393" s="3">
        <v>116</v>
      </c>
      <c r="T393" s="100">
        <f t="shared" si="252"/>
        <v>123</v>
      </c>
      <c r="U393" s="9">
        <f>IF(ISERROR(VLOOKUP($A393,'SegEnds_NonXtal_BW#'!$A:$Z,15,FALSE)+VLOOKUP($A393,A:AL,22,FALSE)-50),"-",VLOOKUP($A393,'SegEnds_NonXtal_BW#'!$A:$Z,15,FALSE)+VLOOKUP($A393,A:AL,22,FALSE)-50)</f>
        <v>124</v>
      </c>
      <c r="V393" s="3">
        <v>136</v>
      </c>
      <c r="W393" s="3">
        <f>IF(ISERROR(VLOOKUP($A393,'SegEnds_NonXtal_BW#'!$A:$Z,16,FALSE)+VLOOKUP($A393,A:AL,22,FALSE)-50),"-",(VLOOKUP($A393,'SegEnds_NonXtal_BW#'!$A:$Z,16,FALSE)+VLOOKUP($A393,A:AL,22,FALSE)-50))</f>
        <v>153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172</v>
      </c>
      <c r="AB393" s="3">
        <v>190</v>
      </c>
      <c r="AC393" s="3">
        <f>IF(ISERROR((VLOOKUP($A393,'SegEnds_NonXtal_BW#'!$A:$Z,20,FALSE)+VLOOKUP($A393,A:AL,28,FALSE)-50)),"-",(VLOOKUP($A393,'SegEnds_NonXtal_BW#'!$A:$Z,20,FALSE)+VLOOKUP($A393,A:AL,28,FALSE)-50))</f>
        <v>212</v>
      </c>
      <c r="AD393" s="3">
        <f>IF(ISERROR(VLOOKUP($A393,'SegEnds_NonXtal_BW#'!$A:$Z,21,FALSE)+VLOOKUP($A393,A:AL,31,FALSE)-50),"-",(VLOOKUP($A393,'SegEnds_NonXtal_BW#'!$A:$Z,21,FALSE)+VLOOKUP($A393,A:AL,31,FALSE)-50))</f>
        <v>222</v>
      </c>
      <c r="AE393" s="3">
        <v>243</v>
      </c>
      <c r="AF393" s="3">
        <f>IF(ISERROR((VLOOKUP($A393,'SegEnds_NonXtal_BW#'!$A:$Z,22,FALSE)+VLOOKUP($A393,A:AL,31,FALSE)-50)),"-",(VLOOKUP($A393,'SegEnds_NonXtal_BW#'!$A:$Z,22,FALSE)+VLOOKUP($A393,A:AL,31,FALSE)-50))</f>
        <v>254</v>
      </c>
      <c r="AG393" s="3">
        <f>IF(ISERROR(VLOOKUP($A393,'SegEnds_NonXtal_BW#'!$A:$Z,23,FALSE)+VLOOKUP($A393,A:AL,34,FALSE)-50),"-",(VLOOKUP($A393,'SegEnds_NonXtal_BW#'!$A:$Z,23,FALSE)+VLOOKUP($A393,A:AL,34,FALSE)-50))</f>
        <v>259</v>
      </c>
      <c r="AH393" s="3">
        <v>278</v>
      </c>
      <c r="AI393" s="3">
        <f>IF(ISERROR((VLOOKUP($A393,'SegEnds_NonXtal_BW#'!$A:$Z,24,FALSE)+VLOOKUP($A393,A:AL,34,FALSE)-50)),"-",(VLOOKUP($A393,'SegEnds_NonXtal_BW#'!$A:$Z,24,FALSE)+VLOOKUP($A393,A:AL,34,FALSE)-50))</f>
        <v>284</v>
      </c>
      <c r="AJ393" s="3">
        <f>IF(ISERROR(VLOOKUP($A393,'SegEnds_NonXtal_BW#'!$A:$Z,25,FALSE)+VLOOKUP($A393,A:AL,37,FALSE)-50),"-",(VLOOKUP($A393,'SegEnds_NonXtal_BW#'!$A:$Z,25,FALSE)+VLOOKUP($A393,A:AL,37,FALSE)-50))</f>
        <v>285</v>
      </c>
      <c r="AK393" s="3">
        <v>288</v>
      </c>
      <c r="AL393" s="3">
        <f>IF(ISERROR((VLOOKUP($A393,'SegEnds_NonXtal_BW#'!$A:$Z,26,FALSE)+VLOOKUP($A393,A:AL,37,FALSE)-50)),"-",(VLOOKUP($A393,'SegEnds_NonXtal_BW#'!$A:$Z,26,FALSE)+VLOOKUP($A393,A:AL,37,FALSE)-50))</f>
        <v>298</v>
      </c>
      <c r="AM393" s="28" t="str">
        <f>VLOOKUP(A393,Classification!A:B,2,FALSE)</f>
        <v>T</v>
      </c>
      <c r="AN393" s="28" t="b">
        <f t="shared" si="220"/>
        <v>1</v>
      </c>
      <c r="AO393" s="3" t="str">
        <f>IF(ISERROR(MATCH(A393,'SegEnds_Xtal_Prot#'!B:B, 0)), "NoXtal", "Xtal")</f>
        <v>NoXtal</v>
      </c>
      <c r="AP393" s="3">
        <f t="shared" si="205"/>
        <v>1</v>
      </c>
      <c r="AQ393" s="3">
        <f t="shared" si="206"/>
        <v>1</v>
      </c>
      <c r="AR393" s="3" t="str">
        <f t="shared" si="207"/>
        <v>-</v>
      </c>
      <c r="AS393" s="3" t="str">
        <f t="shared" si="208"/>
        <v>-</v>
      </c>
      <c r="AT393" s="3">
        <f t="shared" si="209"/>
        <v>3</v>
      </c>
      <c r="AU393" s="3">
        <f t="shared" si="210"/>
        <v>1</v>
      </c>
      <c r="AV393" s="3" t="str">
        <f t="shared" si="211"/>
        <v>-</v>
      </c>
      <c r="AW393" s="3" t="str">
        <f t="shared" si="212"/>
        <v>-</v>
      </c>
      <c r="AX393" s="3">
        <f t="shared" si="213"/>
        <v>10</v>
      </c>
      <c r="AY393" s="3">
        <f t="shared" si="214"/>
        <v>5</v>
      </c>
      <c r="AZ393" s="3">
        <f t="shared" si="215"/>
        <v>1</v>
      </c>
      <c r="BA393" s="3">
        <f>IF(ISERROR(LEN(VLOOKUP(A393,Seqs!A:E,2,FALSE))-AL393),"-",LEN(VLOOKUP(A393,Seqs!A:E,2,FALSE))-AL393)</f>
        <v>5</v>
      </c>
      <c r="BB393" s="16">
        <f t="shared" si="216"/>
        <v>31</v>
      </c>
      <c r="BC393" s="9">
        <f t="shared" si="217"/>
        <v>20</v>
      </c>
      <c r="BD393" s="3">
        <f t="shared" si="218"/>
        <v>31</v>
      </c>
      <c r="BE393" s="3">
        <f t="shared" si="219"/>
        <v>53</v>
      </c>
      <c r="BF393" s="3">
        <f t="shared" si="253"/>
        <v>35</v>
      </c>
    </row>
    <row r="394" spans="1:58" s="3" customFormat="1" x14ac:dyDescent="0.2">
      <c r="A394" s="3" t="s">
        <v>458</v>
      </c>
      <c r="B394" s="3" t="str">
        <f>LOWER(VLOOKUP(A394,Xtal_Templ!A:B,2,FALSE))</f>
        <v>5ht2c_human</v>
      </c>
      <c r="C394" s="3">
        <f>VLOOKUP($A394,'SegEnds_NonXtal_BW#'!$A:$Z,3,FALSE)+D394-50</f>
        <v>6</v>
      </c>
      <c r="D394" s="3">
        <v>24</v>
      </c>
      <c r="E394" s="3">
        <f t="shared" si="248"/>
        <v>36</v>
      </c>
      <c r="F394" s="3">
        <f t="shared" si="249"/>
        <v>37</v>
      </c>
      <c r="G394" s="3">
        <v>39</v>
      </c>
      <c r="H394" s="3">
        <f t="shared" si="250"/>
        <v>40</v>
      </c>
      <c r="I394" s="3">
        <f t="shared" si="250"/>
        <v>41</v>
      </c>
      <c r="J394" s="3">
        <v>55</v>
      </c>
      <c r="K394" s="3">
        <f>VLOOKUP($A394,'SegEnds_NonXtal_BW#'!$A:$Z,8,FALSE)+VLOOKUP($A394,A:AL,10,FALSE)-50</f>
        <v>72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78</v>
      </c>
      <c r="P394" s="3">
        <v>107</v>
      </c>
      <c r="Q394" s="3">
        <f>VLOOKUP($A394,'SegEnds_NonXtal_BW#'!$A:$Z,12,FALSE)+VLOOKUP($A394,A:AL,16,FALSE)-50</f>
        <v>113</v>
      </c>
      <c r="R394" s="3">
        <f t="shared" si="251"/>
        <v>116</v>
      </c>
      <c r="S394" s="3">
        <v>116</v>
      </c>
      <c r="T394" s="100">
        <f t="shared" si="252"/>
        <v>123</v>
      </c>
      <c r="U394" s="9">
        <f>IF(ISERROR(VLOOKUP($A394,'SegEnds_NonXtal_BW#'!$A:$Z,15,FALSE)+VLOOKUP($A394,A:AL,22,FALSE)-50),"-",VLOOKUP($A394,'SegEnds_NonXtal_BW#'!$A:$Z,15,FALSE)+VLOOKUP($A394,A:AL,22,FALSE)-50)</f>
        <v>124</v>
      </c>
      <c r="V394" s="3">
        <v>136</v>
      </c>
      <c r="W394" s="3">
        <f>IF(ISERROR(VLOOKUP($A394,'SegEnds_NonXtal_BW#'!$A:$Z,16,FALSE)+VLOOKUP($A394,A:AL,22,FALSE)-50),"-",(VLOOKUP($A394,'SegEnds_NonXtal_BW#'!$A:$Z,16,FALSE)+VLOOKUP($A394,A:AL,22,FALSE)-50))</f>
        <v>153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172</v>
      </c>
      <c r="AB394" s="3">
        <v>190</v>
      </c>
      <c r="AC394" s="3">
        <f>IF(ISERROR((VLOOKUP($A394,'SegEnds_NonXtal_BW#'!$A:$Z,20,FALSE)+VLOOKUP($A394,A:AL,28,FALSE)-50)),"-",(VLOOKUP($A394,'SegEnds_NonXtal_BW#'!$A:$Z,20,FALSE)+VLOOKUP($A394,A:AL,28,FALSE)-50))</f>
        <v>212</v>
      </c>
      <c r="AD394" s="3">
        <f>IF(ISERROR(VLOOKUP($A394,'SegEnds_NonXtal_BW#'!$A:$Z,21,FALSE)+VLOOKUP($A394,A:AL,31,FALSE)-50),"-",(VLOOKUP($A394,'SegEnds_NonXtal_BW#'!$A:$Z,21,FALSE)+VLOOKUP($A394,A:AL,31,FALSE)-50))</f>
        <v>221</v>
      </c>
      <c r="AE394" s="3">
        <v>242</v>
      </c>
      <c r="AF394" s="3">
        <f>IF(ISERROR((VLOOKUP($A394,'SegEnds_NonXtal_BW#'!$A:$Z,22,FALSE)+VLOOKUP($A394,A:AL,31,FALSE)-50)),"-",(VLOOKUP($A394,'SegEnds_NonXtal_BW#'!$A:$Z,22,FALSE)+VLOOKUP($A394,A:AL,31,FALSE)-50))</f>
        <v>253</v>
      </c>
      <c r="AG394" s="3">
        <f>IF(ISERROR(VLOOKUP($A394,'SegEnds_NonXtal_BW#'!$A:$Z,23,FALSE)+VLOOKUP($A394,A:AL,34,FALSE)-50),"-",(VLOOKUP($A394,'SegEnds_NonXtal_BW#'!$A:$Z,23,FALSE)+VLOOKUP($A394,A:AL,34,FALSE)-50))</f>
        <v>258</v>
      </c>
      <c r="AH394" s="3">
        <v>277</v>
      </c>
      <c r="AI394" s="3">
        <f>IF(ISERROR((VLOOKUP($A394,'SegEnds_NonXtal_BW#'!$A:$Z,24,FALSE)+VLOOKUP($A394,A:AL,34,FALSE)-50)),"-",(VLOOKUP($A394,'SegEnds_NonXtal_BW#'!$A:$Z,24,FALSE)+VLOOKUP($A394,A:AL,34,FALSE)-50))</f>
        <v>283</v>
      </c>
      <c r="AJ394" s="3">
        <f>IF(ISERROR(VLOOKUP($A394,'SegEnds_NonXtal_BW#'!$A:$Z,25,FALSE)+VLOOKUP($A394,A:AL,37,FALSE)-50),"-",(VLOOKUP($A394,'SegEnds_NonXtal_BW#'!$A:$Z,25,FALSE)+VLOOKUP($A394,A:AL,37,FALSE)-50))</f>
        <v>284</v>
      </c>
      <c r="AK394" s="3">
        <v>287</v>
      </c>
      <c r="AL394" s="3">
        <f>IF(ISERROR((VLOOKUP($A394,'SegEnds_NonXtal_BW#'!$A:$Z,26,FALSE)+VLOOKUP($A394,A:AL,37,FALSE)-50)),"-",(VLOOKUP($A394,'SegEnds_NonXtal_BW#'!$A:$Z,26,FALSE)+VLOOKUP($A394,A:AL,37,FALSE)-50))</f>
        <v>297</v>
      </c>
      <c r="AM394" s="28" t="str">
        <f>VLOOKUP(A394,Classification!A:B,2,FALSE)</f>
        <v>T</v>
      </c>
      <c r="AN394" s="28" t="b">
        <f t="shared" si="220"/>
        <v>1</v>
      </c>
      <c r="AO394" s="3" t="str">
        <f>IF(ISERROR(MATCH(A394,'SegEnds_Xtal_Prot#'!B:B, 0)), "NoXtal", "Xtal")</f>
        <v>NoXtal</v>
      </c>
      <c r="AP394" s="3">
        <f t="shared" si="205"/>
        <v>1</v>
      </c>
      <c r="AQ394" s="3">
        <f t="shared" si="206"/>
        <v>1</v>
      </c>
      <c r="AR394" s="3" t="str">
        <f t="shared" si="207"/>
        <v>-</v>
      </c>
      <c r="AS394" s="3" t="str">
        <f t="shared" si="208"/>
        <v>-</v>
      </c>
      <c r="AT394" s="3">
        <f t="shared" si="209"/>
        <v>3</v>
      </c>
      <c r="AU394" s="3">
        <f t="shared" si="210"/>
        <v>1</v>
      </c>
      <c r="AV394" s="3" t="str">
        <f t="shared" si="211"/>
        <v>-</v>
      </c>
      <c r="AW394" s="3" t="str">
        <f t="shared" si="212"/>
        <v>-</v>
      </c>
      <c r="AX394" s="3">
        <f t="shared" si="213"/>
        <v>9</v>
      </c>
      <c r="AY394" s="3">
        <f t="shared" si="214"/>
        <v>5</v>
      </c>
      <c r="AZ394" s="3">
        <f t="shared" si="215"/>
        <v>1</v>
      </c>
      <c r="BA394" s="3">
        <f>IF(ISERROR(LEN(VLOOKUP(A394,Seqs!A:E,2,FALSE))-AL394),"-",LEN(VLOOKUP(A394,Seqs!A:E,2,FALSE))-AL394)</f>
        <v>20</v>
      </c>
      <c r="BB394" s="16">
        <f t="shared" si="216"/>
        <v>31</v>
      </c>
      <c r="BC394" s="9">
        <f t="shared" si="217"/>
        <v>20</v>
      </c>
      <c r="BD394" s="3">
        <f t="shared" si="218"/>
        <v>31</v>
      </c>
      <c r="BE394" s="3">
        <f t="shared" si="219"/>
        <v>52</v>
      </c>
      <c r="BF394" s="3">
        <f t="shared" si="253"/>
        <v>35</v>
      </c>
    </row>
    <row r="395" spans="1:58" s="3" customFormat="1" x14ac:dyDescent="0.2">
      <c r="A395" s="3" t="s">
        <v>459</v>
      </c>
      <c r="B395" s="3" t="str">
        <f>LOWER(VLOOKUP(A395,Xtal_Templ!A:B,2,FALSE))</f>
        <v>pd2r2_human</v>
      </c>
      <c r="C395" s="3">
        <f>VLOOKUP($A395,'SegEnds_NonXtal_BW#'!$A:$Z,3,FALSE)+D395-50</f>
        <v>7</v>
      </c>
      <c r="D395" s="3">
        <v>25</v>
      </c>
      <c r="E395" s="3">
        <f t="shared" si="248"/>
        <v>37</v>
      </c>
      <c r="F395" s="3">
        <f t="shared" si="249"/>
        <v>38</v>
      </c>
      <c r="G395" s="3">
        <v>40</v>
      </c>
      <c r="H395" s="3">
        <f t="shared" si="250"/>
        <v>41</v>
      </c>
      <c r="I395" s="3">
        <f t="shared" si="250"/>
        <v>42</v>
      </c>
      <c r="J395" s="3">
        <v>56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77</v>
      </c>
      <c r="P395" s="3">
        <v>103</v>
      </c>
      <c r="Q395" s="3">
        <f>VLOOKUP($A395,'SegEnds_NonXtal_BW#'!$A:$Z,12,FALSE)+VLOOKUP($A395,A:AL,16,FALSE)-50</f>
        <v>109</v>
      </c>
      <c r="R395" s="3">
        <f t="shared" si="251"/>
        <v>112</v>
      </c>
      <c r="S395" s="3">
        <v>112</v>
      </c>
      <c r="T395" s="100">
        <f t="shared" si="252"/>
        <v>119</v>
      </c>
      <c r="U395" s="9">
        <f>IF(ISERROR(VLOOKUP($A395,'SegEnds_NonXtal_BW#'!$A:$Z,15,FALSE)+VLOOKUP($A395,A:AL,22,FALSE)-50),"-",VLOOKUP($A395,'SegEnds_NonXtal_BW#'!$A:$Z,15,FALSE)+VLOOKUP($A395,A:AL,22,FALSE)-50)</f>
        <v>120</v>
      </c>
      <c r="V395" s="3">
        <v>132</v>
      </c>
      <c r="W395" s="3">
        <f>IF(ISERROR(VLOOKUP($A395,'SegEnds_NonXtal_BW#'!$A:$Z,16,FALSE)+VLOOKUP($A395,A:AL,22,FALSE)-50),"-",(VLOOKUP($A395,'SegEnds_NonXtal_BW#'!$A:$Z,16,FALSE)+VLOOKUP($A395,A:AL,22,FALSE)-50))</f>
        <v>146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170</v>
      </c>
      <c r="AB395" s="3">
        <v>188</v>
      </c>
      <c r="AC395" s="3">
        <f>IF(ISERROR((VLOOKUP($A395,'SegEnds_NonXtal_BW#'!$A:$Z,20,FALSE)+VLOOKUP($A395,A:AL,28,FALSE)-50)),"-",(VLOOKUP($A395,'SegEnds_NonXtal_BW#'!$A:$Z,20,FALSE)+VLOOKUP($A395,A:AL,28,FALSE)-50))</f>
        <v>210</v>
      </c>
      <c r="AD395" s="3">
        <f>IF(ISERROR(VLOOKUP($A395,'SegEnds_NonXtal_BW#'!$A:$Z,21,FALSE)+VLOOKUP($A395,A:AL,31,FALSE)-50),"-",(VLOOKUP($A395,'SegEnds_NonXtal_BW#'!$A:$Z,21,FALSE)+VLOOKUP($A395,A:AL,31,FALSE)-50))</f>
        <v>217</v>
      </c>
      <c r="AE395" s="3">
        <v>238</v>
      </c>
      <c r="AF395" s="3">
        <f>IF(ISERROR((VLOOKUP($A395,'SegEnds_NonXtal_BW#'!$A:$Z,22,FALSE)+VLOOKUP($A395,A:AL,31,FALSE)-50)),"-",(VLOOKUP($A395,'SegEnds_NonXtal_BW#'!$A:$Z,22,FALSE)+VLOOKUP($A395,A:AL,31,FALSE)-50))</f>
        <v>249</v>
      </c>
      <c r="AG395" s="3">
        <f>IF(ISERROR(VLOOKUP($A395,'SegEnds_NonXtal_BW#'!$A:$Z,23,FALSE)+VLOOKUP($A395,A:AL,34,FALSE)-50),"-",(VLOOKUP($A395,'SegEnds_NonXtal_BW#'!$A:$Z,23,FALSE)+VLOOKUP($A395,A:AL,34,FALSE)-50))</f>
        <v>254</v>
      </c>
      <c r="AH395" s="3">
        <v>273</v>
      </c>
      <c r="AI395" s="3">
        <f>IF(ISERROR((VLOOKUP($A395,'SegEnds_NonXtal_BW#'!$A:$Z,24,FALSE)+VLOOKUP($A395,A:AL,34,FALSE)-50)),"-",(VLOOKUP($A395,'SegEnds_NonXtal_BW#'!$A:$Z,24,FALSE)+VLOOKUP($A395,A:AL,34,FALSE)-50))</f>
        <v>279</v>
      </c>
      <c r="AJ395" s="3">
        <f>IF(ISERROR(VLOOKUP($A395,'SegEnds_NonXtal_BW#'!$A:$Z,25,FALSE)+VLOOKUP($A395,A:AL,37,FALSE)-50),"-",(VLOOKUP($A395,'SegEnds_NonXtal_BW#'!$A:$Z,25,FALSE)+VLOOKUP($A395,A:AL,37,FALSE)-50))</f>
        <v>280</v>
      </c>
      <c r="AK395" s="3">
        <v>283</v>
      </c>
      <c r="AL395" s="3">
        <v>291</v>
      </c>
      <c r="AM395" s="28" t="str">
        <f>VLOOKUP(A395,Classification!A:B,2,FALSE)</f>
        <v>T</v>
      </c>
      <c r="AN395" s="28" t="b">
        <f t="shared" si="220"/>
        <v>1</v>
      </c>
      <c r="AO395" s="3" t="str">
        <f>IF(ISERROR(MATCH(A395,'SegEnds_Xtal_Prot#'!B:B, 0)), "NoXtal", "Xtal")</f>
        <v>NoXtal</v>
      </c>
      <c r="AP395" s="3">
        <f t="shared" ref="AP395:AP416" si="254">IF(ISERROR(F395-E395),"-",F395-E395)</f>
        <v>1</v>
      </c>
      <c r="AQ395" s="3">
        <f t="shared" ref="AQ395:AQ416" si="255">IF(ISERROR(I395-H395),"-",I395-H395)</f>
        <v>1</v>
      </c>
      <c r="AR395" s="3" t="str">
        <f t="shared" ref="AR395:AR416" si="256">IF(ISERROR(L395-K395),"-",L395-K395)</f>
        <v>-</v>
      </c>
      <c r="AS395" s="3" t="str">
        <f t="shared" ref="AS395:AS416" si="257">IF(ISERROR(O395-N395),"-",O395-N395)</f>
        <v>-</v>
      </c>
      <c r="AT395" s="3">
        <f t="shared" ref="AT395:AT416" si="258">IF(ISERROR(R395-Q395),"-",R395-Q395)</f>
        <v>3</v>
      </c>
      <c r="AU395" s="3">
        <f t="shared" ref="AU395:AU416" si="259">IF(ISERROR(U395-T395),"-",U395-T395)</f>
        <v>1</v>
      </c>
      <c r="AV395" s="3" t="str">
        <f t="shared" ref="AV395:AV416" si="260">IF(ISERROR(X395-W395),"-",X395-W395)</f>
        <v>-</v>
      </c>
      <c r="AW395" s="3" t="str">
        <f t="shared" ref="AW395:AW416" si="261">IF(ISERROR(AA395-Z395),"-",AA395-Z395)</f>
        <v>-</v>
      </c>
      <c r="AX395" s="3">
        <f t="shared" ref="AX395:AX416" si="262">IF(ISERROR(AD395-AC395),"-",AD395-AC395)</f>
        <v>7</v>
      </c>
      <c r="AY395" s="3">
        <f t="shared" ref="AY395:AY416" si="263">IF(ISERROR(AG395-AF395),"-",AG395-AF395)</f>
        <v>5</v>
      </c>
      <c r="AZ395" s="3">
        <f t="shared" ref="AZ395:AZ416" si="264">IF(ISERROR(AJ395-AI395),"-",AJ395-AI395)</f>
        <v>1</v>
      </c>
      <c r="BA395" s="3">
        <f>IF(ISERROR(LEN(VLOOKUP(A395,Seqs!A:E,2,FALSE))-AL395),"-",LEN(VLOOKUP(A395,Seqs!A:E,2,FALSE))-AL395)</f>
        <v>0</v>
      </c>
      <c r="BB395" s="16">
        <f t="shared" ref="BB395:BB416" si="265">J395-D395</f>
        <v>31</v>
      </c>
      <c r="BC395" s="9">
        <f t="shared" ref="BC395:BC416" si="266">IF(ISERROR(V395-S395),"-",V395-S395)</f>
        <v>20</v>
      </c>
      <c r="BD395" s="3">
        <f t="shared" ref="BD395:BD416" si="267">J395-D395</f>
        <v>31</v>
      </c>
      <c r="BE395" s="3">
        <f t="shared" ref="BE395:BE416" si="268">AE395-AB395</f>
        <v>50</v>
      </c>
      <c r="BF395" s="3">
        <f t="shared" si="253"/>
        <v>35</v>
      </c>
    </row>
    <row r="396" spans="1:58" s="3" customFormat="1" x14ac:dyDescent="0.2">
      <c r="A396" s="3" t="s">
        <v>460</v>
      </c>
      <c r="B396" s="3" t="str">
        <f>LOWER(VLOOKUP(A396,Xtal_Templ!A:B,2,FALSE))</f>
        <v>5ht2c_human</v>
      </c>
      <c r="C396" s="3">
        <f>VLOOKUP($A396,'SegEnds_NonXtal_BW#'!$A:$Z,3,FALSE)+D396-50</f>
        <v>6</v>
      </c>
      <c r="D396" s="3">
        <v>24</v>
      </c>
      <c r="E396" s="3">
        <f t="shared" si="248"/>
        <v>36</v>
      </c>
      <c r="F396" s="3">
        <f t="shared" si="249"/>
        <v>37</v>
      </c>
      <c r="G396" s="3">
        <v>39</v>
      </c>
      <c r="H396" s="3">
        <f t="shared" si="250"/>
        <v>40</v>
      </c>
      <c r="I396" s="3">
        <f t="shared" si="250"/>
        <v>41</v>
      </c>
      <c r="J396" s="3">
        <v>55</v>
      </c>
      <c r="K396" s="3">
        <f>VLOOKUP($A396,'SegEnds_NonXtal_BW#'!$A:$Z,8,FALSE)+VLOOKUP($A396,A:AL,10,FALSE)-50</f>
        <v>71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106</v>
      </c>
      <c r="Q396" s="3">
        <f>VLOOKUP($A396,'SegEnds_NonXtal_BW#'!$A:$Z,12,FALSE)+VLOOKUP($A396,A:AL,16,FALSE)-50</f>
        <v>112</v>
      </c>
      <c r="R396" s="3">
        <f t="shared" si="251"/>
        <v>115</v>
      </c>
      <c r="S396" s="3">
        <v>115</v>
      </c>
      <c r="T396" s="100">
        <f t="shared" si="252"/>
        <v>122</v>
      </c>
      <c r="U396" s="9">
        <f>IF(ISERROR(VLOOKUP($A396,'SegEnds_NonXtal_BW#'!$A:$Z,15,FALSE)+VLOOKUP($A396,A:AL,22,FALSE)-50),"-",VLOOKUP($A396,'SegEnds_NonXtal_BW#'!$A:$Z,15,FALSE)+VLOOKUP($A396,A:AL,22,FALSE)-50)</f>
        <v>123</v>
      </c>
      <c r="V396" s="3">
        <v>135</v>
      </c>
      <c r="W396" s="3">
        <f>IF(ISERROR(VLOOKUP($A396,'SegEnds_NonXtal_BW#'!$A:$Z,16,FALSE)+VLOOKUP($A396,A:AL,22,FALSE)-50),"-",(VLOOKUP($A396,'SegEnds_NonXtal_BW#'!$A:$Z,16,FALSE)+VLOOKUP($A396,A:AL,22,FALSE)-50))</f>
        <v>152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169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209</v>
      </c>
      <c r="AD396" s="3">
        <f>IF(ISERROR(VLOOKUP($A396,'SegEnds_NonXtal_BW#'!$A:$Z,21,FALSE)+VLOOKUP($A396,A:AL,31,FALSE)-50),"-",(VLOOKUP($A396,'SegEnds_NonXtal_BW#'!$A:$Z,21,FALSE)+VLOOKUP($A396,A:AL,31,FALSE)-50))</f>
        <v>219</v>
      </c>
      <c r="AE396" s="3">
        <v>240</v>
      </c>
      <c r="AF396" s="3">
        <f>IF(ISERROR((VLOOKUP($A396,'SegEnds_NonXtal_BW#'!$A:$Z,22,FALSE)+VLOOKUP($A396,A:AL,31,FALSE)-50)),"-",(VLOOKUP($A396,'SegEnds_NonXtal_BW#'!$A:$Z,22,FALSE)+VLOOKUP($A396,A:AL,31,FALSE)-50))</f>
        <v>251</v>
      </c>
      <c r="AG396" s="3">
        <f>IF(ISERROR(VLOOKUP($A396,'SegEnds_NonXtal_BW#'!$A:$Z,23,FALSE)+VLOOKUP($A396,A:AL,34,FALSE)-50),"-",(VLOOKUP($A396,'SegEnds_NonXtal_BW#'!$A:$Z,23,FALSE)+VLOOKUP($A396,A:AL,34,FALSE)-50))</f>
        <v>257</v>
      </c>
      <c r="AH396" s="3">
        <v>276</v>
      </c>
      <c r="AI396" s="3">
        <f>IF(ISERROR((VLOOKUP($A396,'SegEnds_NonXtal_BW#'!$A:$Z,24,FALSE)+VLOOKUP($A396,A:AL,34,FALSE)-50)),"-",(VLOOKUP($A396,'SegEnds_NonXtal_BW#'!$A:$Z,24,FALSE)+VLOOKUP($A396,A:AL,34,FALSE)-50))</f>
        <v>282</v>
      </c>
      <c r="AJ396" s="3">
        <f>IF(ISERROR(VLOOKUP($A396,'SegEnds_NonXtal_BW#'!$A:$Z,25,FALSE)+VLOOKUP($A396,A:AL,37,FALSE)-50),"-",(VLOOKUP($A396,'SegEnds_NonXtal_BW#'!$A:$Z,25,FALSE)+VLOOKUP($A396,A:AL,37,FALSE)-50))</f>
        <v>283</v>
      </c>
      <c r="AK396" s="3">
        <v>286</v>
      </c>
      <c r="AL396" s="3">
        <f>IF(ISERROR((VLOOKUP($A396,'SegEnds_NonXtal_BW#'!$A:$Z,26,FALSE)+VLOOKUP($A396,A:AL,37,FALSE)-50)),"-",(VLOOKUP($A396,'SegEnds_NonXtal_BW#'!$A:$Z,26,FALSE)+VLOOKUP($A396,A:AL,37,FALSE)-50))</f>
        <v>296</v>
      </c>
      <c r="AM396" s="28" t="str">
        <f>VLOOKUP(A396,Classification!A:B,2,FALSE)</f>
        <v>T</v>
      </c>
      <c r="AN396" s="28" t="b">
        <f t="shared" ref="AN396:AN416" si="269">AND(IF(Y396="-",IF(AA396-W396&gt;3,TRUE,FALSE),TRUE),IF(M396="-",IF(O396-K396&gt;3,TRUE,FALSE),TRUE),IF(AG396-AF396&gt;1,TRUE,FALSE),C396&lt;E396,OR(E396&lt;F396,F396="-"),OR(F396&lt;H396,F396="-"),OR(H396&lt;I396,H396="-"),I396&lt;K396,OR(K396&lt;L396,L396="-"),OR(L396&lt;N396,L396="-"),OR(N396&lt;O396,N396="-"),O396&lt;Q396,OR(Q396&lt;R396,R396="-"),OR(R396&lt;T396,R396="-"),OR(T396&lt;U396,T396="-"),U396&lt;W396,OR(W396&lt;X396,X396="-"),OR(X396&lt;Z396,X396="-"),OR(Z396&lt;AA396,Z396="-"),AA396&lt;AC396,AC396&lt;AD396,AD396&lt;AF396,AF396&lt;AG396,AG396&lt;AI396,OR(AI396&lt;AJ396,AJ396="-"),OR(AJ396&lt;AL396,AJ396="-"))</f>
        <v>1</v>
      </c>
      <c r="AO396" s="3" t="str">
        <f>IF(ISERROR(MATCH(A396,'SegEnds_Xtal_Prot#'!B:B, 0)), "NoXtal", "Xtal")</f>
        <v>NoXtal</v>
      </c>
      <c r="AP396" s="3">
        <f t="shared" si="254"/>
        <v>1</v>
      </c>
      <c r="AQ396" s="3">
        <f t="shared" si="255"/>
        <v>1</v>
      </c>
      <c r="AR396" s="3" t="str">
        <f t="shared" si="256"/>
        <v>-</v>
      </c>
      <c r="AS396" s="3" t="str">
        <f t="shared" si="257"/>
        <v>-</v>
      </c>
      <c r="AT396" s="3">
        <f t="shared" si="258"/>
        <v>3</v>
      </c>
      <c r="AU396" s="3">
        <f t="shared" si="259"/>
        <v>1</v>
      </c>
      <c r="AV396" s="3" t="str">
        <f t="shared" si="260"/>
        <v>-</v>
      </c>
      <c r="AW396" s="3" t="str">
        <f t="shared" si="261"/>
        <v>-</v>
      </c>
      <c r="AX396" s="3">
        <f t="shared" si="262"/>
        <v>10</v>
      </c>
      <c r="AY396" s="3">
        <f t="shared" si="263"/>
        <v>6</v>
      </c>
      <c r="AZ396" s="3">
        <f t="shared" si="264"/>
        <v>1</v>
      </c>
      <c r="BA396" s="3">
        <f>IF(ISERROR(LEN(VLOOKUP(A396,Seqs!A:E,2,FALSE))-AL396),"-",LEN(VLOOKUP(A396,Seqs!A:E,2,FALSE))-AL396)</f>
        <v>3</v>
      </c>
      <c r="BB396" s="16">
        <f t="shared" si="265"/>
        <v>31</v>
      </c>
      <c r="BC396" s="9">
        <f t="shared" si="266"/>
        <v>20</v>
      </c>
      <c r="BD396" s="3">
        <f t="shared" si="267"/>
        <v>31</v>
      </c>
      <c r="BE396" s="3">
        <f t="shared" si="268"/>
        <v>53</v>
      </c>
      <c r="BF396" s="3">
        <f t="shared" si="253"/>
        <v>36</v>
      </c>
    </row>
    <row r="397" spans="1:58" s="3" customFormat="1" x14ac:dyDescent="0.2">
      <c r="A397" s="3" t="s">
        <v>461</v>
      </c>
      <c r="B397" s="3" t="str">
        <f>LOWER(VLOOKUP(A397,Xtal_Templ!A:B,2,FALSE))</f>
        <v>5ht2c_human</v>
      </c>
      <c r="C397" s="3">
        <f>VLOOKUP($A397,'SegEnds_NonXtal_BW#'!$A:$Z,3,FALSE)+D397-50</f>
        <v>6</v>
      </c>
      <c r="D397" s="3">
        <v>24</v>
      </c>
      <c r="E397" s="3">
        <f t="shared" si="248"/>
        <v>36</v>
      </c>
      <c r="F397" s="3">
        <f t="shared" si="249"/>
        <v>37</v>
      </c>
      <c r="G397" s="3">
        <v>39</v>
      </c>
      <c r="H397" s="3">
        <f t="shared" si="250"/>
        <v>40</v>
      </c>
      <c r="I397" s="3">
        <f t="shared" si="250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51"/>
        <v>115</v>
      </c>
      <c r="S397" s="3">
        <v>115</v>
      </c>
      <c r="T397" s="100">
        <f t="shared" si="252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152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si="269"/>
        <v>1</v>
      </c>
      <c r="AO397" s="3" t="str">
        <f>IF(ISERROR(MATCH(A397,'SegEnds_Xtal_Prot#'!B:B, 0)), "NoXtal", "Xtal")</f>
        <v>NoXtal</v>
      </c>
      <c r="AP397" s="3">
        <f t="shared" si="254"/>
        <v>1</v>
      </c>
      <c r="AQ397" s="3">
        <f t="shared" si="255"/>
        <v>1</v>
      </c>
      <c r="AR397" s="3" t="str">
        <f t="shared" si="256"/>
        <v>-</v>
      </c>
      <c r="AS397" s="3" t="str">
        <f t="shared" si="257"/>
        <v>-</v>
      </c>
      <c r="AT397" s="3">
        <f t="shared" si="258"/>
        <v>3</v>
      </c>
      <c r="AU397" s="3">
        <f t="shared" si="259"/>
        <v>1</v>
      </c>
      <c r="AV397" s="3" t="str">
        <f t="shared" si="260"/>
        <v>-</v>
      </c>
      <c r="AW397" s="3" t="str">
        <f t="shared" si="261"/>
        <v>-</v>
      </c>
      <c r="AX397" s="3">
        <f t="shared" si="262"/>
        <v>10</v>
      </c>
      <c r="AY397" s="3">
        <f t="shared" si="263"/>
        <v>6</v>
      </c>
      <c r="AZ397" s="3">
        <f t="shared" si="264"/>
        <v>1</v>
      </c>
      <c r="BA397" s="3">
        <f>IF(ISERROR(LEN(VLOOKUP(A397,Seqs!A:E,2,FALSE))-AL397),"-",LEN(VLOOKUP(A397,Seqs!A:E,2,FALSE))-AL397)</f>
        <v>13</v>
      </c>
      <c r="BB397" s="16">
        <f t="shared" si="265"/>
        <v>31</v>
      </c>
      <c r="BC397" s="9">
        <f t="shared" si="266"/>
        <v>20</v>
      </c>
      <c r="BD397" s="3">
        <f t="shared" si="267"/>
        <v>31</v>
      </c>
      <c r="BE397" s="3">
        <f t="shared" si="268"/>
        <v>53</v>
      </c>
      <c r="BF397" s="3">
        <f t="shared" si="253"/>
        <v>36</v>
      </c>
    </row>
    <row r="398" spans="1:58" s="3" customFormat="1" x14ac:dyDescent="0.2">
      <c r="A398" s="3" t="s">
        <v>462</v>
      </c>
      <c r="B398" s="3" t="str">
        <f>LOWER(VLOOKUP(A398,Xtal_Templ!A:B,2,FALSE))</f>
        <v>5ht2c_human</v>
      </c>
      <c r="C398" s="3">
        <f>VLOOKUP($A398,'SegEnds_NonXtal_BW#'!$A:$Z,3,FALSE)+D398-50</f>
        <v>6</v>
      </c>
      <c r="D398" s="3">
        <v>24</v>
      </c>
      <c r="E398" s="3">
        <f t="shared" si="248"/>
        <v>36</v>
      </c>
      <c r="F398" s="3">
        <f t="shared" si="249"/>
        <v>37</v>
      </c>
      <c r="G398" s="3">
        <v>39</v>
      </c>
      <c r="H398" s="3">
        <f t="shared" si="250"/>
        <v>40</v>
      </c>
      <c r="I398" s="3">
        <f t="shared" si="250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51"/>
        <v>115</v>
      </c>
      <c r="S398" s="3">
        <v>115</v>
      </c>
      <c r="T398" s="100">
        <f t="shared" si="252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152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69"/>
        <v>1</v>
      </c>
      <c r="AO398" s="3" t="str">
        <f>IF(ISERROR(MATCH(A398,'SegEnds_Xtal_Prot#'!B:B, 0)), "NoXtal", "Xtal")</f>
        <v>NoXtal</v>
      </c>
      <c r="AP398" s="3">
        <f t="shared" si="254"/>
        <v>1</v>
      </c>
      <c r="AQ398" s="3">
        <f t="shared" si="255"/>
        <v>1</v>
      </c>
      <c r="AR398" s="3" t="str">
        <f t="shared" si="256"/>
        <v>-</v>
      </c>
      <c r="AS398" s="3" t="str">
        <f t="shared" si="257"/>
        <v>-</v>
      </c>
      <c r="AT398" s="3">
        <f t="shared" si="258"/>
        <v>3</v>
      </c>
      <c r="AU398" s="3">
        <f t="shared" si="259"/>
        <v>1</v>
      </c>
      <c r="AV398" s="3" t="str">
        <f t="shared" si="260"/>
        <v>-</v>
      </c>
      <c r="AW398" s="3" t="str">
        <f t="shared" si="261"/>
        <v>-</v>
      </c>
      <c r="AX398" s="3">
        <f t="shared" si="262"/>
        <v>10</v>
      </c>
      <c r="AY398" s="3">
        <f t="shared" si="263"/>
        <v>6</v>
      </c>
      <c r="AZ398" s="3">
        <f t="shared" si="264"/>
        <v>1</v>
      </c>
      <c r="BA398" s="3">
        <f>IF(ISERROR(LEN(VLOOKUP(A398,Seqs!A:E,2,FALSE))-AL398),"-",LEN(VLOOKUP(A398,Seqs!A:E,2,FALSE))-AL398)</f>
        <v>23</v>
      </c>
      <c r="BB398" s="16">
        <f t="shared" si="265"/>
        <v>31</v>
      </c>
      <c r="BC398" s="9">
        <f t="shared" si="266"/>
        <v>20</v>
      </c>
      <c r="BD398" s="3">
        <f t="shared" si="267"/>
        <v>31</v>
      </c>
      <c r="BE398" s="3">
        <f t="shared" si="268"/>
        <v>53</v>
      </c>
      <c r="BF398" s="3">
        <f t="shared" si="253"/>
        <v>36</v>
      </c>
    </row>
    <row r="399" spans="1:58" s="3" customFormat="1" x14ac:dyDescent="0.2">
      <c r="A399" s="3" t="s">
        <v>463</v>
      </c>
      <c r="B399" s="3" t="str">
        <f>LOWER(VLOOKUP(A399,Xtal_Templ!A:B,2,FALSE))</f>
        <v>agtr1_human</v>
      </c>
      <c r="C399" s="3">
        <f>VLOOKUP($A399,'SegEnds_NonXtal_BW#'!$A:$Z,3,FALSE)+D399-50</f>
        <v>6</v>
      </c>
      <c r="D399" s="3">
        <v>24</v>
      </c>
      <c r="E399" s="3">
        <f t="shared" si="248"/>
        <v>36</v>
      </c>
      <c r="F399" s="3">
        <f t="shared" si="249"/>
        <v>37</v>
      </c>
      <c r="G399" s="3">
        <v>39</v>
      </c>
      <c r="H399" s="3">
        <f t="shared" si="250"/>
        <v>40</v>
      </c>
      <c r="I399" s="3">
        <f t="shared" si="250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51"/>
        <v>115</v>
      </c>
      <c r="S399" s="3">
        <v>115</v>
      </c>
      <c r="T399" s="100">
        <f t="shared" si="252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149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69"/>
        <v>1</v>
      </c>
      <c r="AO399" s="3" t="str">
        <f>IF(ISERROR(MATCH(A399,'SegEnds_Xtal_Prot#'!B:B, 0)), "NoXtal", "Xtal")</f>
        <v>NoXtal</v>
      </c>
      <c r="AP399" s="3">
        <f t="shared" si="254"/>
        <v>1</v>
      </c>
      <c r="AQ399" s="3">
        <f t="shared" si="255"/>
        <v>1</v>
      </c>
      <c r="AR399" s="3" t="str">
        <f t="shared" si="256"/>
        <v>-</v>
      </c>
      <c r="AS399" s="3" t="str">
        <f t="shared" si="257"/>
        <v>-</v>
      </c>
      <c r="AT399" s="3">
        <f t="shared" si="258"/>
        <v>3</v>
      </c>
      <c r="AU399" s="3">
        <f t="shared" si="259"/>
        <v>1</v>
      </c>
      <c r="AV399" s="3" t="str">
        <f t="shared" si="260"/>
        <v>-</v>
      </c>
      <c r="AW399" s="3" t="str">
        <f t="shared" si="261"/>
        <v>-</v>
      </c>
      <c r="AX399" s="3">
        <f t="shared" si="262"/>
        <v>10</v>
      </c>
      <c r="AY399" s="3">
        <f t="shared" si="263"/>
        <v>6</v>
      </c>
      <c r="AZ399" s="3">
        <f t="shared" si="264"/>
        <v>1</v>
      </c>
      <c r="BA399" s="3">
        <f>IF(ISERROR(LEN(VLOOKUP(A399,Seqs!A:E,2,FALSE))-AL399),"-",LEN(VLOOKUP(A399,Seqs!A:E,2,FALSE))-AL399)</f>
        <v>13</v>
      </c>
      <c r="BB399" s="16">
        <f t="shared" si="265"/>
        <v>31</v>
      </c>
      <c r="BC399" s="9">
        <f t="shared" si="266"/>
        <v>20</v>
      </c>
      <c r="BD399" s="3">
        <f t="shared" si="267"/>
        <v>31</v>
      </c>
      <c r="BE399" s="3">
        <f t="shared" si="268"/>
        <v>53</v>
      </c>
      <c r="BF399" s="3">
        <f t="shared" si="253"/>
        <v>36</v>
      </c>
    </row>
    <row r="400" spans="1:58" s="3" customFormat="1" x14ac:dyDescent="0.2">
      <c r="A400" s="3" t="s">
        <v>464</v>
      </c>
      <c r="B400" s="3" t="str">
        <f>LOWER(VLOOKUP(A400,Xtal_Templ!A:B,2,FALSE))</f>
        <v>agtr1_human</v>
      </c>
      <c r="C400" s="3">
        <f>VLOOKUP($A400,'SegEnds_NonXtal_BW#'!$A:$Z,3,FALSE)+D400-50</f>
        <v>15</v>
      </c>
      <c r="D400" s="3">
        <v>33</v>
      </c>
      <c r="E400" s="3">
        <f t="shared" si="248"/>
        <v>45</v>
      </c>
      <c r="F400" s="3">
        <f t="shared" si="249"/>
        <v>46</v>
      </c>
      <c r="G400" s="3">
        <v>48</v>
      </c>
      <c r="H400" s="3">
        <f t="shared" si="250"/>
        <v>49</v>
      </c>
      <c r="I400" s="3">
        <f t="shared" si="250"/>
        <v>50</v>
      </c>
      <c r="J400" s="3">
        <v>64</v>
      </c>
      <c r="K400" s="3">
        <f>VLOOKUP($A400,'SegEnds_NonXtal_BW#'!$A:$Z,8,FALSE)+VLOOKUP($A400,A:AL,10,FALSE)-50</f>
        <v>81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85</v>
      </c>
      <c r="P400" s="3">
        <v>117</v>
      </c>
      <c r="Q400" s="3">
        <f>VLOOKUP($A400,'SegEnds_NonXtal_BW#'!$A:$Z,12,FALSE)+VLOOKUP($A400,A:AL,16,FALSE)-50</f>
        <v>123</v>
      </c>
      <c r="R400" s="3">
        <f t="shared" si="251"/>
        <v>126</v>
      </c>
      <c r="S400" s="3">
        <v>126</v>
      </c>
      <c r="T400" s="100">
        <f t="shared" si="252"/>
        <v>133</v>
      </c>
      <c r="U400" s="9">
        <f>IF(ISERROR(VLOOKUP($A400,'SegEnds_NonXtal_BW#'!$A:$Z,15,FALSE)+VLOOKUP($A400,A:AL,22,FALSE)-50),"-",VLOOKUP($A400,'SegEnds_NonXtal_BW#'!$A:$Z,15,FALSE)+VLOOKUP($A400,A:AL,22,FALSE)-50)</f>
        <v>134</v>
      </c>
      <c r="V400" s="3">
        <v>146</v>
      </c>
      <c r="W400" s="3">
        <f>IF(ISERROR(VLOOKUP($A400,'SegEnds_NonXtal_BW#'!$A:$Z,16,FALSE)+VLOOKUP($A400,A:AL,22,FALSE)-50),"-",(VLOOKUP($A400,'SegEnds_NonXtal_BW#'!$A:$Z,16,FALSE)+VLOOKUP($A400,A:AL,22,FALSE)-50))</f>
        <v>160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205</v>
      </c>
      <c r="AC400" s="3">
        <f>IF(ISERROR((VLOOKUP($A400,'SegEnds_NonXtal_BW#'!$A:$Z,20,FALSE)+VLOOKUP($A400,A:AL,28,FALSE)-50)),"-",(VLOOKUP($A400,'SegEnds_NonXtal_BW#'!$A:$Z,20,FALSE)+VLOOKUP($A400,A:AL,28,FALSE)-50))</f>
        <v>227</v>
      </c>
      <c r="AD400" s="3">
        <f>IF(ISERROR(VLOOKUP($A400,'SegEnds_NonXtal_BW#'!$A:$Z,21,FALSE)+VLOOKUP($A400,A:AL,31,FALSE)-50),"-",(VLOOKUP($A400,'SegEnds_NonXtal_BW#'!$A:$Z,21,FALSE)+VLOOKUP($A400,A:AL,31,FALSE)-50))</f>
        <v>237</v>
      </c>
      <c r="AE400" s="3">
        <v>258</v>
      </c>
      <c r="AF400" s="3">
        <f>IF(ISERROR((VLOOKUP($A400,'SegEnds_NonXtal_BW#'!$A:$Z,22,FALSE)+VLOOKUP($A400,A:AL,31,FALSE)-50)),"-",(VLOOKUP($A400,'SegEnds_NonXtal_BW#'!$A:$Z,22,FALSE)+VLOOKUP($A400,A:AL,31,FALSE)-50))</f>
        <v>269</v>
      </c>
      <c r="AG400" s="3">
        <f>IF(ISERROR(VLOOKUP($A400,'SegEnds_NonXtal_BW#'!$A:$Z,23,FALSE)+VLOOKUP($A400,A:AL,34,FALSE)-50),"-",(VLOOKUP($A400,'SegEnds_NonXtal_BW#'!$A:$Z,23,FALSE)+VLOOKUP($A400,A:AL,34,FALSE)-50))</f>
        <v>275</v>
      </c>
      <c r="AH400" s="3">
        <v>294</v>
      </c>
      <c r="AI400" s="3">
        <f>IF(ISERROR((VLOOKUP($A400,'SegEnds_NonXtal_BW#'!$A:$Z,24,FALSE)+VLOOKUP($A400,A:AL,34,FALSE)-50)),"-",(VLOOKUP($A400,'SegEnds_NonXtal_BW#'!$A:$Z,24,FALSE)+VLOOKUP($A400,A:AL,34,FALSE)-50))</f>
        <v>300</v>
      </c>
      <c r="AJ400" s="3">
        <f>IF(ISERROR(VLOOKUP($A400,'SegEnds_NonXtal_BW#'!$A:$Z,25,FALSE)+VLOOKUP($A400,A:AL,37,FALSE)-50),"-",(VLOOKUP($A400,'SegEnds_NonXtal_BW#'!$A:$Z,25,FALSE)+VLOOKUP($A400,A:AL,37,FALSE)-50))</f>
        <v>301</v>
      </c>
      <c r="AK400" s="3">
        <v>304</v>
      </c>
      <c r="AL400" s="3">
        <f>IF(ISERROR((VLOOKUP($A400,'SegEnds_NonXtal_BW#'!$A:$Z,26,FALSE)+VLOOKUP($A400,A:AL,37,FALSE)-50)),"-",(VLOOKUP($A400,'SegEnds_NonXtal_BW#'!$A:$Z,26,FALSE)+VLOOKUP($A400,A:AL,37,FALSE)-50))</f>
        <v>314</v>
      </c>
      <c r="AM400" s="28" t="str">
        <f>VLOOKUP(A400,Classification!A:B,2,FALSE)</f>
        <v>T</v>
      </c>
      <c r="AN400" s="28" t="b">
        <f t="shared" si="269"/>
        <v>1</v>
      </c>
      <c r="AO400" s="3" t="str">
        <f>IF(ISERROR(MATCH(A400,'SegEnds_Xtal_Prot#'!B:B, 0)), "NoXtal", "Xtal")</f>
        <v>NoXtal</v>
      </c>
      <c r="AP400" s="3">
        <f t="shared" si="254"/>
        <v>1</v>
      </c>
      <c r="AQ400" s="3">
        <f t="shared" si="255"/>
        <v>1</v>
      </c>
      <c r="AR400" s="3" t="str">
        <f t="shared" si="256"/>
        <v>-</v>
      </c>
      <c r="AS400" s="3" t="str">
        <f t="shared" si="257"/>
        <v>-</v>
      </c>
      <c r="AT400" s="3">
        <f t="shared" si="258"/>
        <v>3</v>
      </c>
      <c r="AU400" s="3">
        <f t="shared" si="259"/>
        <v>1</v>
      </c>
      <c r="AV400" s="3" t="str">
        <f t="shared" si="260"/>
        <v>-</v>
      </c>
      <c r="AW400" s="3" t="str">
        <f t="shared" si="261"/>
        <v>-</v>
      </c>
      <c r="AX400" s="3">
        <f t="shared" si="262"/>
        <v>10</v>
      </c>
      <c r="AY400" s="3">
        <f t="shared" si="263"/>
        <v>6</v>
      </c>
      <c r="AZ400" s="3">
        <f t="shared" si="264"/>
        <v>1</v>
      </c>
      <c r="BA400" s="3">
        <f>IF(ISERROR(LEN(VLOOKUP(A400,Seqs!A:E,2,FALSE))-AL400),"-",LEN(VLOOKUP(A400,Seqs!A:E,2,FALSE))-AL400)</f>
        <v>19</v>
      </c>
      <c r="BB400" s="16">
        <f t="shared" si="265"/>
        <v>31</v>
      </c>
      <c r="BC400" s="9">
        <f t="shared" si="266"/>
        <v>20</v>
      </c>
      <c r="BD400" s="3">
        <f t="shared" si="267"/>
        <v>31</v>
      </c>
      <c r="BE400" s="3">
        <f t="shared" si="268"/>
        <v>53</v>
      </c>
      <c r="BF400" s="3">
        <f t="shared" si="253"/>
        <v>36</v>
      </c>
    </row>
    <row r="401" spans="1:58" s="3" customFormat="1" x14ac:dyDescent="0.2">
      <c r="A401" s="3" t="s">
        <v>465</v>
      </c>
      <c r="B401" s="3" t="str">
        <f>LOWER(VLOOKUP(A401,Xtal_Templ!A:B,2,FALSE))</f>
        <v>agtr1_human</v>
      </c>
      <c r="C401" s="3">
        <f>VLOOKUP($A401,'SegEnds_NonXtal_BW#'!$A:$Z,3,FALSE)+D401-50</f>
        <v>34</v>
      </c>
      <c r="D401" s="3">
        <v>52</v>
      </c>
      <c r="E401" s="3">
        <f t="shared" si="248"/>
        <v>64</v>
      </c>
      <c r="F401" s="3">
        <f t="shared" si="249"/>
        <v>65</v>
      </c>
      <c r="G401" s="3">
        <v>67</v>
      </c>
      <c r="H401" s="3">
        <f t="shared" si="250"/>
        <v>68</v>
      </c>
      <c r="I401" s="3">
        <f t="shared" si="250"/>
        <v>69</v>
      </c>
      <c r="J401" s="3">
        <v>83</v>
      </c>
      <c r="K401" s="3">
        <f>VLOOKUP($A401,'SegEnds_NonXtal_BW#'!$A:$Z,8,FALSE)+VLOOKUP($A401,A:AL,10,FALSE)-50</f>
        <v>99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103</v>
      </c>
      <c r="P401" s="3">
        <v>135</v>
      </c>
      <c r="Q401" s="3">
        <f>VLOOKUP($A401,'SegEnds_NonXtal_BW#'!$A:$Z,12,FALSE)+VLOOKUP($A401,A:AL,16,FALSE)-50</f>
        <v>141</v>
      </c>
      <c r="R401" s="3">
        <f t="shared" si="251"/>
        <v>144</v>
      </c>
      <c r="S401" s="3">
        <v>144</v>
      </c>
      <c r="T401" s="100">
        <f t="shared" si="252"/>
        <v>151</v>
      </c>
      <c r="U401" s="9">
        <f>IF(ISERROR(VLOOKUP($A401,'SegEnds_NonXtal_BW#'!$A:$Z,15,FALSE)+VLOOKUP($A401,A:AL,22,FALSE)-50),"-",VLOOKUP($A401,'SegEnds_NonXtal_BW#'!$A:$Z,15,FALSE)+VLOOKUP($A401,A:AL,22,FALSE)-50)</f>
        <v>152</v>
      </c>
      <c r="V401" s="3">
        <v>164</v>
      </c>
      <c r="W401" s="3">
        <f>IF(ISERROR(VLOOKUP($A401,'SegEnds_NonXtal_BW#'!$A:$Z,16,FALSE)+VLOOKUP($A401,A:AL,22,FALSE)-50),"-",(VLOOKUP($A401,'SegEnds_NonXtal_BW#'!$A:$Z,16,FALSE)+VLOOKUP($A401,A:AL,22,FALSE)-50))</f>
        <v>178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202</v>
      </c>
      <c r="AB401" s="3">
        <v>220</v>
      </c>
      <c r="AC401" s="3">
        <f>IF(ISERROR((VLOOKUP($A401,'SegEnds_NonXtal_BW#'!$A:$Z,20,FALSE)+VLOOKUP($A401,A:AL,28,FALSE)-50)),"-",(VLOOKUP($A401,'SegEnds_NonXtal_BW#'!$A:$Z,20,FALSE)+VLOOKUP($A401,A:AL,28,FALSE)-50))</f>
        <v>242</v>
      </c>
      <c r="AD401" s="3">
        <f>IF(ISERROR(VLOOKUP($A401,'SegEnds_NonXtal_BW#'!$A:$Z,21,FALSE)+VLOOKUP($A401,A:AL,31,FALSE)-50),"-",(VLOOKUP($A401,'SegEnds_NonXtal_BW#'!$A:$Z,21,FALSE)+VLOOKUP($A401,A:AL,31,FALSE)-50))</f>
        <v>252</v>
      </c>
      <c r="AE401" s="3">
        <v>273</v>
      </c>
      <c r="AF401" s="3">
        <f>IF(ISERROR((VLOOKUP($A401,'SegEnds_NonXtal_BW#'!$A:$Z,22,FALSE)+VLOOKUP($A401,A:AL,31,FALSE)-50)),"-",(VLOOKUP($A401,'SegEnds_NonXtal_BW#'!$A:$Z,22,FALSE)+VLOOKUP($A401,A:AL,31,FALSE)-50))</f>
        <v>284</v>
      </c>
      <c r="AG401" s="3">
        <f>IF(ISERROR(VLOOKUP($A401,'SegEnds_NonXtal_BW#'!$A:$Z,23,FALSE)+VLOOKUP($A401,A:AL,34,FALSE)-50),"-",(VLOOKUP($A401,'SegEnds_NonXtal_BW#'!$A:$Z,23,FALSE)+VLOOKUP($A401,A:AL,34,FALSE)-50))</f>
        <v>289</v>
      </c>
      <c r="AH401" s="3">
        <v>308</v>
      </c>
      <c r="AI401" s="3">
        <f>IF(ISERROR((VLOOKUP($A401,'SegEnds_NonXtal_BW#'!$A:$Z,24,FALSE)+VLOOKUP($A401,A:AL,34,FALSE)-50)),"-",(VLOOKUP($A401,'SegEnds_NonXtal_BW#'!$A:$Z,24,FALSE)+VLOOKUP($A401,A:AL,34,FALSE)-50))</f>
        <v>314</v>
      </c>
      <c r="AJ401" s="3">
        <f>IF(ISERROR(VLOOKUP($A401,'SegEnds_NonXtal_BW#'!$A:$Z,25,FALSE)+VLOOKUP($A401,A:AL,37,FALSE)-50),"-",(VLOOKUP($A401,'SegEnds_NonXtal_BW#'!$A:$Z,25,FALSE)+VLOOKUP($A401,A:AL,37,FALSE)-50))</f>
        <v>315</v>
      </c>
      <c r="AK401" s="3">
        <v>318</v>
      </c>
      <c r="AL401" s="3">
        <f>IF(ISERROR((VLOOKUP($A401,'SegEnds_NonXtal_BW#'!$A:$Z,26,FALSE)+VLOOKUP($A401,A:AL,37,FALSE)-50)),"-",(VLOOKUP($A401,'SegEnds_NonXtal_BW#'!$A:$Z,26,FALSE)+VLOOKUP($A401,A:AL,37,FALSE)-50))</f>
        <v>328</v>
      </c>
      <c r="AM401" s="28" t="str">
        <f>VLOOKUP(A401,Classification!A:B,2,FALSE)</f>
        <v>T</v>
      </c>
      <c r="AN401" s="28" t="b">
        <f t="shared" si="269"/>
        <v>1</v>
      </c>
      <c r="AO401" s="3" t="str">
        <f>IF(ISERROR(MATCH(A401,'SegEnds_Xtal_Prot#'!B:B, 0)), "NoXtal", "Xtal")</f>
        <v>NoXtal</v>
      </c>
      <c r="AP401" s="3">
        <f t="shared" si="254"/>
        <v>1</v>
      </c>
      <c r="AQ401" s="3">
        <f t="shared" si="255"/>
        <v>1</v>
      </c>
      <c r="AR401" s="3" t="str">
        <f t="shared" si="256"/>
        <v>-</v>
      </c>
      <c r="AS401" s="3" t="str">
        <f t="shared" si="257"/>
        <v>-</v>
      </c>
      <c r="AT401" s="3">
        <f t="shared" si="258"/>
        <v>3</v>
      </c>
      <c r="AU401" s="3">
        <f t="shared" si="259"/>
        <v>1</v>
      </c>
      <c r="AV401" s="3" t="str">
        <f t="shared" si="260"/>
        <v>-</v>
      </c>
      <c r="AW401" s="3" t="str">
        <f t="shared" si="261"/>
        <v>-</v>
      </c>
      <c r="AX401" s="3">
        <f t="shared" si="262"/>
        <v>10</v>
      </c>
      <c r="AY401" s="3">
        <f t="shared" si="263"/>
        <v>5</v>
      </c>
      <c r="AZ401" s="3">
        <f t="shared" si="264"/>
        <v>1</v>
      </c>
      <c r="BA401" s="3">
        <f>IF(ISERROR(LEN(VLOOKUP(A401,Seqs!A:E,2,FALSE))-AL401),"-",LEN(VLOOKUP(A401,Seqs!A:E,2,FALSE))-AL401)</f>
        <v>10</v>
      </c>
      <c r="BB401" s="16">
        <f t="shared" si="265"/>
        <v>31</v>
      </c>
      <c r="BC401" s="9">
        <f t="shared" si="266"/>
        <v>20</v>
      </c>
      <c r="BD401" s="3">
        <f t="shared" si="267"/>
        <v>31</v>
      </c>
      <c r="BE401" s="3">
        <f t="shared" si="268"/>
        <v>53</v>
      </c>
      <c r="BF401" s="3">
        <f t="shared" si="253"/>
        <v>35</v>
      </c>
    </row>
    <row r="402" spans="1:58" s="3" customFormat="1" x14ac:dyDescent="0.2">
      <c r="A402" s="3" t="s">
        <v>466</v>
      </c>
      <c r="B402" s="3" t="str">
        <f>LOWER(VLOOKUP(A402,Xtal_Templ!A:B,2,FALSE))</f>
        <v>5ht2a_human</v>
      </c>
      <c r="C402" s="3">
        <f>VLOOKUP($A402,'SegEnds_NonXtal_BW#'!$A:$Z,3,FALSE)+D402-50</f>
        <v>18</v>
      </c>
      <c r="D402" s="3">
        <v>36</v>
      </c>
      <c r="E402" s="3">
        <f t="shared" si="248"/>
        <v>48</v>
      </c>
      <c r="F402" s="3">
        <f t="shared" si="249"/>
        <v>49</v>
      </c>
      <c r="G402" s="3">
        <v>51</v>
      </c>
      <c r="H402" s="3">
        <f t="shared" si="250"/>
        <v>52</v>
      </c>
      <c r="I402" s="3">
        <f t="shared" si="250"/>
        <v>53</v>
      </c>
      <c r="J402" s="3">
        <v>67</v>
      </c>
      <c r="K402" s="3">
        <f>VLOOKUP($A402,'SegEnds_NonXtal_BW#'!$A:$Z,8,FALSE)+VLOOKUP($A402,A:AL,10,FALSE)-50</f>
        <v>83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87</v>
      </c>
      <c r="P402" s="3">
        <v>119</v>
      </c>
      <c r="Q402" s="3">
        <f>VLOOKUP($A402,'SegEnds_NonXtal_BW#'!$A:$Z,12,FALSE)+VLOOKUP($A402,A:AL,16,FALSE)-50</f>
        <v>125</v>
      </c>
      <c r="R402" s="3">
        <f t="shared" si="251"/>
        <v>128</v>
      </c>
      <c r="S402" s="3">
        <v>128</v>
      </c>
      <c r="T402" s="100">
        <f t="shared" si="252"/>
        <v>135</v>
      </c>
      <c r="U402" s="9">
        <f>IF(ISERROR(VLOOKUP($A402,'SegEnds_NonXtal_BW#'!$A:$Z,15,FALSE)+VLOOKUP($A402,A:AL,22,FALSE)-50),"-",VLOOKUP($A402,'SegEnds_NonXtal_BW#'!$A:$Z,15,FALSE)+VLOOKUP($A402,A:AL,22,FALSE)-50)</f>
        <v>136</v>
      </c>
      <c r="V402" s="3">
        <v>148</v>
      </c>
      <c r="W402" s="3">
        <f>IF(ISERROR(VLOOKUP($A402,'SegEnds_NonXtal_BW#'!$A:$Z,16,FALSE)+VLOOKUP($A402,A:AL,22,FALSE)-50),"-",(VLOOKUP($A402,'SegEnds_NonXtal_BW#'!$A:$Z,16,FALSE)+VLOOKUP($A402,A:AL,22,FALSE)-50))</f>
        <v>165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274</v>
      </c>
      <c r="AH402" s="3">
        <v>293</v>
      </c>
      <c r="AI402" s="3">
        <f>IF(ISERROR((VLOOKUP($A402,'SegEnds_NonXtal_BW#'!$A:$Z,24,FALSE)+VLOOKUP($A402,A:AL,34,FALSE)-50)),"-",(VLOOKUP($A402,'SegEnds_NonXtal_BW#'!$A:$Z,24,FALSE)+VLOOKUP($A402,A:AL,34,FALSE)-50))</f>
        <v>299</v>
      </c>
      <c r="AJ402" s="3">
        <f>IF(ISERROR(VLOOKUP($A402,'SegEnds_NonXtal_BW#'!$A:$Z,25,FALSE)+VLOOKUP($A402,A:AL,37,FALSE)-50),"-",(VLOOKUP($A402,'SegEnds_NonXtal_BW#'!$A:$Z,25,FALSE)+VLOOKUP($A402,A:AL,37,FALSE)-50))</f>
        <v>300</v>
      </c>
      <c r="AK402" s="3">
        <v>303</v>
      </c>
      <c r="AL402" s="3">
        <f>IF(ISERROR((VLOOKUP($A402,'SegEnds_NonXtal_BW#'!$A:$Z,26,FALSE)+VLOOKUP($A402,A:AL,37,FALSE)-50)),"-",(VLOOKUP($A402,'SegEnds_NonXtal_BW#'!$A:$Z,26,FALSE)+VLOOKUP($A402,A:AL,37,FALSE)-50))</f>
        <v>313</v>
      </c>
      <c r="AM402" s="28" t="str">
        <f>VLOOKUP(A402,Classification!A:B,2,FALSE)</f>
        <v>T</v>
      </c>
      <c r="AN402" s="28" t="b">
        <f t="shared" si="269"/>
        <v>1</v>
      </c>
      <c r="AO402" s="3" t="str">
        <f>IF(ISERROR(MATCH(A402,'SegEnds_Xtal_Prot#'!B:B, 0)), "NoXtal", "Xtal")</f>
        <v>NoXtal</v>
      </c>
      <c r="AP402" s="3">
        <f t="shared" si="254"/>
        <v>1</v>
      </c>
      <c r="AQ402" s="3">
        <f t="shared" si="255"/>
        <v>1</v>
      </c>
      <c r="AR402" s="3" t="str">
        <f t="shared" si="256"/>
        <v>-</v>
      </c>
      <c r="AS402" s="3" t="str">
        <f t="shared" si="257"/>
        <v>-</v>
      </c>
      <c r="AT402" s="3">
        <f t="shared" si="258"/>
        <v>3</v>
      </c>
      <c r="AU402" s="3">
        <f t="shared" si="259"/>
        <v>1</v>
      </c>
      <c r="AV402" s="3" t="str">
        <f t="shared" si="260"/>
        <v>-</v>
      </c>
      <c r="AW402" s="3" t="str">
        <f t="shared" si="261"/>
        <v>-</v>
      </c>
      <c r="AX402" s="3">
        <f t="shared" si="262"/>
        <v>10</v>
      </c>
      <c r="AY402" s="3">
        <f t="shared" si="263"/>
        <v>5</v>
      </c>
      <c r="AZ402" s="3">
        <f t="shared" si="264"/>
        <v>1</v>
      </c>
      <c r="BA402" s="3">
        <f>IF(ISERROR(LEN(VLOOKUP(A402,Seqs!A:E,2,FALSE))-AL402),"-",LEN(VLOOKUP(A402,Seqs!A:E,2,FALSE))-AL402)</f>
        <v>10</v>
      </c>
      <c r="BB402" s="16">
        <f t="shared" si="265"/>
        <v>31</v>
      </c>
      <c r="BC402" s="9">
        <f t="shared" si="266"/>
        <v>20</v>
      </c>
      <c r="BD402" s="3">
        <f t="shared" si="267"/>
        <v>31</v>
      </c>
      <c r="BE402" s="3">
        <f t="shared" si="268"/>
        <v>53</v>
      </c>
      <c r="BF402" s="3">
        <f t="shared" si="253"/>
        <v>35</v>
      </c>
    </row>
    <row r="403" spans="1:58" s="3" customFormat="1" x14ac:dyDescent="0.2">
      <c r="A403" s="3" t="s">
        <v>467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48"/>
        <v>36</v>
      </c>
      <c r="F403" s="3">
        <f t="shared" si="249"/>
        <v>37</v>
      </c>
      <c r="G403" s="3">
        <v>39</v>
      </c>
      <c r="H403" s="3">
        <f t="shared" si="250"/>
        <v>40</v>
      </c>
      <c r="I403" s="3">
        <f t="shared" si="250"/>
        <v>41</v>
      </c>
      <c r="J403" s="3">
        <v>55</v>
      </c>
      <c r="K403" s="3">
        <f>VLOOKUP($A403,'SegEnds_NonXtal_BW#'!$A:$Z,8,FALSE)+VLOOKUP($A403,A:AL,10,FALSE)-50</f>
        <v>72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78</v>
      </c>
      <c r="P403" s="3">
        <v>107</v>
      </c>
      <c r="Q403" s="3">
        <f>VLOOKUP($A403,'SegEnds_NonXtal_BW#'!$A:$Z,12,FALSE)+VLOOKUP($A403,A:AL,16,FALSE)-50</f>
        <v>113</v>
      </c>
      <c r="R403" s="3">
        <f t="shared" si="251"/>
        <v>116</v>
      </c>
      <c r="S403" s="3">
        <v>116</v>
      </c>
      <c r="T403" s="100">
        <f t="shared" si="252"/>
        <v>123</v>
      </c>
      <c r="U403" s="9">
        <f>IF(ISERROR(VLOOKUP($A403,'SegEnds_NonXtal_BW#'!$A:$Z,15,FALSE)+VLOOKUP($A403,A:AL,22,FALSE)-50),"-",VLOOKUP($A403,'SegEnds_NonXtal_BW#'!$A:$Z,15,FALSE)+VLOOKUP($A403,A:AL,22,FALSE)-50)</f>
        <v>124</v>
      </c>
      <c r="V403" s="3">
        <v>136</v>
      </c>
      <c r="W403" s="3">
        <f>IF(ISERROR(VLOOKUP($A403,'SegEnds_NonXtal_BW#'!$A:$Z,16,FALSE)+VLOOKUP($A403,A:AL,22,FALSE)-50),"-",(VLOOKUP($A403,'SegEnds_NonXtal_BW#'!$A:$Z,16,FALSE)+VLOOKUP($A403,A:AL,22,FALSE)-50))</f>
        <v>148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174</v>
      </c>
      <c r="AB403" s="3">
        <v>192</v>
      </c>
      <c r="AC403" s="3">
        <f>IF(ISERROR((VLOOKUP($A403,'SegEnds_NonXtal_BW#'!$A:$Z,20,FALSE)+VLOOKUP($A403,A:AL,28,FALSE)-50)),"-",(VLOOKUP($A403,'SegEnds_NonXtal_BW#'!$A:$Z,20,FALSE)+VLOOKUP($A403,A:AL,28,FALSE)-50))</f>
        <v>214</v>
      </c>
      <c r="AD403" s="3">
        <f>IF(ISERROR(VLOOKUP($A403,'SegEnds_NonXtal_BW#'!$A:$Z,21,FALSE)+VLOOKUP($A403,A:AL,31,FALSE)-50),"-",(VLOOKUP($A403,'SegEnds_NonXtal_BW#'!$A:$Z,21,FALSE)+VLOOKUP($A403,A:AL,31,FALSE)-50))</f>
        <v>224</v>
      </c>
      <c r="AE403" s="3">
        <v>245</v>
      </c>
      <c r="AF403" s="3">
        <f>IF(ISERROR((VLOOKUP($A403,'SegEnds_NonXtal_BW#'!$A:$Z,22,FALSE)+VLOOKUP($A403,A:AL,31,FALSE)-50)),"-",(VLOOKUP($A403,'SegEnds_NonXtal_BW#'!$A:$Z,22,FALSE)+VLOOKUP($A403,A:AL,31,FALSE)-50))</f>
        <v>256</v>
      </c>
      <c r="AG403" s="3">
        <f>IF(ISERROR(VLOOKUP($A403,'SegEnds_NonXtal_BW#'!$A:$Z,23,FALSE)+VLOOKUP($A403,A:AL,34,FALSE)-50),"-",(VLOOKUP($A403,'SegEnds_NonXtal_BW#'!$A:$Z,23,FALSE)+VLOOKUP($A403,A:AL,34,FALSE)-50))</f>
        <v>261</v>
      </c>
      <c r="AH403" s="3">
        <v>280</v>
      </c>
      <c r="AI403" s="3">
        <f>IF(ISERROR((VLOOKUP($A403,'SegEnds_NonXtal_BW#'!$A:$Z,24,FALSE)+VLOOKUP($A403,A:AL,34,FALSE)-50)),"-",(VLOOKUP($A403,'SegEnds_NonXtal_BW#'!$A:$Z,24,FALSE)+VLOOKUP($A403,A:AL,34,FALSE)-50))</f>
        <v>286</v>
      </c>
      <c r="AJ403" s="3">
        <f>IF(ISERROR(VLOOKUP($A403,'SegEnds_NonXtal_BW#'!$A:$Z,25,FALSE)+VLOOKUP($A403,A:AL,37,FALSE)-50),"-",(VLOOKUP($A403,'SegEnds_NonXtal_BW#'!$A:$Z,25,FALSE)+VLOOKUP($A403,A:AL,37,FALSE)-50))</f>
        <v>287</v>
      </c>
      <c r="AK403" s="3">
        <v>290</v>
      </c>
      <c r="AL403" s="3">
        <f>IF(ISERROR((VLOOKUP($A403,'SegEnds_NonXtal_BW#'!$A:$Z,26,FALSE)+VLOOKUP($A403,A:AL,37,FALSE)-50)),"-",(VLOOKUP($A403,'SegEnds_NonXtal_BW#'!$A:$Z,26,FALSE)+VLOOKUP($A403,A:AL,37,FALSE)-50))</f>
        <v>300</v>
      </c>
      <c r="AM403" s="28" t="str">
        <f>VLOOKUP(A403,Classification!A:B,2,FALSE)</f>
        <v>T</v>
      </c>
      <c r="AN403" s="28" t="b">
        <f t="shared" si="269"/>
        <v>1</v>
      </c>
      <c r="AO403" s="3" t="str">
        <f>IF(ISERROR(MATCH(A403,'SegEnds_Xtal_Prot#'!B:B, 0)), "NoXtal", "Xtal")</f>
        <v>NoXtal</v>
      </c>
      <c r="AP403" s="3">
        <f t="shared" si="254"/>
        <v>1</v>
      </c>
      <c r="AQ403" s="3">
        <f t="shared" si="255"/>
        <v>1</v>
      </c>
      <c r="AR403" s="3" t="str">
        <f t="shared" si="256"/>
        <v>-</v>
      </c>
      <c r="AS403" s="3" t="str">
        <f t="shared" si="257"/>
        <v>-</v>
      </c>
      <c r="AT403" s="3">
        <f t="shared" si="258"/>
        <v>3</v>
      </c>
      <c r="AU403" s="3">
        <f t="shared" si="259"/>
        <v>1</v>
      </c>
      <c r="AV403" s="3" t="str">
        <f t="shared" si="260"/>
        <v>-</v>
      </c>
      <c r="AW403" s="3" t="str">
        <f t="shared" si="261"/>
        <v>-</v>
      </c>
      <c r="AX403" s="3">
        <f t="shared" si="262"/>
        <v>10</v>
      </c>
      <c r="AY403" s="3">
        <f t="shared" si="263"/>
        <v>5</v>
      </c>
      <c r="AZ403" s="3">
        <f t="shared" si="264"/>
        <v>1</v>
      </c>
      <c r="BA403" s="3">
        <f>IF(ISERROR(LEN(VLOOKUP(A403,Seqs!A:E,2,FALSE))-AL403),"-",LEN(VLOOKUP(A403,Seqs!A:E,2,FALSE))-AL403)</f>
        <v>7</v>
      </c>
      <c r="BB403" s="16">
        <f t="shared" si="265"/>
        <v>31</v>
      </c>
      <c r="BC403" s="9">
        <f t="shared" si="266"/>
        <v>20</v>
      </c>
      <c r="BD403" s="3">
        <f t="shared" si="267"/>
        <v>31</v>
      </c>
      <c r="BE403" s="3">
        <f t="shared" si="268"/>
        <v>53</v>
      </c>
      <c r="BF403" s="3">
        <f t="shared" si="253"/>
        <v>35</v>
      </c>
    </row>
    <row r="404" spans="1:58" s="3" customFormat="1" x14ac:dyDescent="0.2">
      <c r="A404" s="3" t="s">
        <v>468</v>
      </c>
      <c r="B404" s="3" t="str">
        <f>LOWER(VLOOKUP(A404,Xtal_Templ!A:B,2,FALSE))</f>
        <v>hrh1_human</v>
      </c>
      <c r="C404" s="3">
        <f>VLOOKUP($A404,'SegEnds_NonXtal_BW#'!$A:$Z,3,FALSE)+D404-50</f>
        <v>6</v>
      </c>
      <c r="D404" s="3">
        <v>24</v>
      </c>
      <c r="E404" s="3">
        <f t="shared" si="248"/>
        <v>36</v>
      </c>
      <c r="F404" s="3">
        <f t="shared" si="249"/>
        <v>37</v>
      </c>
      <c r="G404" s="3">
        <v>39</v>
      </c>
      <c r="H404" s="3">
        <f t="shared" si="250"/>
        <v>40</v>
      </c>
      <c r="I404" s="3">
        <f t="shared" si="250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51"/>
        <v>116</v>
      </c>
      <c r="S404" s="3">
        <v>116</v>
      </c>
      <c r="T404" s="100">
        <f t="shared" si="252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281</v>
      </c>
      <c r="AI404" s="3">
        <f>IF(ISERROR((VLOOKUP($A404,'SegEnds_NonXtal_BW#'!$A:$Z,24,FALSE)+VLOOKUP($A404,A:AL,34,FALSE)-50)),"-",(VLOOKUP($A404,'SegEnds_NonXtal_BW#'!$A:$Z,24,FALSE)+VLOOKUP($A404,A:AL,34,FALSE)-50))</f>
        <v>287</v>
      </c>
      <c r="AJ404" s="3">
        <f>IF(ISERROR(VLOOKUP($A404,'SegEnds_NonXtal_BW#'!$A:$Z,25,FALSE)+VLOOKUP($A404,A:AL,37,FALSE)-50),"-",(VLOOKUP($A404,'SegEnds_NonXtal_BW#'!$A:$Z,25,FALSE)+VLOOKUP($A404,A:AL,37,FALSE)-50))</f>
        <v>288</v>
      </c>
      <c r="AK404" s="3">
        <v>291</v>
      </c>
      <c r="AL404" s="3">
        <f>IF(ISERROR((VLOOKUP($A404,'SegEnds_NonXtal_BW#'!$A:$Z,26,FALSE)+VLOOKUP($A404,A:AL,37,FALSE)-50)),"-",(VLOOKUP($A404,'SegEnds_NonXtal_BW#'!$A:$Z,26,FALSE)+VLOOKUP($A404,A:AL,37,FALSE)-50))</f>
        <v>301</v>
      </c>
      <c r="AM404" s="28" t="str">
        <f>VLOOKUP(A404,Classification!A:B,2,FALSE)</f>
        <v>T</v>
      </c>
      <c r="AN404" s="28" t="b">
        <f t="shared" si="269"/>
        <v>1</v>
      </c>
      <c r="AO404" s="3" t="str">
        <f>IF(ISERROR(MATCH(A404,'SegEnds_Xtal_Prot#'!B:B, 0)), "NoXtal", "Xtal")</f>
        <v>NoXtal</v>
      </c>
      <c r="AP404" s="3">
        <f t="shared" si="254"/>
        <v>1</v>
      </c>
      <c r="AQ404" s="3">
        <f t="shared" si="255"/>
        <v>1</v>
      </c>
      <c r="AR404" s="3" t="str">
        <f t="shared" si="256"/>
        <v>-</v>
      </c>
      <c r="AS404" s="3" t="str">
        <f t="shared" si="257"/>
        <v>-</v>
      </c>
      <c r="AT404" s="3">
        <f t="shared" si="258"/>
        <v>3</v>
      </c>
      <c r="AU404" s="3">
        <f t="shared" si="259"/>
        <v>1</v>
      </c>
      <c r="AV404" s="3" t="str">
        <f t="shared" si="260"/>
        <v>-</v>
      </c>
      <c r="AW404" s="3" t="str">
        <f t="shared" si="261"/>
        <v>-</v>
      </c>
      <c r="AX404" s="3">
        <f t="shared" si="262"/>
        <v>10</v>
      </c>
      <c r="AY404" s="3">
        <f t="shared" si="263"/>
        <v>6</v>
      </c>
      <c r="AZ404" s="3">
        <f t="shared" si="264"/>
        <v>1</v>
      </c>
      <c r="BA404" s="3">
        <f>IF(ISERROR(LEN(VLOOKUP(A404,Seqs!A:E,2,FALSE))-AL404),"-",LEN(VLOOKUP(A404,Seqs!A:E,2,FALSE))-AL404)</f>
        <v>13</v>
      </c>
      <c r="BB404" s="16">
        <f t="shared" si="265"/>
        <v>31</v>
      </c>
      <c r="BC404" s="9">
        <f t="shared" si="266"/>
        <v>20</v>
      </c>
      <c r="BD404" s="3">
        <f t="shared" si="267"/>
        <v>31</v>
      </c>
      <c r="BE404" s="3">
        <f t="shared" si="268"/>
        <v>53</v>
      </c>
      <c r="BF404" s="3">
        <f t="shared" si="253"/>
        <v>36</v>
      </c>
    </row>
    <row r="405" spans="1:58" s="3" customFormat="1" x14ac:dyDescent="0.2">
      <c r="A405" s="3" t="s">
        <v>469</v>
      </c>
      <c r="B405" s="3" t="str">
        <f>LOWER(VLOOKUP(A405,Xtal_Templ!A:B,2,FALSE))</f>
        <v>drd2_human</v>
      </c>
      <c r="C405" s="3">
        <f>VLOOKUP($A405,'SegEnds_NonXtal_BW#'!$A:$Z,3,FALSE)+D405-50</f>
        <v>6</v>
      </c>
      <c r="D405" s="3">
        <v>24</v>
      </c>
      <c r="E405" s="3">
        <f t="shared" si="248"/>
        <v>36</v>
      </c>
      <c r="F405" s="3">
        <f t="shared" si="249"/>
        <v>37</v>
      </c>
      <c r="G405" s="3">
        <v>39</v>
      </c>
      <c r="H405" s="3">
        <f t="shared" si="250"/>
        <v>40</v>
      </c>
      <c r="I405" s="3">
        <f t="shared" si="250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51"/>
        <v>115</v>
      </c>
      <c r="S405" s="3">
        <v>115</v>
      </c>
      <c r="T405" s="100">
        <f t="shared" si="252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147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169</v>
      </c>
      <c r="AB405" s="3">
        <v>187</v>
      </c>
      <c r="AC405" s="3">
        <f>IF(ISERROR((VLOOKUP($A405,'SegEnds_NonXtal_BW#'!$A:$Z,20,FALSE)+VLOOKUP($A405,A:AL,28,FALSE)-50)),"-",(VLOOKUP($A405,'SegEnds_NonXtal_BW#'!$A:$Z,20,FALSE)+VLOOKUP($A405,A:AL,28,FALSE)-50))</f>
        <v>209</v>
      </c>
      <c r="AD405" s="3">
        <f>IF(ISERROR(VLOOKUP($A405,'SegEnds_NonXtal_BW#'!$A:$Z,21,FALSE)+VLOOKUP($A405,A:AL,31,FALSE)-50),"-",(VLOOKUP($A405,'SegEnds_NonXtal_BW#'!$A:$Z,21,FALSE)+VLOOKUP($A405,A:AL,31,FALSE)-50))</f>
        <v>219</v>
      </c>
      <c r="AE405" s="3">
        <v>240</v>
      </c>
      <c r="AF405" s="3">
        <f>IF(ISERROR((VLOOKUP($A405,'SegEnds_NonXtal_BW#'!$A:$Z,22,FALSE)+VLOOKUP($A405,A:AL,31,FALSE)-50)),"-",(VLOOKUP($A405,'SegEnds_NonXtal_BW#'!$A:$Z,22,FALSE)+VLOOKUP($A405,A:AL,31,FALSE)-50))</f>
        <v>251</v>
      </c>
      <c r="AG405" s="3">
        <f>IF(ISERROR(VLOOKUP($A405,'SegEnds_NonXtal_BW#'!$A:$Z,23,FALSE)+VLOOKUP($A405,A:AL,34,FALSE)-50),"-",(VLOOKUP($A405,'SegEnds_NonXtal_BW#'!$A:$Z,23,FALSE)+VLOOKUP($A405,A:AL,34,FALSE)-50))</f>
        <v>257</v>
      </c>
      <c r="AH405" s="3">
        <v>276</v>
      </c>
      <c r="AI405" s="3">
        <f>IF(ISERROR((VLOOKUP($A405,'SegEnds_NonXtal_BW#'!$A:$Z,24,FALSE)+VLOOKUP($A405,A:AL,34,FALSE)-50)),"-",(VLOOKUP($A405,'SegEnds_NonXtal_BW#'!$A:$Z,24,FALSE)+VLOOKUP($A405,A:AL,34,FALSE)-50))</f>
        <v>282</v>
      </c>
      <c r="AJ405" s="3">
        <f>IF(ISERROR(VLOOKUP($A405,'SegEnds_NonXtal_BW#'!$A:$Z,25,FALSE)+VLOOKUP($A405,A:AL,37,FALSE)-50),"-",(VLOOKUP($A405,'SegEnds_NonXtal_BW#'!$A:$Z,25,FALSE)+VLOOKUP($A405,A:AL,37,FALSE)-50))</f>
        <v>283</v>
      </c>
      <c r="AK405" s="3">
        <v>286</v>
      </c>
      <c r="AL405" s="3">
        <f>IF(ISERROR((VLOOKUP($A405,'SegEnds_NonXtal_BW#'!$A:$Z,26,FALSE)+VLOOKUP($A405,A:AL,37,FALSE)-50)),"-",(VLOOKUP($A405,'SegEnds_NonXtal_BW#'!$A:$Z,26,FALSE)+VLOOKUP($A405,A:AL,37,FALSE)-50))</f>
        <v>296</v>
      </c>
      <c r="AM405" s="28" t="str">
        <f>VLOOKUP(A405,Classification!A:B,2,FALSE)</f>
        <v>T</v>
      </c>
      <c r="AN405" s="28" t="b">
        <f t="shared" si="269"/>
        <v>1</v>
      </c>
      <c r="AO405" s="3" t="str">
        <f>IF(ISERROR(MATCH(A405,'SegEnds_Xtal_Prot#'!B:B, 0)), "NoXtal", "Xtal")</f>
        <v>NoXtal</v>
      </c>
      <c r="AP405" s="3">
        <f t="shared" si="254"/>
        <v>1</v>
      </c>
      <c r="AQ405" s="3">
        <f t="shared" si="255"/>
        <v>1</v>
      </c>
      <c r="AR405" s="3" t="str">
        <f t="shared" si="256"/>
        <v>-</v>
      </c>
      <c r="AS405" s="3" t="str">
        <f t="shared" si="257"/>
        <v>-</v>
      </c>
      <c r="AT405" s="3">
        <f t="shared" si="258"/>
        <v>3</v>
      </c>
      <c r="AU405" s="3">
        <f t="shared" si="259"/>
        <v>1</v>
      </c>
      <c r="AV405" s="3" t="str">
        <f t="shared" si="260"/>
        <v>-</v>
      </c>
      <c r="AW405" s="3" t="str">
        <f t="shared" si="261"/>
        <v>-</v>
      </c>
      <c r="AX405" s="3">
        <f t="shared" si="262"/>
        <v>10</v>
      </c>
      <c r="AY405" s="3">
        <f t="shared" si="263"/>
        <v>6</v>
      </c>
      <c r="AZ405" s="3">
        <f t="shared" si="264"/>
        <v>1</v>
      </c>
      <c r="BA405" s="3">
        <f>IF(ISERROR(LEN(VLOOKUP(A405,Seqs!A:E,2,FALSE))-AL405),"-",LEN(VLOOKUP(A405,Seqs!A:E,2,FALSE))-AL405)</f>
        <v>13</v>
      </c>
      <c r="BB405" s="16">
        <f t="shared" si="265"/>
        <v>31</v>
      </c>
      <c r="BC405" s="9">
        <f t="shared" si="266"/>
        <v>20</v>
      </c>
      <c r="BD405" s="3">
        <f t="shared" si="267"/>
        <v>31</v>
      </c>
      <c r="BE405" s="3">
        <f t="shared" si="268"/>
        <v>53</v>
      </c>
      <c r="BF405" s="3">
        <f t="shared" si="253"/>
        <v>36</v>
      </c>
    </row>
    <row r="406" spans="1:58" s="3" customFormat="1" x14ac:dyDescent="0.2">
      <c r="A406" s="3" t="s">
        <v>929</v>
      </c>
      <c r="B406" s="3" t="str">
        <f>LOWER(VLOOKUP(A406,Xtal_Templ!A:B,2,FALSE))</f>
        <v>5ht2c_human</v>
      </c>
      <c r="C406" s="3">
        <f>VLOOKUP($A406,'SegEnds_NonXtal_BW#'!$A:$Z,3,FALSE)+D406-50</f>
        <v>6</v>
      </c>
      <c r="D406" s="3">
        <v>24</v>
      </c>
      <c r="E406" s="3">
        <f t="shared" si="248"/>
        <v>36</v>
      </c>
      <c r="F406" s="3">
        <f t="shared" si="249"/>
        <v>37</v>
      </c>
      <c r="G406" s="3">
        <v>39</v>
      </c>
      <c r="H406" s="3">
        <f t="shared" si="250"/>
        <v>40</v>
      </c>
      <c r="I406" s="3">
        <f t="shared" si="250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106</v>
      </c>
      <c r="Q406" s="3">
        <f>VLOOKUP($A406,'SegEnds_NonXtal_BW#'!$A:$Z,12,FALSE)+VLOOKUP($A406,A:AL,16,FALSE)-50</f>
        <v>112</v>
      </c>
      <c r="R406" s="3">
        <f t="shared" si="251"/>
        <v>115</v>
      </c>
      <c r="S406" s="3">
        <v>115</v>
      </c>
      <c r="T406" s="100">
        <f t="shared" si="252"/>
        <v>122</v>
      </c>
      <c r="U406" s="9">
        <f>IF(ISERROR(VLOOKUP($A406,'SegEnds_NonXtal_BW#'!$A:$Z,15,FALSE)+VLOOKUP($A406,A:AL,22,FALSE)-50),"-",VLOOKUP($A406,'SegEnds_NonXtal_BW#'!$A:$Z,15,FALSE)+VLOOKUP($A406,A:AL,22,FALSE)-50)</f>
        <v>123</v>
      </c>
      <c r="V406" s="3">
        <v>135</v>
      </c>
      <c r="W406" s="3">
        <f>IF(ISERROR(VLOOKUP($A406,'SegEnds_NonXtal_BW#'!$A:$Z,16,FALSE)+VLOOKUP($A406,A:AL,22,FALSE)-50),"-",(VLOOKUP($A406,'SegEnds_NonXtal_BW#'!$A:$Z,16,FALSE)+VLOOKUP($A406,A:AL,22,FALSE)-50))</f>
        <v>152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169</v>
      </c>
      <c r="AB406" s="3">
        <v>187</v>
      </c>
      <c r="AC406" s="3">
        <f>IF(ISERROR((VLOOKUP($A406,'SegEnds_NonXtal_BW#'!$A:$Z,20,FALSE)+VLOOKUP($A406,A:AL,28,FALSE)-50)),"-",(VLOOKUP($A406,'SegEnds_NonXtal_BW#'!$A:$Z,20,FALSE)+VLOOKUP($A406,A:AL,28,FALSE)-50))</f>
        <v>209</v>
      </c>
      <c r="AD406" s="3">
        <f>IF(ISERROR(VLOOKUP($A406,'SegEnds_NonXtal_BW#'!$A:$Z,21,FALSE)+VLOOKUP($A406,A:AL,31,FALSE)-50),"-",(VLOOKUP($A406,'SegEnds_NonXtal_BW#'!$A:$Z,21,FALSE)+VLOOKUP($A406,A:AL,31,FALSE)-50))</f>
        <v>222</v>
      </c>
      <c r="AE406" s="3">
        <v>243</v>
      </c>
      <c r="AF406" s="3">
        <f>IF(ISERROR((VLOOKUP($A406,'SegEnds_NonXtal_BW#'!$A:$Z,22,FALSE)+VLOOKUP($A406,A:AL,31,FALSE)-50)),"-",(VLOOKUP($A406,'SegEnds_NonXtal_BW#'!$A:$Z,22,FALSE)+VLOOKUP($A406,A:AL,31,FALSE)-50))</f>
        <v>254</v>
      </c>
      <c r="AG406" s="3">
        <f>IF(ISERROR(VLOOKUP($A406,'SegEnds_NonXtal_BW#'!$A:$Z,23,FALSE)+VLOOKUP($A406,A:AL,34,FALSE)-50),"-",(VLOOKUP($A406,'SegEnds_NonXtal_BW#'!$A:$Z,23,FALSE)+VLOOKUP($A406,A:AL,34,FALSE)-50))</f>
        <v>259</v>
      </c>
      <c r="AH406" s="3">
        <v>276</v>
      </c>
      <c r="AI406" s="3">
        <f>IF(ISERROR((VLOOKUP($A406,'SegEnds_NonXtal_BW#'!$A:$Z,24,FALSE)+VLOOKUP($A406,A:AL,34,FALSE)-50)),"-",(VLOOKUP($A406,'SegEnds_NonXtal_BW#'!$A:$Z,24,FALSE)+VLOOKUP($A406,A:AL,34,FALSE)-50))</f>
        <v>282</v>
      </c>
      <c r="AJ406" s="3">
        <f>IF(ISERROR(VLOOKUP($A406,'SegEnds_NonXtal_BW#'!$A:$Z,25,FALSE)+VLOOKUP($A406,A:AL,37,FALSE)-50),"-",(VLOOKUP($A406,'SegEnds_NonXtal_BW#'!$A:$Z,25,FALSE)+VLOOKUP($A406,A:AL,37,FALSE)-50))</f>
        <v>283</v>
      </c>
      <c r="AK406" s="3">
        <v>286</v>
      </c>
      <c r="AL406" s="3">
        <f>IF(ISERROR((VLOOKUP($A406,'SegEnds_NonXtal_BW#'!$A:$Z,26,FALSE)+VLOOKUP($A406,A:AL,37,FALSE)-50)),"-",(VLOOKUP($A406,'SegEnds_NonXtal_BW#'!$A:$Z,26,FALSE)+VLOOKUP($A406,A:AL,37,FALSE)-50))</f>
        <v>296</v>
      </c>
      <c r="AM406" s="28" t="str">
        <f>VLOOKUP(A406,Classification!A:B,2,FALSE)</f>
        <v>T</v>
      </c>
      <c r="AN406" s="28" t="b">
        <f t="shared" si="269"/>
        <v>1</v>
      </c>
      <c r="AO406" s="3" t="str">
        <f>IF(ISERROR(MATCH(A406,'SegEnds_Xtal_Prot#'!B:B, 0)), "NoXtal", "Xtal")</f>
        <v>NoXtal</v>
      </c>
      <c r="AP406" s="3">
        <f t="shared" si="254"/>
        <v>1</v>
      </c>
      <c r="AQ406" s="3">
        <f t="shared" si="255"/>
        <v>1</v>
      </c>
      <c r="AR406" s="3" t="str">
        <f t="shared" si="256"/>
        <v>-</v>
      </c>
      <c r="AS406" s="3" t="str">
        <f t="shared" si="257"/>
        <v>-</v>
      </c>
      <c r="AT406" s="3">
        <f t="shared" si="258"/>
        <v>3</v>
      </c>
      <c r="AU406" s="3">
        <f t="shared" si="259"/>
        <v>1</v>
      </c>
      <c r="AV406" s="3" t="str">
        <f t="shared" si="260"/>
        <v>-</v>
      </c>
      <c r="AW406" s="3" t="str">
        <f t="shared" si="261"/>
        <v>-</v>
      </c>
      <c r="AX406" s="3">
        <f t="shared" si="262"/>
        <v>13</v>
      </c>
      <c r="AY406" s="3">
        <f t="shared" si="263"/>
        <v>5</v>
      </c>
      <c r="AZ406" s="3">
        <f t="shared" si="264"/>
        <v>1</v>
      </c>
      <c r="BA406" s="3">
        <f>IF(ISERROR(LEN(VLOOKUP(A406,Seqs!A:E,2,FALSE))-AL406),"-",LEN(VLOOKUP(A406,Seqs!A:E,2,FALSE))-AL406)</f>
        <v>3</v>
      </c>
      <c r="BB406" s="16">
        <f t="shared" si="265"/>
        <v>31</v>
      </c>
      <c r="BC406" s="9">
        <f t="shared" si="266"/>
        <v>20</v>
      </c>
      <c r="BD406" s="3">
        <f t="shared" si="267"/>
        <v>31</v>
      </c>
      <c r="BE406" s="3">
        <f t="shared" si="268"/>
        <v>56</v>
      </c>
      <c r="BF406" s="3">
        <f t="shared" si="253"/>
        <v>33</v>
      </c>
    </row>
    <row r="407" spans="1:58" s="3" customFormat="1" x14ac:dyDescent="0.2">
      <c r="A407" s="3" t="s">
        <v>470</v>
      </c>
      <c r="B407" s="3" t="str">
        <f>LOWER(VLOOKUP(A407,Xtal_Templ!A:B,2,FALSE))</f>
        <v>5ht2c_human</v>
      </c>
      <c r="C407" s="3">
        <f>VLOOKUP($A407,'SegEnds_NonXtal_BW#'!$A:$Z,3,FALSE)+D407-50</f>
        <v>6</v>
      </c>
      <c r="D407" s="3">
        <v>24</v>
      </c>
      <c r="E407" s="3">
        <f t="shared" si="248"/>
        <v>36</v>
      </c>
      <c r="F407" s="3">
        <f t="shared" si="249"/>
        <v>37</v>
      </c>
      <c r="G407" s="3">
        <v>39</v>
      </c>
      <c r="H407" s="3">
        <f t="shared" si="250"/>
        <v>40</v>
      </c>
      <c r="I407" s="3">
        <f t="shared" si="250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51"/>
        <v>115</v>
      </c>
      <c r="S407" s="3">
        <v>115</v>
      </c>
      <c r="T407" s="100">
        <f t="shared" si="252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152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169</v>
      </c>
      <c r="AB407" s="3">
        <v>187</v>
      </c>
      <c r="AC407" s="3">
        <f>IF(ISERROR((VLOOKUP($A407,'SegEnds_NonXtal_BW#'!$A:$Z,20,FALSE)+VLOOKUP($A407,A:AL,28,FALSE)-50)),"-",(VLOOKUP($A407,'SegEnds_NonXtal_BW#'!$A:$Z,20,FALSE)+VLOOKUP($A407,A:AL,28,FALSE)-50))</f>
        <v>209</v>
      </c>
      <c r="AD407" s="3">
        <f>IF(ISERROR(VLOOKUP($A407,'SegEnds_NonXtal_BW#'!$A:$Z,21,FALSE)+VLOOKUP($A407,A:AL,31,FALSE)-50),"-",(VLOOKUP($A407,'SegEnds_NonXtal_BW#'!$A:$Z,21,FALSE)+VLOOKUP($A407,A:AL,31,FALSE)-50))</f>
        <v>219</v>
      </c>
      <c r="AE407" s="3">
        <v>240</v>
      </c>
      <c r="AF407" s="3">
        <f>IF(ISERROR((VLOOKUP($A407,'SegEnds_NonXtal_BW#'!$A:$Z,22,FALSE)+VLOOKUP($A407,A:AL,31,FALSE)-50)),"-",(VLOOKUP($A407,'SegEnds_NonXtal_BW#'!$A:$Z,22,FALSE)+VLOOKUP($A407,A:AL,31,FALSE)-50))</f>
        <v>251</v>
      </c>
      <c r="AG407" s="3">
        <f>IF(ISERROR(VLOOKUP($A407,'SegEnds_NonXtal_BW#'!$A:$Z,23,FALSE)+VLOOKUP($A407,A:AL,34,FALSE)-50),"-",(VLOOKUP($A407,'SegEnds_NonXtal_BW#'!$A:$Z,23,FALSE)+VLOOKUP($A407,A:AL,34,FALSE)-50))</f>
        <v>257</v>
      </c>
      <c r="AH407" s="3">
        <v>276</v>
      </c>
      <c r="AI407" s="3">
        <f>IF(ISERROR((VLOOKUP($A407,'SegEnds_NonXtal_BW#'!$A:$Z,24,FALSE)+VLOOKUP($A407,A:AL,34,FALSE)-50)),"-",(VLOOKUP($A407,'SegEnds_NonXtal_BW#'!$A:$Z,24,FALSE)+VLOOKUP($A407,A:AL,34,FALSE)-50))</f>
        <v>282</v>
      </c>
      <c r="AJ407" s="3">
        <f>IF(ISERROR(VLOOKUP($A407,'SegEnds_NonXtal_BW#'!$A:$Z,25,FALSE)+VLOOKUP($A407,A:AL,37,FALSE)-50),"-",(VLOOKUP($A407,'SegEnds_NonXtal_BW#'!$A:$Z,25,FALSE)+VLOOKUP($A407,A:AL,37,FALSE)-50))</f>
        <v>283</v>
      </c>
      <c r="AK407" s="3">
        <v>286</v>
      </c>
      <c r="AL407" s="3">
        <f>IF(ISERROR((VLOOKUP($A407,'SegEnds_NonXtal_BW#'!$A:$Z,26,FALSE)+VLOOKUP($A407,A:AL,37,FALSE)-50)),"-",(VLOOKUP($A407,'SegEnds_NonXtal_BW#'!$A:$Z,26,FALSE)+VLOOKUP($A407,A:AL,37,FALSE)-50))</f>
        <v>296</v>
      </c>
      <c r="AM407" s="28" t="str">
        <f>VLOOKUP(A407,Classification!A:B,2,FALSE)</f>
        <v>T</v>
      </c>
      <c r="AN407" s="28" t="b">
        <f t="shared" si="269"/>
        <v>1</v>
      </c>
      <c r="AO407" s="3" t="str">
        <f>IF(ISERROR(MATCH(A407,'SegEnds_Xtal_Prot#'!B:B, 0)), "NoXtal", "Xtal")</f>
        <v>NoXtal</v>
      </c>
      <c r="AP407" s="3">
        <f t="shared" si="254"/>
        <v>1</v>
      </c>
      <c r="AQ407" s="3">
        <f t="shared" si="255"/>
        <v>1</v>
      </c>
      <c r="AR407" s="3" t="str">
        <f t="shared" si="256"/>
        <v>-</v>
      </c>
      <c r="AS407" s="3" t="str">
        <f t="shared" si="257"/>
        <v>-</v>
      </c>
      <c r="AT407" s="3">
        <f t="shared" si="258"/>
        <v>3</v>
      </c>
      <c r="AU407" s="3">
        <f t="shared" si="259"/>
        <v>1</v>
      </c>
      <c r="AV407" s="3" t="str">
        <f t="shared" si="260"/>
        <v>-</v>
      </c>
      <c r="AW407" s="3" t="str">
        <f t="shared" si="261"/>
        <v>-</v>
      </c>
      <c r="AX407" s="3">
        <f t="shared" si="262"/>
        <v>10</v>
      </c>
      <c r="AY407" s="3">
        <f t="shared" si="263"/>
        <v>6</v>
      </c>
      <c r="AZ407" s="3">
        <f t="shared" si="264"/>
        <v>1</v>
      </c>
      <c r="BA407" s="3">
        <f>IF(ISERROR(LEN(VLOOKUP(A407,Seqs!A:E,2,FALSE))-AL407),"-",LEN(VLOOKUP(A407,Seqs!A:E,2,FALSE))-AL407)</f>
        <v>13</v>
      </c>
      <c r="BB407" s="16">
        <f t="shared" si="265"/>
        <v>31</v>
      </c>
      <c r="BC407" s="9">
        <f t="shared" si="266"/>
        <v>20</v>
      </c>
      <c r="BD407" s="3">
        <f t="shared" si="267"/>
        <v>31</v>
      </c>
      <c r="BE407" s="3">
        <f t="shared" si="268"/>
        <v>53</v>
      </c>
      <c r="BF407" s="3">
        <f t="shared" si="253"/>
        <v>36</v>
      </c>
    </row>
    <row r="408" spans="1:58" s="3" customFormat="1" x14ac:dyDescent="0.2">
      <c r="A408" s="3" t="s">
        <v>471</v>
      </c>
      <c r="B408" s="3" t="str">
        <f>LOWER(VLOOKUP(A408,Xtal_Templ!A:B,2,FALSE))</f>
        <v>drd2_human</v>
      </c>
      <c r="C408" s="3">
        <f>VLOOKUP($A408,'SegEnds_NonXtal_BW#'!$A:$Z,3,FALSE)+D408-50</f>
        <v>6</v>
      </c>
      <c r="D408" s="3">
        <v>24</v>
      </c>
      <c r="E408" s="3">
        <f t="shared" si="248"/>
        <v>36</v>
      </c>
      <c r="F408" s="3">
        <f t="shared" si="249"/>
        <v>37</v>
      </c>
      <c r="G408" s="3">
        <v>39</v>
      </c>
      <c r="H408" s="3">
        <f t="shared" si="250"/>
        <v>40</v>
      </c>
      <c r="I408" s="3">
        <f t="shared" si="250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106</v>
      </c>
      <c r="Q408" s="3">
        <f>VLOOKUP($A408,'SegEnds_NonXtal_BW#'!$A:$Z,12,FALSE)+VLOOKUP($A408,A:AL,16,FALSE)-50</f>
        <v>112</v>
      </c>
      <c r="R408" s="3">
        <f t="shared" si="251"/>
        <v>115</v>
      </c>
      <c r="S408" s="3">
        <v>115</v>
      </c>
      <c r="T408" s="100">
        <f t="shared" si="252"/>
        <v>122</v>
      </c>
      <c r="U408" s="9">
        <f>IF(ISERROR(VLOOKUP($A408,'SegEnds_NonXtal_BW#'!$A:$Z,15,FALSE)+VLOOKUP($A408,A:AL,22,FALSE)-50),"-",VLOOKUP($A408,'SegEnds_NonXtal_BW#'!$A:$Z,15,FALSE)+VLOOKUP($A408,A:AL,22,FALSE)-50)</f>
        <v>123</v>
      </c>
      <c r="V408" s="3">
        <v>135</v>
      </c>
      <c r="W408" s="3">
        <f>IF(ISERROR(VLOOKUP($A408,'SegEnds_NonXtal_BW#'!$A:$Z,16,FALSE)+VLOOKUP($A408,A:AL,22,FALSE)-50),"-",(VLOOKUP($A408,'SegEnds_NonXtal_BW#'!$A:$Z,16,FALSE)+VLOOKUP($A408,A:AL,22,FALSE)-50))</f>
        <v>147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169</v>
      </c>
      <c r="AB408" s="3">
        <v>187</v>
      </c>
      <c r="AC408" s="3">
        <f>IF(ISERROR((VLOOKUP($A408,'SegEnds_NonXtal_BW#'!$A:$Z,20,FALSE)+VLOOKUP($A408,A:AL,28,FALSE)-50)),"-",(VLOOKUP($A408,'SegEnds_NonXtal_BW#'!$A:$Z,20,FALSE)+VLOOKUP($A408,A:AL,28,FALSE)-50))</f>
        <v>209</v>
      </c>
      <c r="AD408" s="3">
        <f>IF(ISERROR(VLOOKUP($A408,'SegEnds_NonXtal_BW#'!$A:$Z,21,FALSE)+VLOOKUP($A408,A:AL,31,FALSE)-50),"-",(VLOOKUP($A408,'SegEnds_NonXtal_BW#'!$A:$Z,21,FALSE)+VLOOKUP($A408,A:AL,31,FALSE)-50))</f>
        <v>219</v>
      </c>
      <c r="AE408" s="3">
        <v>240</v>
      </c>
      <c r="AF408" s="3">
        <f>IF(ISERROR((VLOOKUP($A408,'SegEnds_NonXtal_BW#'!$A:$Z,22,FALSE)+VLOOKUP($A408,A:AL,31,FALSE)-50)),"-",(VLOOKUP($A408,'SegEnds_NonXtal_BW#'!$A:$Z,22,FALSE)+VLOOKUP($A408,A:AL,31,FALSE)-50))</f>
        <v>251</v>
      </c>
      <c r="AG408" s="3">
        <f>IF(ISERROR(VLOOKUP($A408,'SegEnds_NonXtal_BW#'!$A:$Z,23,FALSE)+VLOOKUP($A408,A:AL,34,FALSE)-50),"-",(VLOOKUP($A408,'SegEnds_NonXtal_BW#'!$A:$Z,23,FALSE)+VLOOKUP($A408,A:AL,34,FALSE)-50))</f>
        <v>257</v>
      </c>
      <c r="AH408" s="3">
        <v>276</v>
      </c>
      <c r="AI408" s="3">
        <f>IF(ISERROR((VLOOKUP($A408,'SegEnds_NonXtal_BW#'!$A:$Z,24,FALSE)+VLOOKUP($A408,A:AL,34,FALSE)-50)),"-",(VLOOKUP($A408,'SegEnds_NonXtal_BW#'!$A:$Z,24,FALSE)+VLOOKUP($A408,A:AL,34,FALSE)-50))</f>
        <v>282</v>
      </c>
      <c r="AJ408" s="3">
        <f>IF(ISERROR(VLOOKUP($A408,'SegEnds_NonXtal_BW#'!$A:$Z,25,FALSE)+VLOOKUP($A408,A:AL,37,FALSE)-50),"-",(VLOOKUP($A408,'SegEnds_NonXtal_BW#'!$A:$Z,25,FALSE)+VLOOKUP($A408,A:AL,37,FALSE)-50))</f>
        <v>283</v>
      </c>
      <c r="AK408" s="3">
        <v>286</v>
      </c>
      <c r="AL408" s="3">
        <f>IF(ISERROR((VLOOKUP($A408,'SegEnds_NonXtal_BW#'!$A:$Z,26,FALSE)+VLOOKUP($A408,A:AL,37,FALSE)-50)),"-",(VLOOKUP($A408,'SegEnds_NonXtal_BW#'!$A:$Z,26,FALSE)+VLOOKUP($A408,A:AL,37,FALSE)-50))</f>
        <v>296</v>
      </c>
      <c r="AM408" s="28" t="str">
        <f>VLOOKUP(A408,Classification!A:B,2,FALSE)</f>
        <v>T</v>
      </c>
      <c r="AN408" s="28" t="b">
        <f t="shared" si="269"/>
        <v>1</v>
      </c>
      <c r="AO408" s="3" t="str">
        <f>IF(ISERROR(MATCH(A408,'SegEnds_Xtal_Prot#'!B:B, 0)), "NoXtal", "Xtal")</f>
        <v>NoXtal</v>
      </c>
      <c r="AP408" s="3">
        <f t="shared" si="254"/>
        <v>1</v>
      </c>
      <c r="AQ408" s="3">
        <f t="shared" si="255"/>
        <v>1</v>
      </c>
      <c r="AR408" s="3" t="str">
        <f t="shared" si="256"/>
        <v>-</v>
      </c>
      <c r="AS408" s="3" t="str">
        <f t="shared" si="257"/>
        <v>-</v>
      </c>
      <c r="AT408" s="3">
        <f t="shared" si="258"/>
        <v>3</v>
      </c>
      <c r="AU408" s="3">
        <f t="shared" si="259"/>
        <v>1</v>
      </c>
      <c r="AV408" s="3" t="str">
        <f t="shared" si="260"/>
        <v>-</v>
      </c>
      <c r="AW408" s="3" t="str">
        <f t="shared" si="261"/>
        <v>-</v>
      </c>
      <c r="AX408" s="3">
        <f t="shared" si="262"/>
        <v>10</v>
      </c>
      <c r="AY408" s="3">
        <f t="shared" si="263"/>
        <v>6</v>
      </c>
      <c r="AZ408" s="3">
        <f t="shared" si="264"/>
        <v>1</v>
      </c>
      <c r="BA408" s="3">
        <f>IF(ISERROR(LEN(VLOOKUP(A408,Seqs!A:E,2,FALSE))-AL408),"-",LEN(VLOOKUP(A408,Seqs!A:E,2,FALSE))-AL408)</f>
        <v>3</v>
      </c>
      <c r="BB408" s="16">
        <f t="shared" si="265"/>
        <v>31</v>
      </c>
      <c r="BC408" s="9">
        <f t="shared" si="266"/>
        <v>20</v>
      </c>
      <c r="BD408" s="3">
        <f t="shared" si="267"/>
        <v>31</v>
      </c>
      <c r="BE408" s="3">
        <f t="shared" si="268"/>
        <v>53</v>
      </c>
      <c r="BF408" s="3">
        <f t="shared" si="253"/>
        <v>36</v>
      </c>
    </row>
    <row r="409" spans="1:58" s="3" customFormat="1" x14ac:dyDescent="0.2">
      <c r="A409" s="3" t="s">
        <v>472</v>
      </c>
      <c r="B409" s="3" t="str">
        <f>LOWER(VLOOKUP(A409,Xtal_Templ!A:B,2,FALSE))</f>
        <v>oprk_human</v>
      </c>
      <c r="C409" s="3">
        <f>VLOOKUP($A409,'SegEnds_NonXtal_BW#'!$A:$Z,3,FALSE)+D409-50</f>
        <v>17</v>
      </c>
      <c r="D409" s="3">
        <v>35</v>
      </c>
      <c r="E409" s="3">
        <f t="shared" si="248"/>
        <v>47</v>
      </c>
      <c r="F409" s="3">
        <f t="shared" si="249"/>
        <v>48</v>
      </c>
      <c r="G409" s="3">
        <v>50</v>
      </c>
      <c r="H409" s="3">
        <f t="shared" si="250"/>
        <v>51</v>
      </c>
      <c r="I409" s="3">
        <f t="shared" si="250"/>
        <v>52</v>
      </c>
      <c r="J409" s="3">
        <v>66</v>
      </c>
      <c r="K409" s="3">
        <f>VLOOKUP($A409,'SegEnds_NonXtal_BW#'!$A:$Z,8,FALSE)+VLOOKUP($A409,A:AL,10,FALSE)-50</f>
        <v>82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86</v>
      </c>
      <c r="P409" s="3">
        <v>118</v>
      </c>
      <c r="Q409" s="3">
        <f>VLOOKUP($A409,'SegEnds_NonXtal_BW#'!$A:$Z,12,FALSE)+VLOOKUP($A409,A:AL,16,FALSE)-50</f>
        <v>124</v>
      </c>
      <c r="R409" s="3">
        <f t="shared" si="251"/>
        <v>127</v>
      </c>
      <c r="S409" s="3">
        <v>127</v>
      </c>
      <c r="T409" s="100">
        <f t="shared" si="252"/>
        <v>134</v>
      </c>
      <c r="U409" s="9">
        <f>IF(ISERROR(VLOOKUP($A409,'SegEnds_NonXtal_BW#'!$A:$Z,15,FALSE)+VLOOKUP($A409,A:AL,22,FALSE)-50),"-",VLOOKUP($A409,'SegEnds_NonXtal_BW#'!$A:$Z,15,FALSE)+VLOOKUP($A409,A:AL,22,FALSE)-50)</f>
        <v>135</v>
      </c>
      <c r="V409" s="3">
        <v>147</v>
      </c>
      <c r="W409" s="3">
        <f>IF(ISERROR(VLOOKUP($A409,'SegEnds_NonXtal_BW#'!$A:$Z,16,FALSE)+VLOOKUP($A409,A:AL,22,FALSE)-50),"-",(VLOOKUP($A409,'SegEnds_NonXtal_BW#'!$A:$Z,16,FALSE)+VLOOKUP($A409,A:AL,22,FALSE)-50))</f>
        <v>161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187</v>
      </c>
      <c r="AB409" s="3">
        <v>205</v>
      </c>
      <c r="AC409" s="3">
        <f>IF(ISERROR((VLOOKUP($A409,'SegEnds_NonXtal_BW#'!$A:$Z,20,FALSE)+VLOOKUP($A409,A:AL,28,FALSE)-50)),"-",(VLOOKUP($A409,'SegEnds_NonXtal_BW#'!$A:$Z,20,FALSE)+VLOOKUP($A409,A:AL,28,FALSE)-50))</f>
        <v>227</v>
      </c>
      <c r="AD409" s="3">
        <f>IF(ISERROR(VLOOKUP($A409,'SegEnds_NonXtal_BW#'!$A:$Z,21,FALSE)+VLOOKUP($A409,A:AL,31,FALSE)-50),"-",(VLOOKUP($A409,'SegEnds_NonXtal_BW#'!$A:$Z,21,FALSE)+VLOOKUP($A409,A:AL,31,FALSE)-50))</f>
        <v>237</v>
      </c>
      <c r="AE409" s="3">
        <v>258</v>
      </c>
      <c r="AF409" s="3">
        <f>IF(ISERROR((VLOOKUP($A409,'SegEnds_NonXtal_BW#'!$A:$Z,22,FALSE)+VLOOKUP($A409,A:AL,31,FALSE)-50)),"-",(VLOOKUP($A409,'SegEnds_NonXtal_BW#'!$A:$Z,22,FALSE)+VLOOKUP($A409,A:AL,31,FALSE)-50))</f>
        <v>269</v>
      </c>
      <c r="AG409" s="3">
        <f>IF(ISERROR(VLOOKUP($A409,'SegEnds_NonXtal_BW#'!$A:$Z,23,FALSE)+VLOOKUP($A409,A:AL,34,FALSE)-50),"-",(VLOOKUP($A409,'SegEnds_NonXtal_BW#'!$A:$Z,23,FALSE)+VLOOKUP($A409,A:AL,34,FALSE)-50))</f>
        <v>274</v>
      </c>
      <c r="AH409" s="3">
        <v>293</v>
      </c>
      <c r="AI409" s="3">
        <f>IF(ISERROR((VLOOKUP($A409,'SegEnds_NonXtal_BW#'!$A:$Z,24,FALSE)+VLOOKUP($A409,A:AL,34,FALSE)-50)),"-",(VLOOKUP($A409,'SegEnds_NonXtal_BW#'!$A:$Z,24,FALSE)+VLOOKUP($A409,A:AL,34,FALSE)-50))</f>
        <v>299</v>
      </c>
      <c r="AJ409" s="3">
        <f>IF(ISERROR(VLOOKUP($A409,'SegEnds_NonXtal_BW#'!$A:$Z,25,FALSE)+VLOOKUP($A409,A:AL,37,FALSE)-50),"-",(VLOOKUP($A409,'SegEnds_NonXtal_BW#'!$A:$Z,25,FALSE)+VLOOKUP($A409,A:AL,37,FALSE)-50))</f>
        <v>300</v>
      </c>
      <c r="AK409" s="3">
        <v>303</v>
      </c>
      <c r="AL409" s="3">
        <f>IF(ISERROR((VLOOKUP($A409,'SegEnds_NonXtal_BW#'!$A:$Z,26,FALSE)+VLOOKUP($A409,A:AL,37,FALSE)-50)),"-",(VLOOKUP($A409,'SegEnds_NonXtal_BW#'!$A:$Z,26,FALSE)+VLOOKUP($A409,A:AL,37,FALSE)-50))</f>
        <v>313</v>
      </c>
      <c r="AM409" s="28" t="str">
        <f>VLOOKUP(A409,Classification!A:B,2,FALSE)</f>
        <v>T</v>
      </c>
      <c r="AN409" s="28" t="b">
        <f t="shared" si="269"/>
        <v>1</v>
      </c>
      <c r="AO409" s="3" t="str">
        <f>IF(ISERROR(MATCH(A409,'SegEnds_Xtal_Prot#'!B:B, 0)), "NoXtal", "Xtal")</f>
        <v>NoXtal</v>
      </c>
      <c r="AP409" s="3">
        <f t="shared" si="254"/>
        <v>1</v>
      </c>
      <c r="AQ409" s="3">
        <f t="shared" si="255"/>
        <v>1</v>
      </c>
      <c r="AR409" s="3" t="str">
        <f t="shared" si="256"/>
        <v>-</v>
      </c>
      <c r="AS409" s="3" t="str">
        <f t="shared" si="257"/>
        <v>-</v>
      </c>
      <c r="AT409" s="3">
        <f t="shared" si="258"/>
        <v>3</v>
      </c>
      <c r="AU409" s="3">
        <f t="shared" si="259"/>
        <v>1</v>
      </c>
      <c r="AV409" s="3" t="str">
        <f t="shared" si="260"/>
        <v>-</v>
      </c>
      <c r="AW409" s="3" t="str">
        <f t="shared" si="261"/>
        <v>-</v>
      </c>
      <c r="AX409" s="3">
        <f t="shared" si="262"/>
        <v>10</v>
      </c>
      <c r="AY409" s="3">
        <f t="shared" si="263"/>
        <v>5</v>
      </c>
      <c r="AZ409" s="3">
        <f t="shared" si="264"/>
        <v>1</v>
      </c>
      <c r="BA409" s="3">
        <f>IF(ISERROR(LEN(VLOOKUP(A409,Seqs!A:E,2,FALSE))-AL409),"-",LEN(VLOOKUP(A409,Seqs!A:E,2,FALSE))-AL409)</f>
        <v>5</v>
      </c>
      <c r="BB409" s="16">
        <f t="shared" si="265"/>
        <v>31</v>
      </c>
      <c r="BC409" s="9">
        <f t="shared" si="266"/>
        <v>20</v>
      </c>
      <c r="BD409" s="3">
        <f t="shared" si="267"/>
        <v>31</v>
      </c>
      <c r="BE409" s="3">
        <f t="shared" si="268"/>
        <v>53</v>
      </c>
      <c r="BF409" s="3">
        <f t="shared" si="253"/>
        <v>35</v>
      </c>
    </row>
    <row r="410" spans="1:58" s="3" customFormat="1" x14ac:dyDescent="0.2">
      <c r="A410" s="3" t="s">
        <v>474</v>
      </c>
      <c r="B410" s="3" t="str">
        <f>LOWER(VLOOKUP(A410,Xtal_Templ!A:B,2,FALSE))</f>
        <v>cxcr4_human</v>
      </c>
      <c r="C410" s="3">
        <f>VLOOKUP($A410,'SegEnds_NonXtal_BW#'!$A:$Z,3,FALSE)+D410-50</f>
        <v>6</v>
      </c>
      <c r="D410" s="3">
        <v>24</v>
      </c>
      <c r="E410" s="3">
        <f t="shared" si="248"/>
        <v>36</v>
      </c>
      <c r="F410" s="3">
        <f t="shared" si="249"/>
        <v>37</v>
      </c>
      <c r="G410" s="3">
        <v>39</v>
      </c>
      <c r="H410" s="3">
        <f t="shared" si="250"/>
        <v>40</v>
      </c>
      <c r="I410" s="3">
        <f t="shared" si="250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77</v>
      </c>
      <c r="P410" s="3">
        <v>103</v>
      </c>
      <c r="Q410" s="3">
        <f>VLOOKUP($A410,'SegEnds_NonXtal_BW#'!$A:$Z,12,FALSE)+VLOOKUP($A410,A:AL,16,FALSE)-50</f>
        <v>109</v>
      </c>
      <c r="R410" s="3">
        <f t="shared" si="251"/>
        <v>112</v>
      </c>
      <c r="S410" s="3">
        <v>112</v>
      </c>
      <c r="T410" s="100">
        <f t="shared" si="252"/>
        <v>119</v>
      </c>
      <c r="U410" s="9">
        <f>IF(ISERROR(VLOOKUP($A410,'SegEnds_NonXtal_BW#'!$A:$Z,15,FALSE)+VLOOKUP($A410,A:AL,22,FALSE)-50),"-",VLOOKUP($A410,'SegEnds_NonXtal_BW#'!$A:$Z,15,FALSE)+VLOOKUP($A410,A:AL,22,FALSE)-50)</f>
        <v>120</v>
      </c>
      <c r="V410" s="3">
        <v>132</v>
      </c>
      <c r="W410" s="3">
        <f>IF(ISERROR(VLOOKUP($A410,'SegEnds_NonXtal_BW#'!$A:$Z,16,FALSE)+VLOOKUP($A410,A:AL,22,FALSE)-50),"-",(VLOOKUP($A410,'SegEnds_NonXtal_BW#'!$A:$Z,16,FALSE)+VLOOKUP($A410,A:AL,22,FALSE)-50))</f>
        <v>146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168</v>
      </c>
      <c r="AB410" s="3">
        <v>186</v>
      </c>
      <c r="AC410" s="3">
        <f>IF(ISERROR((VLOOKUP($A410,'SegEnds_NonXtal_BW#'!$A:$Z,20,FALSE)+VLOOKUP($A410,A:AL,28,FALSE)-50)),"-",(VLOOKUP($A410,'SegEnds_NonXtal_BW#'!$A:$Z,20,FALSE)+VLOOKUP($A410,A:AL,28,FALSE)-50))</f>
        <v>208</v>
      </c>
      <c r="AD410" s="3">
        <f>IF(ISERROR(VLOOKUP($A410,'SegEnds_NonXtal_BW#'!$A:$Z,21,FALSE)+VLOOKUP($A410,A:AL,31,FALSE)-50),"-",(VLOOKUP($A410,'SegEnds_NonXtal_BW#'!$A:$Z,21,FALSE)+VLOOKUP($A410,A:AL,31,FALSE)-50))</f>
        <v>218</v>
      </c>
      <c r="AE410" s="3">
        <v>239</v>
      </c>
      <c r="AF410" s="3">
        <f>IF(ISERROR((VLOOKUP($A410,'SegEnds_NonXtal_BW#'!$A:$Z,22,FALSE)+VLOOKUP($A410,A:AL,31,FALSE)-50)),"-",(VLOOKUP($A410,'SegEnds_NonXtal_BW#'!$A:$Z,22,FALSE)+VLOOKUP($A410,A:AL,31,FALSE)-50))</f>
        <v>250</v>
      </c>
      <c r="AG410" s="3">
        <f>IF(ISERROR(VLOOKUP($A410,'SegEnds_NonXtal_BW#'!$A:$Z,23,FALSE)+VLOOKUP($A410,A:AL,34,FALSE)-50),"-",(VLOOKUP($A410,'SegEnds_NonXtal_BW#'!$A:$Z,23,FALSE)+VLOOKUP($A410,A:AL,34,FALSE)-50))</f>
        <v>255</v>
      </c>
      <c r="AH410" s="3">
        <v>274</v>
      </c>
      <c r="AI410" s="3">
        <f>IF(ISERROR((VLOOKUP($A410,'SegEnds_NonXtal_BW#'!$A:$Z,24,FALSE)+VLOOKUP($A410,A:AL,34,FALSE)-50)),"-",(VLOOKUP($A410,'SegEnds_NonXtal_BW#'!$A:$Z,24,FALSE)+VLOOKUP($A410,A:AL,34,FALSE)-50))</f>
        <v>280</v>
      </c>
      <c r="AJ410" s="3">
        <f>IF(ISERROR(VLOOKUP($A410,'SegEnds_NonXtal_BW#'!$A:$Z,25,FALSE)+VLOOKUP($A410,A:AL,37,FALSE)-50),"-",(VLOOKUP($A410,'SegEnds_NonXtal_BW#'!$A:$Z,25,FALSE)+VLOOKUP($A410,A:AL,37,FALSE)-50))</f>
        <v>281</v>
      </c>
      <c r="AK410" s="3">
        <v>284</v>
      </c>
      <c r="AL410" s="3">
        <f>IF(ISERROR((VLOOKUP($A410,'SegEnds_NonXtal_BW#'!$A:$Z,26,FALSE)+VLOOKUP($A410,A:AL,37,FALSE)-50)),"-",(VLOOKUP($A410,'SegEnds_NonXtal_BW#'!$A:$Z,26,FALSE)+VLOOKUP($A410,A:AL,37,FALSE)-50))</f>
        <v>294</v>
      </c>
      <c r="AM410" s="28" t="str">
        <f>VLOOKUP(A410,Classification!A:B,2,FALSE)</f>
        <v>T</v>
      </c>
      <c r="AN410" s="28" t="b">
        <f t="shared" si="269"/>
        <v>1</v>
      </c>
      <c r="AO410" s="3" t="str">
        <f>IF(ISERROR(MATCH(A410,'SegEnds_Xtal_Prot#'!B:B, 0)), "NoXtal", "Xtal")</f>
        <v>NoXtal</v>
      </c>
      <c r="AP410" s="3">
        <f t="shared" si="254"/>
        <v>1</v>
      </c>
      <c r="AQ410" s="3">
        <f t="shared" si="255"/>
        <v>1</v>
      </c>
      <c r="AR410" s="3" t="str">
        <f t="shared" si="256"/>
        <v>-</v>
      </c>
      <c r="AS410" s="3" t="str">
        <f t="shared" si="257"/>
        <v>-</v>
      </c>
      <c r="AT410" s="3">
        <f t="shared" si="258"/>
        <v>3</v>
      </c>
      <c r="AU410" s="3">
        <f t="shared" si="259"/>
        <v>1</v>
      </c>
      <c r="AV410" s="3" t="str">
        <f t="shared" si="260"/>
        <v>-</v>
      </c>
      <c r="AW410" s="3" t="str">
        <f t="shared" si="261"/>
        <v>-</v>
      </c>
      <c r="AX410" s="3">
        <f t="shared" si="262"/>
        <v>10</v>
      </c>
      <c r="AY410" s="3">
        <f t="shared" si="263"/>
        <v>5</v>
      </c>
      <c r="AZ410" s="3">
        <f t="shared" si="264"/>
        <v>1</v>
      </c>
      <c r="BA410" s="3">
        <f>IF(ISERROR(LEN(VLOOKUP(A410,Seqs!A:E,2,FALSE))-AL410),"-",LEN(VLOOKUP(A410,Seqs!A:E,2,FALSE))-AL410)</f>
        <v>5</v>
      </c>
      <c r="BB410" s="16">
        <f t="shared" si="265"/>
        <v>31</v>
      </c>
      <c r="BC410" s="9">
        <f t="shared" si="266"/>
        <v>20</v>
      </c>
      <c r="BD410" s="3">
        <f t="shared" si="267"/>
        <v>31</v>
      </c>
      <c r="BE410" s="3">
        <f t="shared" si="268"/>
        <v>53</v>
      </c>
      <c r="BF410" s="3">
        <f t="shared" si="253"/>
        <v>35</v>
      </c>
    </row>
    <row r="411" spans="1:58" s="3" customFormat="1" x14ac:dyDescent="0.2">
      <c r="A411" s="3" t="s">
        <v>475</v>
      </c>
      <c r="B411" s="3" t="str">
        <f>LOWER(VLOOKUP(A411,Xtal_Templ!A:B,2,FALSE))</f>
        <v>cxcr4_human</v>
      </c>
      <c r="C411" s="3">
        <f>VLOOKUP($A411,'SegEnds_NonXtal_BW#'!$A:$Z,3,FALSE)+D411-50</f>
        <v>6</v>
      </c>
      <c r="D411" s="3">
        <v>24</v>
      </c>
      <c r="E411" s="3">
        <f t="shared" si="248"/>
        <v>36</v>
      </c>
      <c r="F411" s="3">
        <f t="shared" si="249"/>
        <v>37</v>
      </c>
      <c r="G411" s="3">
        <v>39</v>
      </c>
      <c r="H411" s="3">
        <f t="shared" si="250"/>
        <v>40</v>
      </c>
      <c r="I411" s="3">
        <f t="shared" si="250"/>
        <v>41</v>
      </c>
      <c r="J411" s="3">
        <v>55</v>
      </c>
      <c r="K411" s="3">
        <f>VLOOKUP($A411,'SegEnds_NonXtal_BW#'!$A:$Z,8,FALSE)+VLOOKUP($A411,A:AL,10,FALSE)-50</f>
        <v>72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78</v>
      </c>
      <c r="P411" s="3">
        <v>107</v>
      </c>
      <c r="Q411" s="3">
        <f>VLOOKUP($A411,'SegEnds_NonXtal_BW#'!$A:$Z,12,FALSE)+VLOOKUP($A411,A:AL,16,FALSE)-50</f>
        <v>113</v>
      </c>
      <c r="R411" s="3">
        <f t="shared" si="251"/>
        <v>116</v>
      </c>
      <c r="S411" s="3">
        <v>116</v>
      </c>
      <c r="T411" s="100">
        <f t="shared" si="252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174</v>
      </c>
      <c r="AB411" s="3">
        <v>192</v>
      </c>
      <c r="AC411" s="3">
        <f>IF(ISERROR((VLOOKUP($A411,'SegEnds_NonXtal_BW#'!$A:$Z,20,FALSE)+VLOOKUP($A411,A:AL,28,FALSE)-50)),"-",(VLOOKUP($A411,'SegEnds_NonXtal_BW#'!$A:$Z,20,FALSE)+VLOOKUP($A411,A:AL,28,FALSE)-50))</f>
        <v>214</v>
      </c>
      <c r="AD411" s="3">
        <f>IF(ISERROR(VLOOKUP($A411,'SegEnds_NonXtal_BW#'!$A:$Z,21,FALSE)+VLOOKUP($A411,A:AL,31,FALSE)-50),"-",(VLOOKUP($A411,'SegEnds_NonXtal_BW#'!$A:$Z,21,FALSE)+VLOOKUP($A411,A:AL,31,FALSE)-50))</f>
        <v>224</v>
      </c>
      <c r="AE411" s="3">
        <v>245</v>
      </c>
      <c r="AF411" s="3">
        <f>IF(ISERROR((VLOOKUP($A411,'SegEnds_NonXtal_BW#'!$A:$Z,22,FALSE)+VLOOKUP($A411,A:AL,31,FALSE)-50)),"-",(VLOOKUP($A411,'SegEnds_NonXtal_BW#'!$A:$Z,22,FALSE)+VLOOKUP($A411,A:AL,31,FALSE)-50))</f>
        <v>256</v>
      </c>
      <c r="AG411" s="3">
        <f>IF(ISERROR(VLOOKUP($A411,'SegEnds_NonXtal_BW#'!$A:$Z,23,FALSE)+VLOOKUP($A411,A:AL,34,FALSE)-50),"-",(VLOOKUP($A411,'SegEnds_NonXtal_BW#'!$A:$Z,23,FALSE)+VLOOKUP($A411,A:AL,34,FALSE)-50))</f>
        <v>262</v>
      </c>
      <c r="AH411" s="3">
        <v>281</v>
      </c>
      <c r="AI411" s="3">
        <f>IF(ISERROR((VLOOKUP($A411,'SegEnds_NonXtal_BW#'!$A:$Z,24,FALSE)+VLOOKUP($A411,A:AL,34,FALSE)-50)),"-",(VLOOKUP($A411,'SegEnds_NonXtal_BW#'!$A:$Z,24,FALSE)+VLOOKUP($A411,A:AL,34,FALSE)-50))</f>
        <v>287</v>
      </c>
      <c r="AJ411" s="3">
        <f>IF(ISERROR(VLOOKUP($A411,'SegEnds_NonXtal_BW#'!$A:$Z,25,FALSE)+VLOOKUP($A411,A:AL,37,FALSE)-50),"-",(VLOOKUP($A411,'SegEnds_NonXtal_BW#'!$A:$Z,25,FALSE)+VLOOKUP($A411,A:AL,37,FALSE)-50))</f>
        <v>288</v>
      </c>
      <c r="AK411" s="3">
        <v>291</v>
      </c>
      <c r="AL411" s="3">
        <f>IF(ISERROR((VLOOKUP($A411,'SegEnds_NonXtal_BW#'!$A:$Z,26,FALSE)+VLOOKUP($A411,A:AL,37,FALSE)-50)),"-",(VLOOKUP($A411,'SegEnds_NonXtal_BW#'!$A:$Z,26,FALSE)+VLOOKUP($A411,A:AL,37,FALSE)-50))</f>
        <v>301</v>
      </c>
      <c r="AM411" s="28" t="str">
        <f>VLOOKUP(A411,Classification!A:B,2,FALSE)</f>
        <v>T</v>
      </c>
      <c r="AN411" s="28" t="b">
        <f t="shared" si="269"/>
        <v>1</v>
      </c>
      <c r="AO411" s="3" t="str">
        <f>IF(ISERROR(MATCH(A411,'SegEnds_Xtal_Prot#'!B:B, 0)), "NoXtal", "Xtal")</f>
        <v>NoXtal</v>
      </c>
      <c r="AP411" s="3">
        <f t="shared" si="254"/>
        <v>1</v>
      </c>
      <c r="AQ411" s="3">
        <f t="shared" si="255"/>
        <v>1</v>
      </c>
      <c r="AR411" s="3" t="str">
        <f t="shared" si="256"/>
        <v>-</v>
      </c>
      <c r="AS411" s="3" t="str">
        <f t="shared" si="257"/>
        <v>-</v>
      </c>
      <c r="AT411" s="3">
        <f t="shared" si="258"/>
        <v>3</v>
      </c>
      <c r="AU411" s="3">
        <f t="shared" si="259"/>
        <v>1</v>
      </c>
      <c r="AV411" s="3" t="str">
        <f t="shared" si="260"/>
        <v>-</v>
      </c>
      <c r="AW411" s="3" t="str">
        <f t="shared" si="261"/>
        <v>-</v>
      </c>
      <c r="AX411" s="3">
        <f t="shared" si="262"/>
        <v>10</v>
      </c>
      <c r="AY411" s="3">
        <f t="shared" si="263"/>
        <v>6</v>
      </c>
      <c r="AZ411" s="3">
        <f t="shared" si="264"/>
        <v>1</v>
      </c>
      <c r="BA411" s="3">
        <f>IF(ISERROR(LEN(VLOOKUP(A411,Seqs!A:E,2,FALSE))-AL411),"-",LEN(VLOOKUP(A411,Seqs!A:E,2,FALSE))-AL411)</f>
        <v>15</v>
      </c>
      <c r="BB411" s="16">
        <f t="shared" si="265"/>
        <v>31</v>
      </c>
      <c r="BC411" s="9">
        <f t="shared" si="266"/>
        <v>20</v>
      </c>
      <c r="BD411" s="3">
        <f t="shared" si="267"/>
        <v>31</v>
      </c>
      <c r="BE411" s="3">
        <f t="shared" si="268"/>
        <v>53</v>
      </c>
      <c r="BF411" s="3">
        <f t="shared" si="253"/>
        <v>36</v>
      </c>
    </row>
    <row r="412" spans="1:58" s="3" customFormat="1" x14ac:dyDescent="0.2">
      <c r="A412" s="3" t="s">
        <v>476</v>
      </c>
      <c r="B412" s="3" t="str">
        <f>LOWER(VLOOKUP(A412,Xtal_Templ!A:B,2,FALSE))</f>
        <v>5ht1b_human</v>
      </c>
      <c r="C412" s="3">
        <f>VLOOKUP($A412,'SegEnds_NonXtal_BW#'!$A:$Z,3,FALSE)+D412-50</f>
        <v>6</v>
      </c>
      <c r="D412" s="3">
        <v>24</v>
      </c>
      <c r="E412" s="3">
        <f t="shared" si="248"/>
        <v>36</v>
      </c>
      <c r="F412" s="3">
        <f t="shared" si="249"/>
        <v>37</v>
      </c>
      <c r="G412" s="3">
        <v>39</v>
      </c>
      <c r="H412" s="3">
        <f t="shared" si="250"/>
        <v>40</v>
      </c>
      <c r="I412" s="3">
        <f t="shared" si="250"/>
        <v>41</v>
      </c>
      <c r="J412" s="3">
        <v>55</v>
      </c>
      <c r="K412" s="3">
        <f>VLOOKUP($A412,'SegEnds_NonXtal_BW#'!$A:$Z,8,FALSE)+VLOOKUP($A412,A:AL,10,FALSE)-50</f>
        <v>71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77</v>
      </c>
      <c r="P412" s="3">
        <v>106</v>
      </c>
      <c r="Q412" s="3">
        <f>VLOOKUP($A412,'SegEnds_NonXtal_BW#'!$A:$Z,12,FALSE)+VLOOKUP($A412,A:AL,16,FALSE)-50</f>
        <v>112</v>
      </c>
      <c r="R412" s="3">
        <f t="shared" si="251"/>
        <v>115</v>
      </c>
      <c r="S412" s="3">
        <v>115</v>
      </c>
      <c r="T412" s="100">
        <f t="shared" si="252"/>
        <v>122</v>
      </c>
      <c r="U412" s="9">
        <f>IF(ISERROR(VLOOKUP($A412,'SegEnds_NonXtal_BW#'!$A:$Z,15,FALSE)+VLOOKUP($A412,A:AL,22,FALSE)-50),"-",VLOOKUP($A412,'SegEnds_NonXtal_BW#'!$A:$Z,15,FALSE)+VLOOKUP($A412,A:AL,22,FALSE)-50)</f>
        <v>123</v>
      </c>
      <c r="V412" s="3">
        <v>135</v>
      </c>
      <c r="W412" s="3">
        <f>IF(ISERROR(VLOOKUP($A412,'SegEnds_NonXtal_BW#'!$A:$Z,16,FALSE)+VLOOKUP($A412,A:AL,22,FALSE)-50),"-",(VLOOKUP($A412,'SegEnds_NonXtal_BW#'!$A:$Z,16,FALSE)+VLOOKUP($A412,A:AL,22,FALSE)-50))</f>
        <v>148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170</v>
      </c>
      <c r="AB412" s="3">
        <v>188</v>
      </c>
      <c r="AC412" s="3">
        <f>IF(ISERROR((VLOOKUP($A412,'SegEnds_NonXtal_BW#'!$A:$Z,20,FALSE)+VLOOKUP($A412,A:AL,28,FALSE)-50)),"-",(VLOOKUP($A412,'SegEnds_NonXtal_BW#'!$A:$Z,20,FALSE)+VLOOKUP($A412,A:AL,28,FALSE)-50))</f>
        <v>210</v>
      </c>
      <c r="AD412" s="3">
        <f>IF(ISERROR(VLOOKUP($A412,'SegEnds_NonXtal_BW#'!$A:$Z,21,FALSE)+VLOOKUP($A412,A:AL,31,FALSE)-50),"-",(VLOOKUP($A412,'SegEnds_NonXtal_BW#'!$A:$Z,21,FALSE)+VLOOKUP($A412,A:AL,31,FALSE)-50))</f>
        <v>220</v>
      </c>
      <c r="AE412" s="3">
        <v>241</v>
      </c>
      <c r="AF412" s="3">
        <f>IF(ISERROR((VLOOKUP($A412,'SegEnds_NonXtal_BW#'!$A:$Z,22,FALSE)+VLOOKUP($A412,A:AL,31,FALSE)-50)),"-",(VLOOKUP($A412,'SegEnds_NonXtal_BW#'!$A:$Z,22,FALSE)+VLOOKUP($A412,A:AL,31,FALSE)-50))</f>
        <v>252</v>
      </c>
      <c r="AG412" s="3">
        <f>IF(ISERROR(VLOOKUP($A412,'SegEnds_NonXtal_BW#'!$A:$Z,23,FALSE)+VLOOKUP($A412,A:AL,34,FALSE)-50),"-",(VLOOKUP($A412,'SegEnds_NonXtal_BW#'!$A:$Z,23,FALSE)+VLOOKUP($A412,A:AL,34,FALSE)-50))</f>
        <v>258</v>
      </c>
      <c r="AH412" s="3">
        <v>277</v>
      </c>
      <c r="AI412" s="3">
        <f>IF(ISERROR((VLOOKUP($A412,'SegEnds_NonXtal_BW#'!$A:$Z,24,FALSE)+VLOOKUP($A412,A:AL,34,FALSE)-50)),"-",(VLOOKUP($A412,'SegEnds_NonXtal_BW#'!$A:$Z,24,FALSE)+VLOOKUP($A412,A:AL,34,FALSE)-50))</f>
        <v>283</v>
      </c>
      <c r="AJ412" s="3">
        <f>IF(ISERROR(VLOOKUP($A412,'SegEnds_NonXtal_BW#'!$A:$Z,25,FALSE)+VLOOKUP($A412,A:AL,37,FALSE)-50),"-",(VLOOKUP($A412,'SegEnds_NonXtal_BW#'!$A:$Z,25,FALSE)+VLOOKUP($A412,A:AL,37,FALSE)-50))</f>
        <v>284</v>
      </c>
      <c r="AK412" s="3">
        <v>287</v>
      </c>
      <c r="AL412" s="3">
        <f>IF(ISERROR((VLOOKUP($A412,'SegEnds_NonXtal_BW#'!$A:$Z,26,FALSE)+VLOOKUP($A412,A:AL,37,FALSE)-50)),"-",(VLOOKUP($A412,'SegEnds_NonXtal_BW#'!$A:$Z,26,FALSE)+VLOOKUP($A412,A:AL,37,FALSE)-50))</f>
        <v>297</v>
      </c>
      <c r="AM412" s="28" t="str">
        <f>VLOOKUP(A412,Classification!A:B,2,FALSE)</f>
        <v>T</v>
      </c>
      <c r="AN412" s="28" t="b">
        <f t="shared" si="269"/>
        <v>1</v>
      </c>
      <c r="AO412" s="3" t="str">
        <f>IF(ISERROR(MATCH(A412,'SegEnds_Xtal_Prot#'!B:B, 0)), "NoXtal", "Xtal")</f>
        <v>NoXtal</v>
      </c>
      <c r="AP412" s="3">
        <f t="shared" si="254"/>
        <v>1</v>
      </c>
      <c r="AQ412" s="3">
        <f t="shared" si="255"/>
        <v>1</v>
      </c>
      <c r="AR412" s="3" t="str">
        <f t="shared" si="256"/>
        <v>-</v>
      </c>
      <c r="AS412" s="3" t="str">
        <f t="shared" si="257"/>
        <v>-</v>
      </c>
      <c r="AT412" s="3">
        <f t="shared" si="258"/>
        <v>3</v>
      </c>
      <c r="AU412" s="3">
        <f t="shared" si="259"/>
        <v>1</v>
      </c>
      <c r="AV412" s="3" t="str">
        <f t="shared" si="260"/>
        <v>-</v>
      </c>
      <c r="AW412" s="3" t="str">
        <f t="shared" si="261"/>
        <v>-</v>
      </c>
      <c r="AX412" s="3">
        <f t="shared" si="262"/>
        <v>10</v>
      </c>
      <c r="AY412" s="3">
        <f t="shared" si="263"/>
        <v>6</v>
      </c>
      <c r="AZ412" s="3">
        <f t="shared" si="264"/>
        <v>1</v>
      </c>
      <c r="BA412" s="3">
        <f>IF(ISERROR(LEN(VLOOKUP(A412,Seqs!A:E,2,FALSE))-AL412),"-",LEN(VLOOKUP(A412,Seqs!A:E,2,FALSE))-AL412)</f>
        <v>2</v>
      </c>
      <c r="BB412" s="16">
        <f t="shared" si="265"/>
        <v>31</v>
      </c>
      <c r="BC412" s="9">
        <f t="shared" si="266"/>
        <v>20</v>
      </c>
      <c r="BD412" s="3">
        <f t="shared" si="267"/>
        <v>31</v>
      </c>
      <c r="BE412" s="3">
        <f t="shared" si="268"/>
        <v>53</v>
      </c>
      <c r="BF412" s="3">
        <f t="shared" si="253"/>
        <v>36</v>
      </c>
    </row>
    <row r="413" spans="1:58" s="3" customFormat="1" x14ac:dyDescent="0.2">
      <c r="A413" s="3" t="s">
        <v>477</v>
      </c>
      <c r="B413" s="3" t="str">
        <f>LOWER(VLOOKUP(A413,Xtal_Templ!A:B,2,FALSE))</f>
        <v>hrh1_human</v>
      </c>
      <c r="C413" s="3">
        <f>VLOOKUP($A413,'SegEnds_NonXtal_BW#'!$A:$Z,3,FALSE)+D413-50</f>
        <v>6</v>
      </c>
      <c r="D413" s="3">
        <v>24</v>
      </c>
      <c r="E413" s="3">
        <f t="shared" si="248"/>
        <v>36</v>
      </c>
      <c r="F413" s="3">
        <f t="shared" si="249"/>
        <v>37</v>
      </c>
      <c r="G413" s="3">
        <v>39</v>
      </c>
      <c r="H413" s="3">
        <f t="shared" si="250"/>
        <v>40</v>
      </c>
      <c r="I413" s="3">
        <f t="shared" si="250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77</v>
      </c>
      <c r="P413" s="3">
        <v>103</v>
      </c>
      <c r="Q413" s="3">
        <f>VLOOKUP($A413,'SegEnds_NonXtal_BW#'!$A:$Z,12,FALSE)+VLOOKUP($A413,A:AL,16,FALSE)-50</f>
        <v>109</v>
      </c>
      <c r="R413" s="3">
        <f t="shared" si="251"/>
        <v>112</v>
      </c>
      <c r="S413" s="3">
        <v>112</v>
      </c>
      <c r="T413" s="100">
        <f t="shared" si="252"/>
        <v>119</v>
      </c>
      <c r="U413" s="9">
        <f>IF(ISERROR(VLOOKUP($A413,'SegEnds_NonXtal_BW#'!$A:$Z,15,FALSE)+VLOOKUP($A413,A:AL,22,FALSE)-50),"-",VLOOKUP($A413,'SegEnds_NonXtal_BW#'!$A:$Z,15,FALSE)+VLOOKUP($A413,A:AL,22,FALSE)-50)</f>
        <v>120</v>
      </c>
      <c r="V413" s="3">
        <v>132</v>
      </c>
      <c r="W413" s="3">
        <f>IF(ISERROR(VLOOKUP($A413,'SegEnds_NonXtal_BW#'!$A:$Z,16,FALSE)+VLOOKUP($A413,A:AL,22,FALSE)-50),"-",(VLOOKUP($A413,'SegEnds_NonXtal_BW#'!$A:$Z,16,FALSE)+VLOOKUP($A413,A:AL,22,FALSE)-50))</f>
        <v>144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162</v>
      </c>
      <c r="AB413" s="3">
        <v>180</v>
      </c>
      <c r="AC413" s="3">
        <f>IF(ISERROR((VLOOKUP($A413,'SegEnds_NonXtal_BW#'!$A:$Z,20,FALSE)+VLOOKUP($A413,A:AL,28,FALSE)-50)),"-",(VLOOKUP($A413,'SegEnds_NonXtal_BW#'!$A:$Z,20,FALSE)+VLOOKUP($A413,A:AL,28,FALSE)-50))</f>
        <v>202</v>
      </c>
      <c r="AD413" s="3">
        <f>IF(ISERROR(VLOOKUP($A413,'SegEnds_NonXtal_BW#'!$A:$Z,21,FALSE)+VLOOKUP($A413,A:AL,31,FALSE)-50),"-",(VLOOKUP($A413,'SegEnds_NonXtal_BW#'!$A:$Z,21,FALSE)+VLOOKUP($A413,A:AL,31,FALSE)-50))</f>
        <v>212</v>
      </c>
      <c r="AE413" s="3">
        <v>233</v>
      </c>
      <c r="AF413" s="3">
        <f>IF(ISERROR((VLOOKUP($A413,'SegEnds_NonXtal_BW#'!$A:$Z,22,FALSE)+VLOOKUP($A413,A:AL,31,FALSE)-50)),"-",(VLOOKUP($A413,'SegEnds_NonXtal_BW#'!$A:$Z,22,FALSE)+VLOOKUP($A413,A:AL,31,FALSE)-50))</f>
        <v>244</v>
      </c>
      <c r="AG413" s="3">
        <f>IF(ISERROR(VLOOKUP($A413,'SegEnds_NonXtal_BW#'!$A:$Z,23,FALSE)+VLOOKUP($A413,A:AL,34,FALSE)-50),"-",(VLOOKUP($A413,'SegEnds_NonXtal_BW#'!$A:$Z,23,FALSE)+VLOOKUP($A413,A:AL,34,FALSE)-50))</f>
        <v>250</v>
      </c>
      <c r="AH413" s="3">
        <v>269</v>
      </c>
      <c r="AI413" s="3">
        <f>IF(ISERROR((VLOOKUP($A413,'SegEnds_NonXtal_BW#'!$A:$Z,24,FALSE)+VLOOKUP($A413,A:AL,34,FALSE)-50)),"-",(VLOOKUP($A413,'SegEnds_NonXtal_BW#'!$A:$Z,24,FALSE)+VLOOKUP($A413,A:AL,34,FALSE)-50))</f>
        <v>275</v>
      </c>
      <c r="AJ413" s="3">
        <f>IF(ISERROR(VLOOKUP($A413,'SegEnds_NonXtal_BW#'!$A:$Z,25,FALSE)+VLOOKUP($A413,A:AL,37,FALSE)-50),"-",(VLOOKUP($A413,'SegEnds_NonXtal_BW#'!$A:$Z,25,FALSE)+VLOOKUP($A413,A:AL,37,FALSE)-50))</f>
        <v>276</v>
      </c>
      <c r="AK413" s="3">
        <v>279</v>
      </c>
      <c r="AL413" s="3">
        <f>IF(ISERROR((VLOOKUP($A413,'SegEnds_NonXtal_BW#'!$A:$Z,26,FALSE)+VLOOKUP($A413,A:AL,37,FALSE)-50)),"-",(VLOOKUP($A413,'SegEnds_NonXtal_BW#'!$A:$Z,26,FALSE)+VLOOKUP($A413,A:AL,37,FALSE)-50))</f>
        <v>289</v>
      </c>
      <c r="AM413" s="28" t="str">
        <f>VLOOKUP(A413,Classification!A:B,2,FALSE)</f>
        <v>T</v>
      </c>
      <c r="AN413" s="28" t="b">
        <f t="shared" si="269"/>
        <v>1</v>
      </c>
      <c r="AO413" s="3" t="str">
        <f>IF(ISERROR(MATCH(A413,'SegEnds_Xtal_Prot#'!B:B, 0)), "NoXtal", "Xtal")</f>
        <v>NoXtal</v>
      </c>
      <c r="AP413" s="3">
        <f t="shared" si="254"/>
        <v>1</v>
      </c>
      <c r="AQ413" s="3">
        <f t="shared" si="255"/>
        <v>1</v>
      </c>
      <c r="AR413" s="3" t="str">
        <f t="shared" si="256"/>
        <v>-</v>
      </c>
      <c r="AS413" s="3" t="str">
        <f t="shared" si="257"/>
        <v>-</v>
      </c>
      <c r="AT413" s="3">
        <f t="shared" si="258"/>
        <v>3</v>
      </c>
      <c r="AU413" s="3">
        <f t="shared" si="259"/>
        <v>1</v>
      </c>
      <c r="AV413" s="3" t="str">
        <f t="shared" si="260"/>
        <v>-</v>
      </c>
      <c r="AW413" s="3" t="str">
        <f t="shared" si="261"/>
        <v>-</v>
      </c>
      <c r="AX413" s="3">
        <f t="shared" si="262"/>
        <v>10</v>
      </c>
      <c r="AY413" s="3">
        <f t="shared" si="263"/>
        <v>6</v>
      </c>
      <c r="AZ413" s="3">
        <f t="shared" si="264"/>
        <v>1</v>
      </c>
      <c r="BA413" s="3">
        <f>IF(ISERROR(LEN(VLOOKUP(A413,Seqs!A:E,2,FALSE))-AL413),"-",LEN(VLOOKUP(A413,Seqs!A:E,2,FALSE))-AL413)</f>
        <v>10</v>
      </c>
      <c r="BB413" s="16">
        <f t="shared" si="265"/>
        <v>31</v>
      </c>
      <c r="BC413" s="9">
        <f t="shared" si="266"/>
        <v>20</v>
      </c>
      <c r="BD413" s="3">
        <f t="shared" si="267"/>
        <v>31</v>
      </c>
      <c r="BE413" s="3">
        <f t="shared" si="268"/>
        <v>53</v>
      </c>
      <c r="BF413" s="3">
        <f t="shared" si="253"/>
        <v>36</v>
      </c>
    </row>
    <row r="414" spans="1:58" s="3" customFormat="1" x14ac:dyDescent="0.2">
      <c r="A414" s="3" t="s">
        <v>478</v>
      </c>
      <c r="B414" s="3" t="str">
        <f>LOWER(VLOOKUP(A414,Xtal_Templ!A:B,2,FALSE))</f>
        <v>drd2_human</v>
      </c>
      <c r="C414" s="3">
        <f>VLOOKUP($A414,'SegEnds_NonXtal_BW#'!$A:$Z,3,FALSE)+D414-50</f>
        <v>6</v>
      </c>
      <c r="D414" s="3">
        <v>24</v>
      </c>
      <c r="E414" s="3">
        <f t="shared" si="248"/>
        <v>36</v>
      </c>
      <c r="F414" s="3">
        <f t="shared" si="249"/>
        <v>37</v>
      </c>
      <c r="G414" s="3">
        <v>39</v>
      </c>
      <c r="H414" s="3">
        <f t="shared" si="250"/>
        <v>40</v>
      </c>
      <c r="I414" s="3">
        <f t="shared" si="250"/>
        <v>41</v>
      </c>
      <c r="J414" s="3">
        <v>55</v>
      </c>
      <c r="K414" s="3">
        <f>VLOOKUP($A414,'SegEnds_NonXtal_BW#'!$A:$Z,8,FALSE)+VLOOKUP($A414,A:AL,10,FALSE)-50</f>
        <v>72</v>
      </c>
      <c r="L414" s="3" t="str">
        <f>IF(ISERROR(VLOOKUP($A414,'SegEnds_NonXtal_BW#'!$A:$Z,9,FALSE)+VLOOKUP($A414,A:AL,13,FALSE)-50),"-",(VLOOKUP($A414,'SegEnds_NonXtal_BW#'!$A:$Z,9,FALSE)+VLOOKUP($A414,A:AL,13,FALSE)-50))</f>
        <v>-</v>
      </c>
      <c r="M414" s="3" t="s">
        <v>23</v>
      </c>
      <c r="N414" s="3" t="str">
        <f>IF(ISERROR(VLOOKUP($A414,'SegEnds_NonXtal_BW#'!$A:$Z,10,FALSE)+VLOOKUP($A414,A:AL,13,FALSE)-50),"-",(VLOOKUP($A414,'SegEnds_NonXtal_BW#'!$A:$Z,10,FALSE)+VLOOKUP($A414,A:AL,13,FALSE)-50))</f>
        <v>-</v>
      </c>
      <c r="O414" s="3">
        <f>VLOOKUP($A414,'SegEnds_NonXtal_BW#'!$A:$Z,11,FALSE)+VLOOKUP($A414,A:AL,16,FALSE)-50</f>
        <v>78</v>
      </c>
      <c r="P414" s="3">
        <v>107</v>
      </c>
      <c r="Q414" s="3">
        <f>VLOOKUP($A414,'SegEnds_NonXtal_BW#'!$A:$Z,12,FALSE)+VLOOKUP($A414,A:AL,16,FALSE)-50</f>
        <v>113</v>
      </c>
      <c r="R414" s="3">
        <f t="shared" si="251"/>
        <v>116</v>
      </c>
      <c r="S414" s="3">
        <v>116</v>
      </c>
      <c r="T414" s="100">
        <f t="shared" si="252"/>
        <v>123</v>
      </c>
      <c r="U414" s="9">
        <f>IF(ISERROR(VLOOKUP($A414,'SegEnds_NonXtal_BW#'!$A:$Z,15,FALSE)+VLOOKUP($A414,A:AL,22,FALSE)-50),"-",VLOOKUP($A414,'SegEnds_NonXtal_BW#'!$A:$Z,15,FALSE)+VLOOKUP($A414,A:AL,22,FALSE)-50)</f>
        <v>124</v>
      </c>
      <c r="V414" s="3">
        <v>136</v>
      </c>
      <c r="W414" s="3">
        <f>IF(ISERROR(VLOOKUP($A414,'SegEnds_NonXtal_BW#'!$A:$Z,16,FALSE)+VLOOKUP($A414,A:AL,22,FALSE)-50),"-",(VLOOKUP($A414,'SegEnds_NonXtal_BW#'!$A:$Z,16,FALSE)+VLOOKUP($A414,A:AL,22,FALSE)-50))</f>
        <v>148</v>
      </c>
      <c r="X414" s="3" t="str">
        <f>IF(ISERROR(VLOOKUP($A414,'SegEnds_NonXtal_BW#'!$A:$Z,17,FALSE)+VLOOKUP($A414,A:AL,25,FALSE)-50),"-",(VLOOKUP($A414,'SegEnds_NonXtal_BW#'!$A:$Z,17,FALSE)+VLOOKUP($A414,A:AL,25,FALSE)-50))</f>
        <v>-</v>
      </c>
      <c r="Y414" s="3" t="s">
        <v>23</v>
      </c>
      <c r="Z414" s="3" t="str">
        <f>IF(ISERROR(VLOOKUP($A414,'SegEnds_NonXtal_BW#'!$A:$Z,18,FALSE)+VLOOKUP($A414,A:AL,25,FALSE)-50),"-",(VLOOKUP($A414,'SegEnds_NonXtal_BW#'!$A:$Z,18,FALSE)+VLOOKUP($A414,A:AL,25,FALSE)-50))</f>
        <v>-</v>
      </c>
      <c r="AA414" s="3">
        <f>IF(ISERROR(VLOOKUP($A414,'SegEnds_NonXtal_BW#'!$A:$Z,19,FALSE)+VLOOKUP($A414,A:AL,28,FALSE)-50),"-",(VLOOKUP($A414,'SegEnds_NonXtal_BW#'!$A:$Z,19,FALSE)+VLOOKUP($A414,A:AL,28,FALSE)-50))</f>
        <v>175</v>
      </c>
      <c r="AB414" s="3">
        <v>193</v>
      </c>
      <c r="AC414" s="3">
        <f>IF(ISERROR((VLOOKUP($A414,'SegEnds_NonXtal_BW#'!$A:$Z,20,FALSE)+VLOOKUP($A414,A:AL,28,FALSE)-50)),"-",(VLOOKUP($A414,'SegEnds_NonXtal_BW#'!$A:$Z,20,FALSE)+VLOOKUP($A414,A:AL,28,FALSE)-50))</f>
        <v>215</v>
      </c>
      <c r="AD414" s="3">
        <f>IF(ISERROR(VLOOKUP($A414,'SegEnds_NonXtal_BW#'!$A:$Z,21,FALSE)+VLOOKUP($A414,A:AL,31,FALSE)-50),"-",(VLOOKUP($A414,'SegEnds_NonXtal_BW#'!$A:$Z,21,FALSE)+VLOOKUP($A414,A:AL,31,FALSE)-50))</f>
        <v>225</v>
      </c>
      <c r="AE414" s="3">
        <v>246</v>
      </c>
      <c r="AF414" s="3">
        <f>IF(ISERROR((VLOOKUP($A414,'SegEnds_NonXtal_BW#'!$A:$Z,22,FALSE)+VLOOKUP($A414,A:AL,31,FALSE)-50)),"-",(VLOOKUP($A414,'SegEnds_NonXtal_BW#'!$A:$Z,22,FALSE)+VLOOKUP($A414,A:AL,31,FALSE)-50))</f>
        <v>257</v>
      </c>
      <c r="AG414" s="3">
        <f>IF(ISERROR(VLOOKUP($A414,'SegEnds_NonXtal_BW#'!$A:$Z,23,FALSE)+VLOOKUP($A414,A:AL,34,FALSE)-50),"-",(VLOOKUP($A414,'SegEnds_NonXtal_BW#'!$A:$Z,23,FALSE)+VLOOKUP($A414,A:AL,34,FALSE)-50))</f>
        <v>263</v>
      </c>
      <c r="AH414" s="3">
        <v>282</v>
      </c>
      <c r="AI414" s="3">
        <f>IF(ISERROR((VLOOKUP($A414,'SegEnds_NonXtal_BW#'!$A:$Z,24,FALSE)+VLOOKUP($A414,A:AL,34,FALSE)-50)),"-",(VLOOKUP($A414,'SegEnds_NonXtal_BW#'!$A:$Z,24,FALSE)+VLOOKUP($A414,A:AL,34,FALSE)-50))</f>
        <v>288</v>
      </c>
      <c r="AJ414" s="3">
        <f>IF(ISERROR(VLOOKUP($A414,'SegEnds_NonXtal_BW#'!$A:$Z,25,FALSE)+VLOOKUP($A414,A:AL,37,FALSE)-50),"-",(VLOOKUP($A414,'SegEnds_NonXtal_BW#'!$A:$Z,25,FALSE)+VLOOKUP($A414,A:AL,37,FALSE)-50))</f>
        <v>289</v>
      </c>
      <c r="AK414" s="3">
        <v>292</v>
      </c>
      <c r="AL414" s="3">
        <f>IF(ISERROR((VLOOKUP($A414,'SegEnds_NonXtal_BW#'!$A:$Z,26,FALSE)+VLOOKUP($A414,A:AL,37,FALSE)-50)),"-",(VLOOKUP($A414,'SegEnds_NonXtal_BW#'!$A:$Z,26,FALSE)+VLOOKUP($A414,A:AL,37,FALSE)-50))</f>
        <v>302</v>
      </c>
      <c r="AM414" s="28" t="str">
        <f>VLOOKUP(A414,Classification!A:B,2,FALSE)</f>
        <v>T</v>
      </c>
      <c r="AN414" s="28" t="b">
        <f t="shared" si="269"/>
        <v>1</v>
      </c>
      <c r="AO414" s="3" t="str">
        <f>IF(ISERROR(MATCH(A414,'SegEnds_Xtal_Prot#'!B:B, 0)), "NoXtal", "Xtal")</f>
        <v>NoXtal</v>
      </c>
      <c r="AP414" s="3">
        <f t="shared" si="254"/>
        <v>1</v>
      </c>
      <c r="AQ414" s="3">
        <f t="shared" si="255"/>
        <v>1</v>
      </c>
      <c r="AR414" s="3" t="str">
        <f t="shared" si="256"/>
        <v>-</v>
      </c>
      <c r="AS414" s="3" t="str">
        <f t="shared" si="257"/>
        <v>-</v>
      </c>
      <c r="AT414" s="3">
        <f t="shared" si="258"/>
        <v>3</v>
      </c>
      <c r="AU414" s="3">
        <f t="shared" si="259"/>
        <v>1</v>
      </c>
      <c r="AV414" s="3" t="str">
        <f t="shared" si="260"/>
        <v>-</v>
      </c>
      <c r="AW414" s="3" t="str">
        <f t="shared" si="261"/>
        <v>-</v>
      </c>
      <c r="AX414" s="3">
        <f t="shared" si="262"/>
        <v>10</v>
      </c>
      <c r="AY414" s="3">
        <f t="shared" si="263"/>
        <v>6</v>
      </c>
      <c r="AZ414" s="3">
        <f t="shared" si="264"/>
        <v>1</v>
      </c>
      <c r="BA414" s="3">
        <f>IF(ISERROR(LEN(VLOOKUP(A414,Seqs!A:E,2,FALSE))-AL414),"-",LEN(VLOOKUP(A414,Seqs!A:E,2,FALSE))-AL414)</f>
        <v>16</v>
      </c>
      <c r="BB414" s="16">
        <f t="shared" si="265"/>
        <v>31</v>
      </c>
      <c r="BC414" s="9">
        <f t="shared" si="266"/>
        <v>20</v>
      </c>
      <c r="BD414" s="3">
        <f t="shared" si="267"/>
        <v>31</v>
      </c>
      <c r="BE414" s="3">
        <f t="shared" si="268"/>
        <v>53</v>
      </c>
      <c r="BF414" s="3">
        <f t="shared" si="253"/>
        <v>36</v>
      </c>
    </row>
    <row r="415" spans="1:58" s="3" customFormat="1" x14ac:dyDescent="0.2">
      <c r="A415" s="3" t="s">
        <v>479</v>
      </c>
      <c r="B415" s="3" t="str">
        <f>LOWER(VLOOKUP(A415,Xtal_Templ!A:B,2,FALSE))</f>
        <v>drd2_human</v>
      </c>
      <c r="C415" s="3">
        <f>VLOOKUP($A415,'SegEnds_NonXtal_BW#'!$A:$Z,3,FALSE)+D415-50</f>
        <v>6</v>
      </c>
      <c r="D415" s="3">
        <v>24</v>
      </c>
      <c r="E415" s="3">
        <f t="shared" si="248"/>
        <v>36</v>
      </c>
      <c r="F415" s="3">
        <f t="shared" si="249"/>
        <v>37</v>
      </c>
      <c r="G415" s="3">
        <v>39</v>
      </c>
      <c r="H415" s="3">
        <f t="shared" si="250"/>
        <v>40</v>
      </c>
      <c r="I415" s="3">
        <f t="shared" si="250"/>
        <v>41</v>
      </c>
      <c r="J415" s="3">
        <v>55</v>
      </c>
      <c r="K415" s="3">
        <f>VLOOKUP($A415,'SegEnds_NonXtal_BW#'!$A:$Z,8,FALSE)+VLOOKUP($A415,A:AL,10,FALSE)-50</f>
        <v>71</v>
      </c>
      <c r="L415" s="3" t="str">
        <f>IF(ISERROR(VLOOKUP($A415,'SegEnds_NonXtal_BW#'!$A:$Z,9,FALSE)+VLOOKUP($A415,A:AL,13,FALSE)-50),"-",(VLOOKUP($A415,'SegEnds_NonXtal_BW#'!$A:$Z,9,FALSE)+VLOOKUP($A415,A:AL,13,FALSE)-50))</f>
        <v>-</v>
      </c>
      <c r="M415" s="3" t="s">
        <v>23</v>
      </c>
      <c r="N415" s="3" t="str">
        <f>IF(ISERROR(VLOOKUP($A415,'SegEnds_NonXtal_BW#'!$A:$Z,10,FALSE)+VLOOKUP($A415,A:AL,13,FALSE)-50),"-",(VLOOKUP($A415,'SegEnds_NonXtal_BW#'!$A:$Z,10,FALSE)+VLOOKUP($A415,A:AL,13,FALSE)-50))</f>
        <v>-</v>
      </c>
      <c r="O415" s="3">
        <f>VLOOKUP($A415,'SegEnds_NonXtal_BW#'!$A:$Z,11,FALSE)+VLOOKUP($A415,A:AL,16,FALSE)-50</f>
        <v>75</v>
      </c>
      <c r="P415" s="3">
        <v>107</v>
      </c>
      <c r="Q415" s="3">
        <f>VLOOKUP($A415,'SegEnds_NonXtal_BW#'!$A:$Z,12,FALSE)+VLOOKUP($A415,A:AL,16,FALSE)-50</f>
        <v>113</v>
      </c>
      <c r="R415" s="3">
        <f t="shared" si="251"/>
        <v>116</v>
      </c>
      <c r="S415" s="3">
        <v>116</v>
      </c>
      <c r="T415" s="100">
        <f t="shared" si="252"/>
        <v>123</v>
      </c>
      <c r="U415" s="9">
        <f>IF(ISERROR(VLOOKUP($A415,'SegEnds_NonXtal_BW#'!$A:$Z,15,FALSE)+VLOOKUP($A415,A:AL,22,FALSE)-50),"-",VLOOKUP($A415,'SegEnds_NonXtal_BW#'!$A:$Z,15,FALSE)+VLOOKUP($A415,A:AL,22,FALSE)-50)</f>
        <v>124</v>
      </c>
      <c r="V415" s="3">
        <v>136</v>
      </c>
      <c r="W415" s="3">
        <f>IF(ISERROR(VLOOKUP($A415,'SegEnds_NonXtal_BW#'!$A:$Z,16,FALSE)+VLOOKUP($A415,A:AL,22,FALSE)-50),"-",(VLOOKUP($A415,'SegEnds_NonXtal_BW#'!$A:$Z,16,FALSE)+VLOOKUP($A415,A:AL,22,FALSE)-50))</f>
        <v>148</v>
      </c>
      <c r="X415" s="3" t="str">
        <f>IF(ISERROR(VLOOKUP($A415,'SegEnds_NonXtal_BW#'!$A:$Z,17,FALSE)+VLOOKUP($A415,A:AL,25,FALSE)-50),"-",(VLOOKUP($A415,'SegEnds_NonXtal_BW#'!$A:$Z,17,FALSE)+VLOOKUP($A415,A:AL,25,FALSE)-50))</f>
        <v>-</v>
      </c>
      <c r="Y415" s="3" t="s">
        <v>23</v>
      </c>
      <c r="Z415" s="3" t="str">
        <f>IF(ISERROR(VLOOKUP($A415,'SegEnds_NonXtal_BW#'!$A:$Z,18,FALSE)+VLOOKUP($A415,A:AL,25,FALSE)-50),"-",(VLOOKUP($A415,'SegEnds_NonXtal_BW#'!$A:$Z,18,FALSE)+VLOOKUP($A415,A:AL,25,FALSE)-50))</f>
        <v>-</v>
      </c>
      <c r="AA415" s="3">
        <f>IF(ISERROR(VLOOKUP($A415,'SegEnds_NonXtal_BW#'!$A:$Z,19,FALSE)+VLOOKUP($A415,A:AL,28,FALSE)-50),"-",(VLOOKUP($A415,'SegEnds_NonXtal_BW#'!$A:$Z,19,FALSE)+VLOOKUP($A415,A:AL,28,FALSE)-50))</f>
        <v>175</v>
      </c>
      <c r="AB415" s="3">
        <v>193</v>
      </c>
      <c r="AC415" s="3">
        <f>IF(ISERROR((VLOOKUP($A415,'SegEnds_NonXtal_BW#'!$A:$Z,20,FALSE)+VLOOKUP($A415,A:AL,28,FALSE)-50)),"-",(VLOOKUP($A415,'SegEnds_NonXtal_BW#'!$A:$Z,20,FALSE)+VLOOKUP($A415,A:AL,28,FALSE)-50))</f>
        <v>215</v>
      </c>
      <c r="AD415" s="3">
        <f>IF(ISERROR(VLOOKUP($A415,'SegEnds_NonXtal_BW#'!$A:$Z,21,FALSE)+VLOOKUP($A415,A:AL,31,FALSE)-50),"-",(VLOOKUP($A415,'SegEnds_NonXtal_BW#'!$A:$Z,21,FALSE)+VLOOKUP($A415,A:AL,31,FALSE)-50))</f>
        <v>225</v>
      </c>
      <c r="AE415" s="3">
        <v>246</v>
      </c>
      <c r="AF415" s="3">
        <f>IF(ISERROR((VLOOKUP($A415,'SegEnds_NonXtal_BW#'!$A:$Z,22,FALSE)+VLOOKUP($A415,A:AL,31,FALSE)-50)),"-",(VLOOKUP($A415,'SegEnds_NonXtal_BW#'!$A:$Z,22,FALSE)+VLOOKUP($A415,A:AL,31,FALSE)-50))</f>
        <v>257</v>
      </c>
      <c r="AG415" s="3">
        <f>IF(ISERROR(VLOOKUP($A415,'SegEnds_NonXtal_BW#'!$A:$Z,23,FALSE)+VLOOKUP($A415,A:AL,34,FALSE)-50),"-",(VLOOKUP($A415,'SegEnds_NonXtal_BW#'!$A:$Z,23,FALSE)+VLOOKUP($A415,A:AL,34,FALSE)-50))</f>
        <v>263</v>
      </c>
      <c r="AH415" s="3">
        <v>282</v>
      </c>
      <c r="AI415" s="3">
        <f>IF(ISERROR((VLOOKUP($A415,'SegEnds_NonXtal_BW#'!$A:$Z,24,FALSE)+VLOOKUP($A415,A:AL,34,FALSE)-50)),"-",(VLOOKUP($A415,'SegEnds_NonXtal_BW#'!$A:$Z,24,FALSE)+VLOOKUP($A415,A:AL,34,FALSE)-50))</f>
        <v>288</v>
      </c>
      <c r="AJ415" s="3">
        <f>IF(ISERROR(VLOOKUP($A415,'SegEnds_NonXtal_BW#'!$A:$Z,25,FALSE)+VLOOKUP($A415,A:AL,37,FALSE)-50),"-",(VLOOKUP($A415,'SegEnds_NonXtal_BW#'!$A:$Z,25,FALSE)+VLOOKUP($A415,A:AL,37,FALSE)-50))</f>
        <v>289</v>
      </c>
      <c r="AK415" s="3">
        <v>292</v>
      </c>
      <c r="AL415" s="3">
        <f>IF(ISERROR((VLOOKUP($A415,'SegEnds_NonXtal_BW#'!$A:$Z,26,FALSE)+VLOOKUP($A415,A:AL,37,FALSE)-50)),"-",(VLOOKUP($A415,'SegEnds_NonXtal_BW#'!$A:$Z,26,FALSE)+VLOOKUP($A415,A:AL,37,FALSE)-50))</f>
        <v>302</v>
      </c>
      <c r="AM415" s="28" t="str">
        <f>VLOOKUP(A415,Classification!A:B,2,FALSE)</f>
        <v>T</v>
      </c>
      <c r="AN415" s="28" t="b">
        <f t="shared" si="269"/>
        <v>1</v>
      </c>
      <c r="AO415" s="3" t="str">
        <f>IF(ISERROR(MATCH(A415,'SegEnds_Xtal_Prot#'!B:B, 0)), "NoXtal", "Xtal")</f>
        <v>NoXtal</v>
      </c>
      <c r="AP415" s="3">
        <f t="shared" si="254"/>
        <v>1</v>
      </c>
      <c r="AQ415" s="3">
        <f t="shared" si="255"/>
        <v>1</v>
      </c>
      <c r="AR415" s="3" t="str">
        <f t="shared" si="256"/>
        <v>-</v>
      </c>
      <c r="AS415" s="3" t="str">
        <f t="shared" si="257"/>
        <v>-</v>
      </c>
      <c r="AT415" s="3">
        <f t="shared" si="258"/>
        <v>3</v>
      </c>
      <c r="AU415" s="3">
        <f t="shared" si="259"/>
        <v>1</v>
      </c>
      <c r="AV415" s="3" t="str">
        <f t="shared" si="260"/>
        <v>-</v>
      </c>
      <c r="AW415" s="3" t="str">
        <f t="shared" si="261"/>
        <v>-</v>
      </c>
      <c r="AX415" s="3">
        <f t="shared" si="262"/>
        <v>10</v>
      </c>
      <c r="AY415" s="3">
        <f t="shared" si="263"/>
        <v>6</v>
      </c>
      <c r="AZ415" s="3">
        <f t="shared" si="264"/>
        <v>1</v>
      </c>
      <c r="BA415" s="3">
        <f>IF(ISERROR(LEN(VLOOKUP(A415,Seqs!A:E,2,FALSE))-AL415),"-",LEN(VLOOKUP(A415,Seqs!A:E,2,FALSE))-AL415)</f>
        <v>7</v>
      </c>
      <c r="BB415" s="16">
        <f t="shared" si="265"/>
        <v>31</v>
      </c>
      <c r="BC415" s="9">
        <f t="shared" si="266"/>
        <v>20</v>
      </c>
      <c r="BD415" s="3">
        <f t="shared" si="267"/>
        <v>31</v>
      </c>
      <c r="BE415" s="3">
        <f t="shared" si="268"/>
        <v>53</v>
      </c>
      <c r="BF415" s="3">
        <f t="shared" si="253"/>
        <v>36</v>
      </c>
    </row>
    <row r="416" spans="1:58" s="3" customFormat="1" x14ac:dyDescent="0.2">
      <c r="A416" s="3" t="s">
        <v>480</v>
      </c>
      <c r="B416" s="3" t="str">
        <f>LOWER(VLOOKUP(A416,Xtal_Templ!A:B,2,FALSE))</f>
        <v>agtr1_human</v>
      </c>
      <c r="C416" s="3">
        <f>VLOOKUP($A416,'SegEnds_NonXtal_BW#'!$A:$Z,3,FALSE)+D416-50</f>
        <v>6</v>
      </c>
      <c r="D416" s="3">
        <v>24</v>
      </c>
      <c r="E416" s="3">
        <f t="shared" si="248"/>
        <v>36</v>
      </c>
      <c r="F416" s="3">
        <f t="shared" si="249"/>
        <v>37</v>
      </c>
      <c r="G416" s="3">
        <v>39</v>
      </c>
      <c r="H416" s="3">
        <f t="shared" si="250"/>
        <v>40</v>
      </c>
      <c r="I416" s="3">
        <f t="shared" si="250"/>
        <v>41</v>
      </c>
      <c r="J416" s="3">
        <v>55</v>
      </c>
      <c r="K416" s="3">
        <f>VLOOKUP($A416,'SegEnds_NonXtal_BW#'!$A:$Z,8,FALSE)+VLOOKUP($A416,A:AL,10,FALSE)-50</f>
        <v>71</v>
      </c>
      <c r="L416" s="3" t="str">
        <f>IF(ISERROR(VLOOKUP($A416,'SegEnds_NonXtal_BW#'!$A:$Z,9,FALSE)+VLOOKUP($A416,A:AL,13,FALSE)-50),"-",(VLOOKUP($A416,'SegEnds_NonXtal_BW#'!$A:$Z,9,FALSE)+VLOOKUP($A416,A:AL,13,FALSE)-50))</f>
        <v>-</v>
      </c>
      <c r="M416" s="3" t="s">
        <v>23</v>
      </c>
      <c r="N416" s="3" t="str">
        <f>IF(ISERROR(VLOOKUP($A416,'SegEnds_NonXtal_BW#'!$A:$Z,10,FALSE)+VLOOKUP($A416,A:AL,13,FALSE)-50),"-",(VLOOKUP($A416,'SegEnds_NonXtal_BW#'!$A:$Z,10,FALSE)+VLOOKUP($A416,A:AL,13,FALSE)-50))</f>
        <v>-</v>
      </c>
      <c r="O416" s="3">
        <f>VLOOKUP($A416,'SegEnds_NonXtal_BW#'!$A:$Z,11,FALSE)+VLOOKUP($A416,A:AL,16,FALSE)-50</f>
        <v>75</v>
      </c>
      <c r="P416" s="3">
        <v>107</v>
      </c>
      <c r="Q416" s="3">
        <f>VLOOKUP($A416,'SegEnds_NonXtal_BW#'!$A:$Z,12,FALSE)+VLOOKUP($A416,A:AL,16,FALSE)-50</f>
        <v>113</v>
      </c>
      <c r="R416" s="3">
        <f t="shared" si="251"/>
        <v>116</v>
      </c>
      <c r="S416" s="3">
        <v>116</v>
      </c>
      <c r="T416" s="100">
        <f t="shared" si="252"/>
        <v>123</v>
      </c>
      <c r="U416" s="9">
        <f>IF(ISERROR(VLOOKUP($A416,'SegEnds_NonXtal_BW#'!$A:$Z,15,FALSE)+VLOOKUP($A416,A:AL,22,FALSE)-50),"-",VLOOKUP($A416,'SegEnds_NonXtal_BW#'!$A:$Z,15,FALSE)+VLOOKUP($A416,A:AL,22,FALSE)-50)</f>
        <v>124</v>
      </c>
      <c r="V416" s="3">
        <v>136</v>
      </c>
      <c r="W416" s="3">
        <f>IF(ISERROR(VLOOKUP($A416,'SegEnds_NonXtal_BW#'!$A:$Z,16,FALSE)+VLOOKUP($A416,A:AL,22,FALSE)-50),"-",(VLOOKUP($A416,'SegEnds_NonXtal_BW#'!$A:$Z,16,FALSE)+VLOOKUP($A416,A:AL,22,FALSE)-50))</f>
        <v>150</v>
      </c>
      <c r="X416" s="3" t="str">
        <f>IF(ISERROR(VLOOKUP($A416,'SegEnds_NonXtal_BW#'!$A:$Z,17,FALSE)+VLOOKUP($A416,A:AL,25,FALSE)-50),"-",(VLOOKUP($A416,'SegEnds_NonXtal_BW#'!$A:$Z,17,FALSE)+VLOOKUP($A416,A:AL,25,FALSE)-50))</f>
        <v>-</v>
      </c>
      <c r="Y416" s="3" t="s">
        <v>23</v>
      </c>
      <c r="Z416" s="3" t="str">
        <f>IF(ISERROR(VLOOKUP($A416,'SegEnds_NonXtal_BW#'!$A:$Z,18,FALSE)+VLOOKUP($A416,A:AL,25,FALSE)-50),"-",(VLOOKUP($A416,'SegEnds_NonXtal_BW#'!$A:$Z,18,FALSE)+VLOOKUP($A416,A:AL,25,FALSE)-50))</f>
        <v>-</v>
      </c>
      <c r="AA416" s="3">
        <f>IF(ISERROR(VLOOKUP($A416,'SegEnds_NonXtal_BW#'!$A:$Z,19,FALSE)+VLOOKUP($A416,A:AL,28,FALSE)-50),"-",(VLOOKUP($A416,'SegEnds_NonXtal_BW#'!$A:$Z,19,FALSE)+VLOOKUP($A416,A:AL,28,FALSE)-50))</f>
        <v>172</v>
      </c>
      <c r="AB416" s="3">
        <v>190</v>
      </c>
      <c r="AC416" s="3">
        <f>IF(ISERROR((VLOOKUP($A416,'SegEnds_NonXtal_BW#'!$A:$Z,20,FALSE)+VLOOKUP($A416,A:AL,28,FALSE)-50)),"-",(VLOOKUP($A416,'SegEnds_NonXtal_BW#'!$A:$Z,20,FALSE)+VLOOKUP($A416,A:AL,28,FALSE)-50))</f>
        <v>212</v>
      </c>
      <c r="AD416" s="3">
        <f>IF(ISERROR(VLOOKUP($A416,'SegEnds_NonXtal_BW#'!$A:$Z,21,FALSE)+VLOOKUP($A416,A:AL,31,FALSE)-50),"-",(VLOOKUP($A416,'SegEnds_NonXtal_BW#'!$A:$Z,21,FALSE)+VLOOKUP($A416,A:AL,31,FALSE)-50))</f>
        <v>222</v>
      </c>
      <c r="AE416" s="3">
        <v>243</v>
      </c>
      <c r="AF416" s="3">
        <f>IF(ISERROR((VLOOKUP($A416,'SegEnds_NonXtal_BW#'!$A:$Z,22,FALSE)+VLOOKUP($A416,A:AL,31,FALSE)-50)),"-",(VLOOKUP($A416,'SegEnds_NonXtal_BW#'!$A:$Z,22,FALSE)+VLOOKUP($A416,A:AL,31,FALSE)-50))</f>
        <v>254</v>
      </c>
      <c r="AG416" s="3">
        <f>IF(ISERROR(VLOOKUP($A416,'SegEnds_NonXtal_BW#'!$A:$Z,23,FALSE)+VLOOKUP($A416,A:AL,34,FALSE)-50),"-",(VLOOKUP($A416,'SegEnds_NonXtal_BW#'!$A:$Z,23,FALSE)+VLOOKUP($A416,A:AL,34,FALSE)-50))</f>
        <v>260</v>
      </c>
      <c r="AH416" s="3">
        <v>279</v>
      </c>
      <c r="AI416" s="3">
        <f>IF(ISERROR((VLOOKUP($A416,'SegEnds_NonXtal_BW#'!$A:$Z,24,FALSE)+VLOOKUP($A416,A:AL,34,FALSE)-50)),"-",(VLOOKUP($A416,'SegEnds_NonXtal_BW#'!$A:$Z,24,FALSE)+VLOOKUP($A416,A:AL,34,FALSE)-50))</f>
        <v>285</v>
      </c>
      <c r="AJ416" s="3">
        <f>IF(ISERROR(VLOOKUP($A416,'SegEnds_NonXtal_BW#'!$A:$Z,25,FALSE)+VLOOKUP($A416,A:AL,37,FALSE)-50),"-",(VLOOKUP($A416,'SegEnds_NonXtal_BW#'!$A:$Z,25,FALSE)+VLOOKUP($A416,A:AL,37,FALSE)-50))</f>
        <v>286</v>
      </c>
      <c r="AK416" s="3">
        <v>289</v>
      </c>
      <c r="AL416" s="3">
        <f>IF(ISERROR((VLOOKUP($A416,'SegEnds_NonXtal_BW#'!$A:$Z,26,FALSE)+VLOOKUP($A416,A:AL,37,FALSE)-50)),"-",(VLOOKUP($A416,'SegEnds_NonXtal_BW#'!$A:$Z,26,FALSE)+VLOOKUP($A416,A:AL,37,FALSE)-50))</f>
        <v>299</v>
      </c>
      <c r="AM416" s="28" t="str">
        <f>VLOOKUP(A416,Classification!A:B,2,FALSE)</f>
        <v>T</v>
      </c>
      <c r="AN416" s="28" t="b">
        <f t="shared" si="269"/>
        <v>1</v>
      </c>
      <c r="AO416" s="3" t="str">
        <f>IF(ISERROR(MATCH(A416,'SegEnds_Xtal_Prot#'!B:B, 0)), "NoXtal", "Xtal")</f>
        <v>NoXtal</v>
      </c>
      <c r="AP416" s="3">
        <f t="shared" si="254"/>
        <v>1</v>
      </c>
      <c r="AQ416" s="3">
        <f t="shared" si="255"/>
        <v>1</v>
      </c>
      <c r="AR416" s="3" t="str">
        <f t="shared" si="256"/>
        <v>-</v>
      </c>
      <c r="AS416" s="3" t="str">
        <f t="shared" si="257"/>
        <v>-</v>
      </c>
      <c r="AT416" s="3">
        <f t="shared" si="258"/>
        <v>3</v>
      </c>
      <c r="AU416" s="3">
        <f t="shared" si="259"/>
        <v>1</v>
      </c>
      <c r="AV416" s="3" t="str">
        <f t="shared" si="260"/>
        <v>-</v>
      </c>
      <c r="AW416" s="3" t="str">
        <f t="shared" si="261"/>
        <v>-</v>
      </c>
      <c r="AX416" s="3">
        <f t="shared" si="262"/>
        <v>10</v>
      </c>
      <c r="AY416" s="3">
        <f t="shared" si="263"/>
        <v>6</v>
      </c>
      <c r="AZ416" s="3">
        <f t="shared" si="264"/>
        <v>1</v>
      </c>
      <c r="BA416" s="3">
        <f>IF(ISERROR(LEN(VLOOKUP(A416,Seqs!A:E,2,FALSE))-AL416),"-",LEN(VLOOKUP(A416,Seqs!A:E,2,FALSE))-AL416)</f>
        <v>13</v>
      </c>
      <c r="BB416" s="16">
        <f t="shared" si="265"/>
        <v>31</v>
      </c>
      <c r="BC416" s="9">
        <f t="shared" si="266"/>
        <v>20</v>
      </c>
      <c r="BD416" s="3">
        <f t="shared" si="267"/>
        <v>31</v>
      </c>
      <c r="BE416" s="3">
        <f t="shared" si="268"/>
        <v>53</v>
      </c>
      <c r="BF416" s="3">
        <f t="shared" si="253"/>
        <v>36</v>
      </c>
    </row>
    <row r="417" spans="20:55" s="3" customFormat="1" x14ac:dyDescent="0.2">
      <c r="T417" s="100"/>
      <c r="U417" s="9"/>
      <c r="AM417" s="28"/>
      <c r="AN417" s="16"/>
      <c r="BB417" s="16"/>
      <c r="BC417" s="9"/>
    </row>
    <row r="418" spans="20:55" s="3" customFormat="1" x14ac:dyDescent="0.2">
      <c r="T418" s="100"/>
      <c r="U418" s="9"/>
      <c r="AM418" s="28"/>
      <c r="AN418" s="16"/>
      <c r="BB418" s="16"/>
      <c r="BC418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6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6">
    <cfRule type="expression" dxfId="22" priority="25">
      <formula>NOT(OR(C2&lt;E2,C2="-",E2="-"))</formula>
    </cfRule>
  </conditionalFormatting>
  <conditionalFormatting sqref="K2:L2 K3 K4:L416">
    <cfRule type="expression" dxfId="21" priority="29">
      <formula>NOT(OR(G2&lt;K2,G2="-",K2="-"))</formula>
    </cfRule>
  </conditionalFormatting>
  <conditionalFormatting sqref="N2:O2 N4:N18 O3:O18 N19:O416">
    <cfRule type="expression" dxfId="20" priority="31">
      <formula>NOT(OR(I2&lt;N2,I2="-",N2="-"))</formula>
    </cfRule>
  </conditionalFormatting>
  <conditionalFormatting sqref="Q2:R416">
    <cfRule type="expression" dxfId="19" priority="33">
      <formula>NOT(OR(K2&lt;Q2,K2="-",Q2="-"))</formula>
    </cfRule>
  </conditionalFormatting>
  <conditionalFormatting sqref="T2:U416">
    <cfRule type="expression" dxfId="18" priority="35">
      <formula>NOT(OR(M2&lt;T2,M2="-",T2="-"))</formula>
    </cfRule>
  </conditionalFormatting>
  <conditionalFormatting sqref="W2:X416">
    <cfRule type="expression" dxfId="17" priority="37">
      <formula>NOT(OR(O2&lt;W2,O2="-",W2="-"))</formula>
    </cfRule>
  </conditionalFormatting>
  <conditionalFormatting sqref="Z2:AA416">
    <cfRule type="expression" dxfId="16" priority="39">
      <formula>NOT(OR(Q2&lt;Z2,Q2="-",Z2="-"))</formula>
    </cfRule>
  </conditionalFormatting>
  <conditionalFormatting sqref="AC2:AD416">
    <cfRule type="expression" dxfId="15" priority="41">
      <formula>NOT(OR(S2&lt;AC2,S2="-",AC2="-"))</formula>
    </cfRule>
  </conditionalFormatting>
  <conditionalFormatting sqref="AF2:AG416">
    <cfRule type="expression" dxfId="14" priority="43">
      <formula>NOT(OR(U2&lt;AF2,U2="-",AF2="-"))</formula>
    </cfRule>
  </conditionalFormatting>
  <conditionalFormatting sqref="AI2:AJ416">
    <cfRule type="expression" dxfId="13" priority="45">
      <formula>NOT(OR(W2&lt;AI2,W2="-",AI2="-"))</formula>
    </cfRule>
  </conditionalFormatting>
  <conditionalFormatting sqref="AL2:AL416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9"/>
  <sheetViews>
    <sheetView zoomScale="120" zoomScaleNormal="120" zoomScalePageLayoutView="120" workbookViewId="0">
      <pane ySplit="1" topLeftCell="A194" activePane="bottomLeft" state="frozenSplit"/>
      <selection pane="bottomLeft" activeCell="A214" sqref="A214:XFD214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1203</v>
      </c>
      <c r="C1" s="30" t="s">
        <v>99</v>
      </c>
      <c r="D1" s="30" t="s">
        <v>1226</v>
      </c>
      <c r="E1" s="30" t="s">
        <v>1469</v>
      </c>
      <c r="F1" s="55" t="s">
        <v>13</v>
      </c>
      <c r="G1" s="20" t="s">
        <v>5</v>
      </c>
      <c r="H1" s="4" t="s">
        <v>1363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1319</v>
      </c>
      <c r="P1" s="53" t="s">
        <v>1323</v>
      </c>
      <c r="Q1" s="53" t="s">
        <v>1366</v>
      </c>
      <c r="R1" s="20" t="s">
        <v>9</v>
      </c>
      <c r="S1" s="20" t="s">
        <v>1322</v>
      </c>
      <c r="T1" s="20" t="s">
        <v>12</v>
      </c>
      <c r="U1" s="20" t="s">
        <v>1324</v>
      </c>
      <c r="V1" s="26" t="s">
        <v>1309</v>
      </c>
      <c r="W1" s="30" t="s">
        <v>1310</v>
      </c>
      <c r="X1" s="30" t="s">
        <v>1311</v>
      </c>
      <c r="Y1" s="30" t="s">
        <v>1312</v>
      </c>
      <c r="Z1" s="30" t="s">
        <v>1313</v>
      </c>
      <c r="AA1" s="103" t="s">
        <v>1383</v>
      </c>
      <c r="AB1" s="26" t="s">
        <v>1314</v>
      </c>
      <c r="AC1" s="26" t="s">
        <v>1315</v>
      </c>
      <c r="AD1" s="26" t="s">
        <v>1316</v>
      </c>
      <c r="AE1" s="26" t="s">
        <v>1317</v>
      </c>
      <c r="AF1" s="30" t="s">
        <v>1318</v>
      </c>
      <c r="AG1" s="26" t="s">
        <v>1320</v>
      </c>
      <c r="AH1" s="30" t="s">
        <v>1321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drd2_human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1469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1319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1319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1319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1319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909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911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ccr7_human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fpr2_human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fpr2_human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fpr2_human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fpr2_human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ccr7_human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ccr7_human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ccr7_human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ccr7_human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1171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fpr2_human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fpr2_human</v>
      </c>
      <c r="C111" s="2" t="str">
        <f>VLOOKUP(A111,Classification!A:D,2,FALSE)</f>
        <v>A</v>
      </c>
      <c r="D111" s="2" t="str">
        <f>IF(ISERROR(MATCH(A111,'SegEnds_Xtal_Prot#'!B:B, 0)), "NoXtal", "Xtal")</f>
        <v>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fpr2_human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adrb2_human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1172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1322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1322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fpr2_human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5ht2c_human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1440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1451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1"/>
      <c r="G140" s="121"/>
      <c r="H140" s="121"/>
      <c r="I140" s="121"/>
      <c r="J140" s="121"/>
      <c r="K140" s="121"/>
      <c r="L140" s="121"/>
      <c r="M140" s="121"/>
      <c r="N140" s="122" t="s">
        <v>14</v>
      </c>
      <c r="O140" s="121"/>
      <c r="P140" s="121"/>
      <c r="Q140" s="121"/>
      <c r="R140" s="121" t="s">
        <v>9</v>
      </c>
      <c r="S140" s="121"/>
      <c r="T140" s="121" t="s">
        <v>12</v>
      </c>
      <c r="U140" s="121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ntr1_human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fpr2_human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ntr1_human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913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915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1322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fpr2_human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917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ccr7_human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1173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mtr1b_human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919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919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919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mtr1a_human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921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1363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mtr1a_human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1174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gpr52_human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gpr52_human</v>
      </c>
      <c r="C214" s="2" t="str">
        <f>VLOOKUP(A214,Classification!A:D,2,FALSE)</f>
        <v>A</v>
      </c>
      <c r="D214" s="2" t="str">
        <f>IF(ISERROR(MATCH(A214,'SegEnds_Xtal_Prot#'!B:B, 0)), "NoXtal", "Xtal")</f>
        <v>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mtr1b_human</v>
      </c>
      <c r="C216" s="2" t="str">
        <f>VLOOKUP(A216,Classification!A:D,2,FALSE)</f>
        <v>A</v>
      </c>
      <c r="D216" s="2" t="str">
        <f>IF(ISERROR(MATCH(A216,'SegEnds_Xtal_Prot#'!B:B, 0)), "NoXtal", "Xtal")</f>
        <v>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mtr1a_human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1175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npy1r_human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cltr1_human</v>
      </c>
      <c r="C232" s="2" t="str">
        <f>VLOOKUP(A232,Classification!A:D,2,FALSE)</f>
        <v>A</v>
      </c>
      <c r="D232" s="2" t="str">
        <f>IF(ISERROR(MATCH(A232,'SegEnds_Xtal_Prot#'!B:B, 0)), "NoXtal", "Xtal")</f>
        <v>Xtal</v>
      </c>
      <c r="H232" s="4"/>
      <c r="N232" s="2" t="s">
        <v>14</v>
      </c>
      <c r="R232" s="2" t="s">
        <v>9</v>
      </c>
      <c r="S232" s="2" t="s">
        <v>1322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cltr2_human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1322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par2_human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cltr2_human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ccr7_human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cltr2_human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cltr1_human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1322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1322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1322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1322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1322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1322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ptafr_human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sucr1_rat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1597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V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M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229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V</v>
      </c>
      <c r="AA261" s="49" t="str">
        <f>MID(VLOOKUP($A261,Seqs!$A:$B,2,FALSE),VLOOKUP($A261,'SegEnds_NonXtal_Prot#'!A:AL,10,FALSE)+10,1)</f>
        <v>K</v>
      </c>
      <c r="AB261" s="28" t="str">
        <f>MID(VLOOKUP($A261,Seqs!$A:$B,2,FALSE),VLOOKUP($A261,'SegEnds_NonXtal_Prot#'!$A:$AL,22,FALSE)+6,1)</f>
        <v>I</v>
      </c>
      <c r="AC261" s="49" t="str">
        <f>MID(VLOOKUP($A261,Seqs!$A:$B,2,FALSE),VLOOKUP($A261,'SegEnds_NonXtal_Prot#'!$A:$AL,22,FALSE)+7,1)</f>
        <v>M</v>
      </c>
      <c r="AD261" s="49" t="str">
        <f>MID(VLOOKUP($A261,Seqs!$A:$B,2,FALSE),VLOOKUP($A261,'SegEnds_NonXtal_Prot#'!$A:$AL,22,FALSE)+8,1)</f>
        <v>V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N</v>
      </c>
      <c r="AG261" s="28" t="str">
        <f>MID(VLOOKUP($A261,Seqs!$A:$B,2,FALSE),VLOOKUP($A261,'SegEnds_NonXtal_Prot#'!$A:$AL,28,FALSE)-4,1)</f>
        <v>I</v>
      </c>
      <c r="AH261" s="49" t="str">
        <f>MID(VLOOKUP($A261,Seqs!$A:$B,2,FALSE),VLOOKUP($A261,'SegEnds_NonXtal_Prot#'!$A:$AL,28,FALSE),1)</f>
        <v>F</v>
      </c>
    </row>
    <row r="262" spans="1:34" s="2" customFormat="1" x14ac:dyDescent="0.2">
      <c r="A262" s="2" t="s">
        <v>234</v>
      </c>
      <c r="B262" s="2" t="str">
        <f>LOWER(VLOOKUP(A262,Xtal_Templ!A:B,2,FALSE))</f>
        <v>oprk_human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R262" s="2" t="s">
        <v>9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T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Q</v>
      </c>
      <c r="AC262" s="49" t="str">
        <f>MID(VLOOKUP($A262,Seqs!$A:$B,2,FALSE),VLOOKUP($A262,'SegEnds_NonXtal_Prot#'!$A:$AL,22,FALSE)+7,1)</f>
        <v>T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L</v>
      </c>
      <c r="AG262" s="28" t="str">
        <f>MID(VLOOKUP($A262,Seqs!$A:$B,2,FALSE),VLOOKUP($A262,'SegEnds_NonXtal_Prot#'!$A:$AL,28,FALSE)-4,1)</f>
        <v>G</v>
      </c>
      <c r="AH262" s="49" t="str">
        <f>MID(VLOOKUP($A262,Seqs!$A:$B,2,FALSE),VLOOKUP($A262,'SegEnds_NonXtal_Prot#'!$A:$AL,28,FALSE),1)</f>
        <v>P</v>
      </c>
    </row>
    <row r="263" spans="1:34" s="2" customFormat="1" x14ac:dyDescent="0.2">
      <c r="A263" s="2" t="s">
        <v>253</v>
      </c>
      <c r="B263" s="2" t="str">
        <f>LOWER(VLOOKUP(A263,Xtal_Templ!A:B,2,FALSE))</f>
        <v>ptafr_human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S263" s="106"/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C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G</v>
      </c>
      <c r="AC263" s="49" t="str">
        <f>MID(VLOOKUP($A263,Seqs!$A:$B,2,FALSE),VLOOKUP($A263,'SegEnds_NonXtal_Prot#'!$A:$AL,22,FALSE)+7,1)</f>
        <v>F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T</v>
      </c>
      <c r="AF263" s="49" t="str">
        <f>MID(VLOOKUP($A263,Seqs!$A:$B,2,FALSE),VLOOKUP($A263,'SegEnds_NonXtal_Prot#'!$A:$AL,22,FALSE)+10,1)</f>
        <v>M</v>
      </c>
      <c r="AG263" s="28" t="str">
        <f>MID(VLOOKUP($A263,Seqs!$A:$B,2,FALSE),VLOOKUP($A263,'SegEnds_NonXtal_Prot#'!$A:$AL,28,FALSE)-4,1)</f>
        <v>M</v>
      </c>
      <c r="AH263" s="49" t="str">
        <f>MID(VLOOKUP($A263,Seqs!$A:$B,2,FALSE),VLOOKUP($A263,'SegEnds_NonXtal_Prot#'!$A:$AL,28,FALSE),1)</f>
        <v>I</v>
      </c>
    </row>
    <row r="264" spans="1:34" s="2" customFormat="1" x14ac:dyDescent="0.2">
      <c r="A264" s="2" t="s">
        <v>272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N264" s="2" t="s">
        <v>14</v>
      </c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T</v>
      </c>
      <c r="X264" s="49" t="str">
        <f>MID(VLOOKUP($A264,Seqs!$A:$B,2,FALSE),VLOOKUP($A264,'SegEnds_NonXtal_Prot#'!A:AL,10,FALSE)+7,1)</f>
        <v>F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L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P</v>
      </c>
      <c r="AF264" s="49" t="str">
        <f>MID(VLOOKUP($A264,Seqs!$A:$B,2,FALSE),VLOOKUP($A264,'SegEnds_NonXtal_Prot#'!$A:$AL,22,FALSE)+10,1)</f>
        <v>N</v>
      </c>
      <c r="AG264" s="28" t="str">
        <f>MID(VLOOKUP($A264,Seqs!$A:$B,2,FALSE),VLOOKUP($A264,'SegEnds_NonXtal_Prot#'!$A:$AL,28,FALSE)-4,1)</f>
        <v>L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307</v>
      </c>
      <c r="B265" s="2" t="str">
        <f>LOWER(VLOOKUP(A265,Xtal_Templ!A:B,2,FALSE))</f>
        <v>pd2r2_human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G</v>
      </c>
      <c r="X265" s="49" t="str">
        <f>MID(VLOOKUP($A265,Seqs!$A:$B,2,FALSE),VLOOKUP($A265,'SegEnds_NonXtal_Prot#'!A:AL,10,FALSE)+7,1)</f>
        <v>H</v>
      </c>
      <c r="Y265" s="49" t="str">
        <f>MID(VLOOKUP($A265,Seqs!$A:$B,2,FALSE),VLOOKUP($A265,'SegEnds_NonXtal_Prot#'!A:AL,10,FALSE)+8,1)</f>
        <v>I</v>
      </c>
      <c r="Z265" s="49" t="str">
        <f>MID(VLOOKUP($A265,Seqs!$A:$B,2,FALSE),VLOOKUP($A265,'SegEnds_NonXtal_Prot#'!A:AL,10,FALSE)+9,1)</f>
        <v>I</v>
      </c>
      <c r="AA265" s="49" t="str">
        <f>MID(VLOOKUP($A265,Seqs!$A:$B,2,FALSE),VLOOKUP($A265,'SegEnds_NonXtal_Prot#'!A:AL,10,FALSE)+10,1)</f>
        <v>C</v>
      </c>
      <c r="AB265" s="28" t="str">
        <f>MID(VLOOKUP($A265,Seqs!$A:$B,2,FALSE),VLOOKUP($A265,'SegEnds_NonXtal_Prot#'!$A:$AL,22,FALSE)+6,1)</f>
        <v>R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I</v>
      </c>
      <c r="AE265" s="49" t="str">
        <f>MID(VLOOKUP($A265,Seqs!$A:$B,2,FALSE),VLOOKUP($A265,'SegEnds_NonXtal_Prot#'!$A:$AL,22,FALSE)+9,1)</f>
        <v>L</v>
      </c>
      <c r="AF265" s="49" t="str">
        <f>MID(VLOOKUP($A265,Seqs!$A:$B,2,FALSE),VLOOKUP($A265,'SegEnds_NonXtal_Prot#'!$A:$AL,22,FALSE)+10,1)</f>
        <v>E</v>
      </c>
      <c r="AG265" s="28" t="str">
        <f>MID(VLOOKUP($A265,Seqs!$A:$B,2,FALSE),VLOOKUP($A265,'SegEnds_NonXtal_Prot#'!$A:$AL,28,FALSE)-4,1)</f>
        <v>V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352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Xtal</v>
      </c>
      <c r="H266" s="4"/>
      <c r="S266" s="2" t="s">
        <v>1322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T</v>
      </c>
      <c r="X266" s="49" t="str">
        <f>MID(VLOOKUP($A266,Seqs!$A:$B,2,FALSE),VLOOKUP($A266,'SegEnds_NonXtal_Prot#'!A:AL,10,FALSE)+7,1)</f>
        <v>F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L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N</v>
      </c>
    </row>
    <row r="267" spans="1:34" s="2" customFormat="1" x14ac:dyDescent="0.2">
      <c r="A267" s="2" t="s">
        <v>353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1322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M</v>
      </c>
      <c r="X267" s="49" t="str">
        <f>MID(VLOOKUP($A267,Seqs!$A:$B,2,FALSE),VLOOKUP($A267,'SegEnds_NonXtal_Prot#'!A:AL,10,FALSE)+7,1)</f>
        <v>L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I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354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1322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T</v>
      </c>
      <c r="X268" s="49" t="str">
        <f>MID(VLOOKUP($A268,Seqs!$A:$B,2,FALSE),VLOOKUP($A268,'SegEnds_NonXtal_Prot#'!A:AL,10,FALSE)+7,1)</f>
        <v>F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L</v>
      </c>
      <c r="AC268" s="49" t="str">
        <f>MID(VLOOKUP($A268,Seqs!$A:$B,2,FALSE),VLOOKUP($A268,'SegEnds_NonXtal_Prot#'!$A:$AL,22,FALSE)+7,1)</f>
        <v>A</v>
      </c>
      <c r="AD268" s="49" t="str">
        <f>MID(VLOOKUP($A268,Seqs!$A:$B,2,FALSE),VLOOKUP($A268,'SegEnds_NonXtal_Prot#'!$A:$AL,22,FALSE)+8,1)</f>
        <v>V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364</v>
      </c>
      <c r="B269" s="2" t="str">
        <f>LOWER(VLOOKUP(A269,Xtal_Templ!A:B,2,FALSE))</f>
        <v>pe2r4_human</v>
      </c>
      <c r="C269" s="2" t="str">
        <f>VLOOKUP(A269,Classification!A:D,2,FALSE)</f>
        <v>A</v>
      </c>
      <c r="D269" s="2" t="str">
        <f>IF(ISERROR(MATCH(A269,'SegEnds_Xtal_Prot#'!B:B, 0)), "NoXtal", "Xtal")</f>
        <v>Xtal</v>
      </c>
      <c r="G269" s="2" t="s">
        <v>5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L</v>
      </c>
      <c r="X269" s="49" t="str">
        <f>MID(VLOOKUP($A269,Seqs!$A:$B,2,FALSE),VLOOKUP($A269,'SegEnds_NonXtal_Prot#'!A:AL,10,FALSE)+7,1)</f>
        <v>V</v>
      </c>
      <c r="Y269" s="49" t="str">
        <f>MID(VLOOKUP($A269,Seqs!$A:$B,2,FALSE),VLOOKUP($A269,'SegEnds_NonXtal_Prot#'!A:AL,10,FALSE)+8,1)</f>
        <v>S</v>
      </c>
      <c r="Z269" s="49" t="str">
        <f>MID(VLOOKUP($A269,Seqs!$A:$B,2,FALSE),VLOOKUP($A269,'SegEnds_NonXtal_Prot#'!A:AL,10,FALSE)+9,1)</f>
        <v>P</v>
      </c>
      <c r="AA269" s="49" t="str">
        <f>MID(VLOOKUP($A269,Seqs!$A:$B,2,FALSE),VLOOKUP($A269,'SegEnds_NonXtal_Prot#'!A:AL,10,FALSE)+10,1)</f>
        <v>V</v>
      </c>
      <c r="AB269" s="28" t="str">
        <f>MID(VLOOKUP($A269,Seqs!$A:$B,2,FALSE),VLOOKUP($A269,'SegEnds_NonXtal_Prot#'!$A:$AL,22,FALSE)+6,1)</f>
        <v>F</v>
      </c>
      <c r="AC269" s="49" t="str">
        <f>MID(VLOOKUP($A269,Seqs!$A:$B,2,FALSE),VLOOKUP($A269,'SegEnds_NonXtal_Prot#'!$A:$AL,22,FALSE)+7,1)</f>
        <v>C</v>
      </c>
      <c r="AD269" s="49" t="str">
        <f>MID(VLOOKUP($A269,Seqs!$A:$B,2,FALSE),VLOOKUP($A269,'SegEnds_NonXtal_Prot#'!$A:$AL,22,FALSE)+8,1)</f>
        <v>A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F</v>
      </c>
      <c r="AH269" s="49" t="str">
        <f>MID(VLOOKUP($A269,Seqs!$A:$B,2,FALSE),VLOOKUP($A269,'SegEnds_NonXtal_Prot#'!$A:$AL,28,FALSE),1)</f>
        <v>L</v>
      </c>
    </row>
    <row r="270" spans="1:34" s="2" customFormat="1" x14ac:dyDescent="0.2">
      <c r="A270" s="2" t="s">
        <v>365</v>
      </c>
      <c r="B270" s="2" t="str">
        <f>LOWER(VLOOKUP(A270,Xtal_Templ!A:B,2,FALSE))</f>
        <v>ta2r_human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I</v>
      </c>
      <c r="X270" s="49" t="str">
        <f>MID(VLOOKUP($A270,Seqs!$A:$B,2,FALSE),VLOOKUP($A270,'SegEnds_NonXtal_Prot#'!A:AL,10,FALSE)+7,1)</f>
        <v>N</v>
      </c>
      <c r="Y270" s="49" t="str">
        <f>MID(VLOOKUP($A270,Seqs!$A:$B,2,FALSE),VLOOKUP($A270,'SegEnds_NonXtal_Prot#'!A:AL,10,FALSE)+8,1)</f>
        <v>G</v>
      </c>
      <c r="Z270" s="49" t="str">
        <f>MID(VLOOKUP($A270,Seqs!$A:$B,2,FALSE),VLOOKUP($A270,'SegEnds_NonXtal_Prot#'!A:AL,10,FALSE)+9,1)</f>
        <v>A</v>
      </c>
      <c r="AA270" s="49" t="str">
        <f>MID(VLOOKUP($A270,Seqs!$A:$B,2,FALSE),VLOOKUP($A270,'SegEnds_NonXtal_Prot#'!A:AL,10,FALSE)+10,1)</f>
        <v>I</v>
      </c>
      <c r="AB270" s="28" t="str">
        <f>MID(VLOOKUP($A270,Seqs!$A:$B,2,FALSE),VLOOKUP($A270,'SegEnds_NonXtal_Prot#'!$A:$AL,22,FALSE)+6,1)</f>
        <v>I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L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L</v>
      </c>
      <c r="AH270" s="49" t="str">
        <f>MID(VLOOKUP($A270,Seqs!$A:$B,2,FALSE),VLOOKUP($A270,'SegEnds_NonXtal_Prot#'!$A:$AL,28,FALSE),1)</f>
        <v>G</v>
      </c>
    </row>
    <row r="271" spans="1:34" s="2" customFormat="1" x14ac:dyDescent="0.2">
      <c r="A271" s="2" t="s">
        <v>371</v>
      </c>
      <c r="B271" s="2" t="str">
        <f>LOWER(VLOOKUP(A271,Xtal_Templ!A:B,2,FALSE))</f>
        <v>ptafr_human</v>
      </c>
      <c r="C271" s="2" t="str">
        <f>VLOOKUP(A271,Classification!A:D,2,FALSE)</f>
        <v>A</v>
      </c>
      <c r="D271" s="2" t="str">
        <f>IF(ISERROR(MATCH(A271,'SegEnds_Xtal_Prot#'!B:B, 0)), "NoXtal", "Xtal")</f>
        <v>Xtal</v>
      </c>
      <c r="H271" s="4"/>
      <c r="S271" s="2" t="s">
        <v>1322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T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L</v>
      </c>
      <c r="AA271" s="49" t="str">
        <f>MID(VLOOKUP($A271,Seqs!$A:$B,2,FALSE),VLOOKUP($A271,'SegEnds_NonXtal_Prot#'!A:AL,10,FALSE)+10,1)</f>
        <v>W</v>
      </c>
      <c r="AB271" s="28" t="str">
        <f>MID(VLOOKUP($A271,Seqs!$A:$B,2,FALSE),VLOOKUP($A271,'SegEnds_NonXtal_Prot#'!$A:$AL,22,FALSE)+6,1)</f>
        <v>A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Y</v>
      </c>
      <c r="AF271" s="49" t="str">
        <f>MID(VLOOKUP($A271,Seqs!$A:$B,2,FALSE),VLOOKUP($A271,'SegEnds_NonXtal_Prot#'!$A:$AL,22,FALSE)+10,1)</f>
        <v>F</v>
      </c>
      <c r="AG271" s="28" t="str">
        <f>MID(VLOOKUP($A271,Seqs!$A:$B,2,FALSE),VLOOKUP($A271,'SegEnds_NonXtal_Prot#'!$A:$AL,28,FALSE)-4,1)</f>
        <v>S</v>
      </c>
      <c r="AH271" s="49" t="str">
        <f>MID(VLOOKUP($A271,Seqs!$A:$B,2,FALSE),VLOOKUP($A271,'SegEnds_NonXtal_Prot#'!$A:$AL,28,FALSE),1)</f>
        <v>V</v>
      </c>
    </row>
    <row r="272" spans="1:34" s="2" customFormat="1" x14ac:dyDescent="0.2">
      <c r="A272" s="2" t="s">
        <v>199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S272" s="2" t="s">
        <v>1322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F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F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H</v>
      </c>
      <c r="AC272" s="49" t="str">
        <f>MID(VLOOKUP($A272,Seqs!$A:$B,2,FALSE),VLOOKUP($A272,'SegEnds_NonXtal_Prot#'!$A:$AL,22,FALSE)+7,1)</f>
        <v>C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V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L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243</v>
      </c>
      <c r="B273" s="2" t="str">
        <f>LOWER(VLOOKUP(A273,Xtal_Templ!A:B,2,FALSE))</f>
        <v>par2_human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S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T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V</v>
      </c>
      <c r="AC273" s="49" t="str">
        <f>MID(VLOOKUP($A273,Seqs!$A:$B,2,FALSE),VLOOKUP($A273,'SegEnds_NonXtal_Prot#'!$A:$AL,22,FALSE)+7,1)</f>
        <v>T</v>
      </c>
      <c r="AD273" s="49" t="str">
        <f>MID(VLOOKUP($A273,Seqs!$A:$B,2,FALSE),VLOOKUP($A273,'SegEnds_NonXtal_Prot#'!$A:$AL,22,FALSE)+8,1)</f>
        <v>L</v>
      </c>
      <c r="AE273" s="49" t="str">
        <f>MID(VLOOKUP($A273,Seqs!$A:$B,2,FALSE),VLOOKUP($A273,'SegEnds_NonXtal_Prot#'!$A:$AL,22,FALSE)+9,1)</f>
        <v>S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E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254</v>
      </c>
      <c r="B274" s="2" t="str">
        <f>LOWER(VLOOKUP(A274,Xtal_Templ!A:B,2,FALSE))</f>
        <v>fpr2_human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T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V</v>
      </c>
      <c r="AB274" s="28" t="str">
        <f>MID(VLOOKUP($A274,Seqs!$A:$B,2,FALSE),VLOOKUP($A274,'SegEnds_NonXtal_Prot#'!$A:$AL,22,FALSE)+6,1)</f>
        <v>S</v>
      </c>
      <c r="AC274" s="49" t="str">
        <f>MID(VLOOKUP($A274,Seqs!$A:$B,2,FALSE),VLOOKUP($A274,'SegEnds_NonXtal_Prot#'!$A:$AL,22,FALSE)+7,1)</f>
        <v>L</v>
      </c>
      <c r="AD274" s="49" t="str">
        <f>MID(VLOOKUP($A274,Seqs!$A:$B,2,FALSE),VLOOKUP($A274,'SegEnds_NonXtal_Prot#'!$A:$AL,22,FALSE)+8,1)</f>
        <v>V</v>
      </c>
      <c r="AE274" s="49" t="str">
        <f>MID(VLOOKUP($A274,Seqs!$A:$B,2,FALSE),VLOOKUP($A274,'SegEnds_NonXtal_Prot#'!$A:$AL,22,FALSE)+9,1)</f>
        <v>A</v>
      </c>
      <c r="AF274" s="49" t="str">
        <f>MID(VLOOKUP($A274,Seqs!$A:$B,2,FALSE),VLOOKUP($A274,'SegEnds_NonXtal_Prot#'!$A:$AL,22,FALSE)+10,1)</f>
        <v>R</v>
      </c>
      <c r="AG274" s="28" t="str">
        <f>MID(VLOOKUP($A274,Seqs!$A:$B,2,FALSE),VLOOKUP($A274,'SegEnds_NonXtal_Prot#'!$A:$AL,28,FALSE)-4,1)</f>
        <v>G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258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S275" s="2" t="s">
        <v>1322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F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R</v>
      </c>
      <c r="AB275" s="28" t="str">
        <f>MID(VLOOKUP($A275,Seqs!$A:$B,2,FALSE),VLOOKUP($A275,'SegEnds_NonXtal_Prot#'!$A:$AL,22,FALSE)+6,1)</f>
        <v>H</v>
      </c>
      <c r="AC275" s="49" t="str">
        <f>MID(VLOOKUP($A275,Seqs!$A:$B,2,FALSE),VLOOKUP($A275,'SegEnds_NonXtal_Prot#'!$A:$AL,22,FALSE)+7,1)</f>
        <v>C</v>
      </c>
      <c r="AD275" s="49" t="str">
        <f>MID(VLOOKUP($A275,Seqs!$A:$B,2,FALSE),VLOOKUP($A275,'SegEnds_NonXtal_Prot#'!$A:$AL,22,FALSE)+8,1)</f>
        <v>S</v>
      </c>
      <c r="AE275" s="49" t="str">
        <f>MID(VLOOKUP($A275,Seqs!$A:$B,2,FALSE),VLOOKUP($A275,'SegEnds_NonXtal_Prot#'!$A:$AL,22,FALSE)+9,1)</f>
        <v>V</v>
      </c>
      <c r="AF275" s="49" t="str">
        <f>MID(VLOOKUP($A275,Seqs!$A:$B,2,FALSE),VLOOKUP($A275,'SegEnds_NonXtal_Prot#'!$A:$AL,22,FALSE)+10,1)</f>
        <v>V</v>
      </c>
      <c r="AG275" s="28" t="str">
        <f>MID(VLOOKUP($A275,Seqs!$A:$B,2,FALSE),VLOOKUP($A275,'SegEnds_NonXtal_Prot#'!$A:$AL,28,FALSE)-4,1)</f>
        <v>L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261</v>
      </c>
      <c r="B276" s="2" t="str">
        <f>LOWER(VLOOKUP(A276,Xtal_Templ!A:B,2,FALSE))</f>
        <v>oprk_human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N276" s="2" t="s">
        <v>14</v>
      </c>
      <c r="R276" s="2" t="s">
        <v>9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S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K</v>
      </c>
      <c r="AB276" s="28" t="str">
        <f>MID(VLOOKUP($A276,Seqs!$A:$B,2,FALSE),VLOOKUP($A276,'SegEnds_NonXtal_Prot#'!$A:$AL,22,FALSE)+6,1)</f>
        <v>G</v>
      </c>
      <c r="AC276" s="49" t="str">
        <f>MID(VLOOKUP($A276,Seqs!$A:$B,2,FALSE),VLOOKUP($A276,'SegEnds_NonXtal_Prot#'!$A:$AL,22,FALSE)+7,1)</f>
        <v>S</v>
      </c>
      <c r="AD276" s="49" t="str">
        <f>MID(VLOOKUP($A276,Seqs!$A:$B,2,FALSE),VLOOKUP($A276,'SegEnds_NonXtal_Prot#'!$A:$AL,22,FALSE)+8,1)</f>
        <v>I</v>
      </c>
      <c r="AE276" s="49" t="str">
        <f>MID(VLOOKUP($A276,Seqs!$A:$B,2,FALSE),VLOOKUP($A276,'SegEnds_NonXtal_Prot#'!$A:$AL,22,FALSE)+9,1)</f>
        <v>P</v>
      </c>
      <c r="AF276" s="49" t="str">
        <f>MID(VLOOKUP($A276,Seqs!$A:$B,2,FALSE),VLOOKUP($A276,'SegEnds_NonXtal_Prot#'!$A:$AL,22,FALSE)+10,1)</f>
        <v>I</v>
      </c>
      <c r="AG276" s="28" t="str">
        <f>MID(VLOOKUP($A276,Seqs!$A:$B,2,FALSE),VLOOKUP($A276,'SegEnds_NonXtal_Prot#'!$A:$AL,28,FALSE)-4,1)</f>
        <v>G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302</v>
      </c>
      <c r="B277" s="2" t="str">
        <f>LOWER(VLOOKUP(A277,Xtal_Templ!A:B,2,FALSE))</f>
        <v>cxcr4_human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C</v>
      </c>
      <c r="X277" s="49" t="str">
        <f>MID(VLOOKUP($A277,Seqs!$A:$B,2,FALSE),VLOOKUP($A277,'SegEnds_NonXtal_Prot#'!A:AL,10,FALSE)+7,1)</f>
        <v>H</v>
      </c>
      <c r="Y277" s="49" t="str">
        <f>MID(VLOOKUP($A277,Seqs!$A:$B,2,FALSE),VLOOKUP($A277,'SegEnds_NonXtal_Prot#'!A:AL,10,FALSE)+8,1)</f>
        <v>M</v>
      </c>
      <c r="Z277" s="49" t="str">
        <f>MID(VLOOKUP($A277,Seqs!$A:$B,2,FALSE),VLOOKUP($A277,'SegEnds_NonXtal_Prot#'!A:AL,10,FALSE)+9,1)</f>
        <v>V</v>
      </c>
      <c r="AA277" s="49" t="str">
        <f>MID(VLOOKUP($A277,Seqs!$A:$B,2,FALSE),VLOOKUP($A277,'SegEnds_NonXtal_Prot#'!A:AL,10,FALSE)+10,1)</f>
        <v>A</v>
      </c>
      <c r="AB277" s="28" t="str">
        <f>MID(VLOOKUP($A277,Seqs!$A:$B,2,FALSE),VLOOKUP($A277,'SegEnds_NonXtal_Prot#'!$A:$AL,22,FALSE)+6,1)</f>
        <v>L</v>
      </c>
      <c r="AC277" s="49" t="str">
        <f>MID(VLOOKUP($A277,Seqs!$A:$B,2,FALSE),VLOOKUP($A277,'SegEnds_NonXtal_Prot#'!$A:$AL,22,FALSE)+7,1)</f>
        <v>H</v>
      </c>
      <c r="AD277" s="49" t="str">
        <f>MID(VLOOKUP($A277,Seqs!$A:$B,2,FALSE),VLOOKUP($A277,'SegEnds_NonXtal_Prot#'!$A:$AL,22,FALSE)+8,1)</f>
        <v>L</v>
      </c>
      <c r="AE277" s="49" t="str">
        <f>MID(VLOOKUP($A277,Seqs!$A:$B,2,FALSE),VLOOKUP($A277,'SegEnds_NonXtal_Prot#'!$A:$AL,22,FALSE)+9,1)</f>
        <v>L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A</v>
      </c>
      <c r="AH277" s="49" t="str">
        <f>MID(VLOOKUP($A277,Seqs!$A:$B,2,FALSE),VLOOKUP($A277,'SegEnds_NonXtal_Prot#'!$A:$AL,28,FALSE),1)</f>
        <v>C</v>
      </c>
    </row>
    <row r="278" spans="1:34" s="2" customFormat="1" x14ac:dyDescent="0.2">
      <c r="A278" s="2" t="s">
        <v>349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R278" s="2" t="s">
        <v>9</v>
      </c>
      <c r="S278" s="2" t="s">
        <v>1322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Q</v>
      </c>
      <c r="AB278" s="28" t="str">
        <f>MID(VLOOKUP($A278,Seqs!$A:$B,2,FALSE),VLOOKUP($A278,'SegEnds_NonXtal_Prot#'!$A:$AL,22,FALSE)+6,1)</f>
        <v>A</v>
      </c>
      <c r="AC278" s="49" t="str">
        <f>MID(VLOOKUP($A278,Seqs!$A:$B,2,FALSE),VLOOKUP($A278,'SegEnds_NonXtal_Prot#'!$A:$AL,22,FALSE)+7,1)</f>
        <v>L</v>
      </c>
      <c r="AD278" s="49" t="str">
        <f>MID(VLOOKUP($A278,Seqs!$A:$B,2,FALSE),VLOOKUP($A278,'SegEnds_NonXtal_Prot#'!$A:$AL,22,FALSE)+8,1)</f>
        <v>S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L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355</v>
      </c>
      <c r="B279" s="2" t="str">
        <f>LOWER(VLOOKUP(A279,Xtal_Templ!A:B,2,FALSE))</f>
        <v>par1_human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S279" s="2" t="s">
        <v>1322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G</v>
      </c>
      <c r="AC279" s="49" t="str">
        <f>MID(VLOOKUP($A279,Seqs!$A:$B,2,FALSE),VLOOKUP($A279,'SegEnds_NonXtal_Prot#'!$A:$AL,22,FALSE)+7,1)</f>
        <v>V</v>
      </c>
      <c r="AD279" s="49" t="str">
        <f>MID(VLOOKUP($A279,Seqs!$A:$B,2,FALSE),VLOOKUP($A279,'SegEnds_NonXtal_Prot#'!$A:$AL,22,FALSE)+8,1)</f>
        <v>V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F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356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R280" s="2" t="s">
        <v>9</v>
      </c>
      <c r="S280" s="2" t="s">
        <v>1322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W</v>
      </c>
      <c r="X280" s="49" t="str">
        <f>MID(VLOOKUP($A280,Seqs!$A:$B,2,FALSE),VLOOKUP($A280,'SegEnds_NonXtal_Prot#'!A:AL,10,FALSE)+7,1)</f>
        <v>F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L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V</v>
      </c>
      <c r="AC280" s="49" t="str">
        <f>MID(VLOOKUP($A280,Seqs!$A:$B,2,FALSE),VLOOKUP($A280,'SegEnds_NonXtal_Prot#'!$A:$AL,22,FALSE)+7,1)</f>
        <v>T</v>
      </c>
      <c r="AD280" s="49" t="str">
        <f>MID(VLOOKUP($A280,Seqs!$A:$B,2,FALSE),VLOOKUP($A280,'SegEnds_NonXtal_Prot#'!$A:$AL,22,FALSE)+8,1)</f>
        <v>I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V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357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1322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T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F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Y</v>
      </c>
      <c r="AC281" s="49" t="str">
        <f>MID(VLOOKUP($A281,Seqs!$A:$B,2,FALSE),VLOOKUP($A281,'SegEnds_NonXtal_Prot#'!$A:$AL,22,FALSE)+7,1)</f>
        <v>M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F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358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1322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A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P</v>
      </c>
      <c r="AA282" s="49" t="str">
        <f>MID(VLOOKUP($A282,Seqs!$A:$B,2,FALSE),VLOOKUP($A282,'SegEnds_NonXtal_Prot#'!A:AL,10,FALSE)+10,1)</f>
        <v>R</v>
      </c>
      <c r="AB282" s="28" t="str">
        <f>MID(VLOOKUP($A282,Seqs!$A:$B,2,FALSE),VLOOKUP($A282,'SegEnds_NonXtal_Prot#'!$A:$AL,22,FALSE)+6,1)</f>
        <v>L</v>
      </c>
      <c r="AC282" s="49" t="str">
        <f>MID(VLOOKUP($A282,Seqs!$A:$B,2,FALSE),VLOOKUP($A282,'SegEnds_NonXtal_Prot#'!$A:$AL,22,FALSE)+7,1)</f>
        <v>A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L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151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Y</v>
      </c>
      <c r="X283" s="49" t="str">
        <f>MID(VLOOKUP($A283,Seqs!$A:$B,2,FALSE),VLOOKUP($A283,'SegEnds_NonXtal_Prot#'!A:AL,10,FALSE)+7,1)</f>
        <v>K</v>
      </c>
      <c r="Y283" s="49" t="str">
        <f>MID(VLOOKUP($A283,Seqs!$A:$B,2,FALSE),VLOOKUP($A283,'SegEnds_NonXtal_Prot#'!A:AL,10,FALSE)+8,1)</f>
        <v>I</v>
      </c>
      <c r="Z283" s="49" t="str">
        <f>MID(VLOOKUP($A283,Seqs!$A:$B,2,FALSE),VLOOKUP($A283,'SegEnds_NonXtal_Prot#'!A:AL,10,FALSE)+9,1)</f>
        <v>L</v>
      </c>
      <c r="AA283" s="49" t="str">
        <f>MID(VLOOKUP($A283,Seqs!$A:$B,2,FALSE),VLOOKUP($A283,'SegEnds_NonXtal_Prot#'!A:AL,10,FALSE)+10,1)</f>
        <v>E</v>
      </c>
      <c r="AB283" s="28" t="str">
        <f>MID(VLOOKUP($A283,Seqs!$A:$B,2,FALSE),VLOOKUP($A283,'SegEnds_NonXtal_Prot#'!$A:$AL,22,FALSE)+6,1)</f>
        <v>T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I</v>
      </c>
      <c r="AE283" s="49" t="str">
        <f>MID(VLOOKUP($A283,Seqs!$A:$B,2,FALSE),VLOOKUP($A283,'SegEnds_NonXtal_Prot#'!$A:$AL,22,FALSE)+9,1)</f>
        <v>T</v>
      </c>
      <c r="AF283" s="49" t="str">
        <f>MID(VLOOKUP($A283,Seqs!$A:$B,2,FALSE),VLOOKUP($A283,'SegEnds_NonXtal_Prot#'!$A:$AL,22,FALSE)+10,1)</f>
        <v>M</v>
      </c>
      <c r="AG283" s="28" t="str">
        <f>MID(VLOOKUP($A283,Seqs!$A:$B,2,FALSE),VLOOKUP($A283,'SegEnds_NonXtal_Prot#'!$A:$AL,28,FALSE)-4,1)</f>
        <v>C</v>
      </c>
      <c r="AH283" s="49" t="str">
        <f>MID(VLOOKUP($A283,Seqs!$A:$B,2,FALSE),VLOOKUP($A283,'SegEnds_NonXtal_Prot#'!$A:$AL,28,FALSE),1)</f>
        <v>H</v>
      </c>
    </row>
    <row r="284" spans="1:34" s="2" customFormat="1" x14ac:dyDescent="0.2">
      <c r="A284" s="2" t="s">
        <v>213</v>
      </c>
      <c r="B284" s="2" t="str">
        <f>LOWER(VLOOKUP(A284,Xtal_Templ!A:B,2,FALSE))</f>
        <v>5ht2a_human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R284" s="2" t="s">
        <v>9</v>
      </c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A</v>
      </c>
      <c r="X284" s="49" t="str">
        <f>MID(VLOOKUP($A284,Seqs!$A:$B,2,FALSE),VLOOKUP($A284,'SegEnds_NonXtal_Prot#'!A:AL,10,FALSE)+7,1)</f>
        <v>I</v>
      </c>
      <c r="Y284" s="49" t="str">
        <f>MID(VLOOKUP($A284,Seqs!$A:$B,2,FALSE),VLOOKUP($A284,'SegEnds_NonXtal_Prot#'!A:AL,10,FALSE)+8,1)</f>
        <v>S</v>
      </c>
      <c r="Z284" s="49" t="str">
        <f>MID(VLOOKUP($A284,Seqs!$A:$B,2,FALSE),VLOOKUP($A284,'SegEnds_NonXtal_Prot#'!A:AL,10,FALSE)+9,1)</f>
        <v>G</v>
      </c>
      <c r="AA284" s="49" t="str">
        <f>MID(VLOOKUP($A284,Seqs!$A:$B,2,FALSE),VLOOKUP($A284,'SegEnds_NonXtal_Prot#'!A:AL,10,FALSE)+10,1)</f>
        <v>L</v>
      </c>
      <c r="AB284" s="28" t="str">
        <f>MID(VLOOKUP($A284,Seqs!$A:$B,2,FALSE),VLOOKUP($A284,'SegEnds_NonXtal_Prot#'!$A:$AL,22,FALSE)+6,1)</f>
        <v>I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F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V</v>
      </c>
      <c r="AH284" s="49" t="str">
        <f>MID(VLOOKUP($A284,Seqs!$A:$B,2,FALSE),VLOOKUP($A284,'SegEnds_NonXtal_Prot#'!$A:$AL,28,FALSE),1)</f>
        <v>P</v>
      </c>
    </row>
    <row r="285" spans="1:34" s="2" customFormat="1" x14ac:dyDescent="0.2">
      <c r="A285" s="2" t="s">
        <v>238</v>
      </c>
      <c r="B285" s="2" t="str">
        <f>LOWER(VLOOKUP(A285,Xtal_Templ!A:B,2,FALSE))</f>
        <v>lpar1_human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T</v>
      </c>
      <c r="AA285" s="49" t="str">
        <f>MID(VLOOKUP($A285,Seqs!$A:$B,2,FALSE),VLOOKUP($A285,'SegEnds_NonXtal_Prot#'!A:AL,10,FALSE)+10,1)</f>
        <v>N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S</v>
      </c>
      <c r="AH285" s="49" t="str">
        <f>MID(VLOOKUP($A285,Seqs!$A:$B,2,FALSE),VLOOKUP($A285,'SegEnds_NonXtal_Prot#'!$A:$AL,28,FALSE),1)</f>
        <v>M</v>
      </c>
    </row>
    <row r="286" spans="1:34" s="2" customFormat="1" x14ac:dyDescent="0.2">
      <c r="A286" s="2" t="s">
        <v>262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H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A</v>
      </c>
      <c r="AH286" s="49" t="str">
        <f>MID(VLOOKUP($A286,Seqs!$A:$B,2,FALSE),VLOOKUP($A286,'SegEnds_NonXtal_Prot#'!$A:$AL,28,FALSE),1)</f>
        <v>V</v>
      </c>
    </row>
    <row r="287" spans="1:34" s="2" customFormat="1" x14ac:dyDescent="0.2">
      <c r="A287" s="2" t="s">
        <v>296</v>
      </c>
      <c r="B287" s="2" t="str">
        <f>LOWER(VLOOKUP(A287,Xtal_Templ!A:B,2,FALSE))</f>
        <v>lpar1_human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A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C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V</v>
      </c>
      <c r="AE287" s="49" t="str">
        <f>MID(VLOOKUP($A287,Seqs!$A:$B,2,FALSE),VLOOKUP($A287,'SegEnds_NonXtal_Prot#'!$A:$AL,22,FALSE)+9,1)</f>
        <v>V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T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297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G</v>
      </c>
      <c r="Z288" s="49" t="str">
        <f>MID(VLOOKUP($A288,Seqs!$A:$B,2,FALSE),VLOOKUP($A288,'SegEnds_NonXtal_Prot#'!A:AL,10,FALSE)+9,1)</f>
        <v>S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S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I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S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309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V</v>
      </c>
      <c r="Z289" s="49" t="str">
        <f>MID(VLOOKUP($A289,Seqs!$A:$B,2,FALSE),VLOOKUP($A289,'SegEnds_NonXtal_Prot#'!A:AL,10,FALSE)+9,1)</f>
        <v>L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S</v>
      </c>
      <c r="AD289" s="49" t="str">
        <f>MID(VLOOKUP($A289,Seqs!$A:$B,2,FALSE),VLOOKUP($A289,'SegEnds_NonXtal_Prot#'!$A:$AL,22,FALSE)+8,1)</f>
        <v>T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V</v>
      </c>
      <c r="AH289" s="49" t="str">
        <f>MID(VLOOKUP($A289,Seqs!$A:$B,2,FALSE),VLOOKUP($A289,'SegEnds_NonXtal_Prot#'!$A:$AL,28,FALSE),1)</f>
        <v>H</v>
      </c>
    </row>
    <row r="290" spans="1:34" s="2" customFormat="1" x14ac:dyDescent="0.2">
      <c r="A290" s="2" t="s">
        <v>363</v>
      </c>
      <c r="B290" s="2" t="str">
        <f>LOWER(VLOOKUP(A290,Xtal_Templ!A:B,2,FALSE))</f>
        <v>pe2r3_human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G290" s="2" t="s">
        <v>5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L</v>
      </c>
      <c r="X290" s="49" t="str">
        <f>MID(VLOOKUP($A290,Seqs!$A:$B,2,FALSE),VLOOKUP($A290,'SegEnds_NonXtal_Prot#'!A:AL,10,FALSE)+7,1)</f>
        <v>T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P</v>
      </c>
      <c r="AA290" s="49" t="str">
        <f>MID(VLOOKUP($A290,Seqs!$A:$B,2,FALSE),VLOOKUP($A290,'SegEnds_NonXtal_Prot#'!A:AL,10,FALSE)+10,1)</f>
        <v>V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A</v>
      </c>
      <c r="AD290" s="49" t="str">
        <f>MID(VLOOKUP($A290,Seqs!$A:$B,2,FALSE),VLOOKUP($A290,'SegEnds_NonXtal_Prot#'!$A:$AL,22,FALSE)+8,1)</f>
        <v>L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L</v>
      </c>
      <c r="AH290" s="49" t="str">
        <f>MID(VLOOKUP($A290,Seqs!$A:$B,2,FALSE),VLOOKUP($A290,'SegEnds_NonXtal_Prot#'!$A:$AL,28,FALSE),1)</f>
        <v>A</v>
      </c>
    </row>
    <row r="291" spans="1:34" s="2" customFormat="1" x14ac:dyDescent="0.2">
      <c r="A291" s="2" t="s">
        <v>104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Y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V</v>
      </c>
      <c r="AH291" s="49" t="str">
        <f>MID(VLOOKUP($A291,Seqs!$A:$B,2,FALSE),VLOOKUP($A291,'SegEnds_NonXtal_Prot#'!$A:$AL,28,FALSE),1)</f>
        <v>L</v>
      </c>
    </row>
    <row r="292" spans="1:34" s="2" customFormat="1" x14ac:dyDescent="0.2">
      <c r="A292" s="2" t="s">
        <v>377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F</v>
      </c>
      <c r="Y292" s="49" t="str">
        <f>MID(VLOOKUP($A292,Seqs!$A:$B,2,FALSE),VLOOKUP($A292,'SegEnds_NonXtal_Prot#'!A:AL,10,FALSE)+8,1)</f>
        <v>V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378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K</v>
      </c>
      <c r="Z293" s="49" t="str">
        <f>MID(VLOOKUP($A293,Seqs!$A:$B,2,FALSE),VLOOKUP($A293,'SegEnds_NonXtal_Prot#'!A:AL,10,FALSE)+9,1)</f>
        <v>V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A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379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L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M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V</v>
      </c>
    </row>
    <row r="295" spans="1:34" s="2" customFormat="1" x14ac:dyDescent="0.2">
      <c r="A295" s="2" t="s">
        <v>380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A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A</v>
      </c>
      <c r="AH295" s="49" t="str">
        <f>MID(VLOOKUP($A295,Seqs!$A:$B,2,FALSE),VLOOKUP($A295,'SegEnds_NonXtal_Prot#'!$A:$AL,28,FALSE),1)</f>
        <v>I</v>
      </c>
    </row>
    <row r="296" spans="1:34" s="2" customFormat="1" x14ac:dyDescent="0.2">
      <c r="A296" s="2" t="s">
        <v>473</v>
      </c>
      <c r="B296" s="2" t="str">
        <f>LOWER(VLOOKUP(A296,Xtal_Templ!A:B,2,FALSE))</f>
        <v>ta2r_human</v>
      </c>
      <c r="C296" s="2" t="str">
        <f>VLOOKUP(A296,Classification!A:D,2,FALSE)</f>
        <v>A</v>
      </c>
      <c r="D296" s="2" t="str">
        <f>IF(ISERROR(MATCH(A296,'SegEnds_Xtal_Prot#'!B:B, 0)), "NoXtal", "Xtal")</f>
        <v>Xtal</v>
      </c>
      <c r="G296" s="2" t="s">
        <v>5</v>
      </c>
      <c r="H296" s="4"/>
      <c r="I296" s="2" t="s">
        <v>21</v>
      </c>
      <c r="S296" s="2" t="s">
        <v>1322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V</v>
      </c>
      <c r="X296" s="49" t="str">
        <f>MID(VLOOKUP($A296,Seqs!$A:$B,2,FALSE),VLOOKUP($A296,'SegEnds_NonXtal_Prot#'!A:AL,10,FALSE)+7,1)</f>
        <v>T</v>
      </c>
      <c r="Y296" s="49" t="str">
        <f>MID(VLOOKUP($A296,Seqs!$A:$B,2,FALSE),VLOOKUP($A296,'SegEnds_NonXtal_Prot#'!A:AL,10,FALSE)+8,1)</f>
        <v>G</v>
      </c>
      <c r="Z296" s="49" t="str">
        <f>MID(VLOOKUP($A296,Seqs!$A:$B,2,FALSE),VLOOKUP($A296,'SegEnds_NonXtal_Prot#'!A:AL,10,FALSE)+9,1)</f>
        <v>T</v>
      </c>
      <c r="AA296" s="49" t="str">
        <f>MID(VLOOKUP($A296,Seqs!$A:$B,2,FALSE),VLOOKUP($A296,'SegEnds_NonXtal_Prot#'!A:AL,10,FALSE)+10,1)</f>
        <v>I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L</v>
      </c>
      <c r="AH296" s="49" t="str">
        <f>MID(VLOOKUP($A296,Seqs!$A:$B,2,FALSE),VLOOKUP($A296,'SegEnds_NonXtal_Prot#'!$A:$AL,28,FALSE),1)</f>
        <v>S</v>
      </c>
    </row>
    <row r="297" spans="1:34" s="2" customFormat="1" x14ac:dyDescent="0.2">
      <c r="A297" s="2" t="s">
        <v>221</v>
      </c>
      <c r="B297" s="2" t="str">
        <f>LOWER(VLOOKUP(A297,Xtal_Templ!A:B,2,FALSE))</f>
        <v>s1pr1_human</v>
      </c>
      <c r="C297" s="2" t="str">
        <f>VLOOKUP(A297,Classification!A:D,2,FALSE)</f>
        <v>A</v>
      </c>
      <c r="D297" s="2" t="str">
        <f>IF(ISERROR(MATCH(A297,'SegEnds_Xtal_Prot#'!B:B, 0)), "NoXtal", "Xtal")</f>
        <v>NoXtal</v>
      </c>
      <c r="H297" s="4"/>
      <c r="R297" s="2" t="s">
        <v>9</v>
      </c>
      <c r="T297" s="4" t="s">
        <v>12</v>
      </c>
      <c r="V297" s="28" t="str">
        <f>MID(VLOOKUP($A297,Seqs!$A:$B,2,FALSE),VLOOKUP($A297,'SegEnds_NonXtal_Prot#'!A:AL,10,FALSE),1)</f>
        <v>Q</v>
      </c>
      <c r="W297" s="49" t="str">
        <f>MID(VLOOKUP($A297,Seqs!$A:$B,2,FALSE),VLOOKUP($A297,'SegEnds_NonXtal_Prot#'!A:AL,10,FALSE)+6,1)</f>
        <v>S</v>
      </c>
      <c r="X297" s="49" t="str">
        <f>MID(VLOOKUP($A297,Seqs!$A:$B,2,FALSE),VLOOKUP($A297,'SegEnds_NonXtal_Prot#'!A:AL,10,FALSE)+7,1)</f>
        <v>M</v>
      </c>
      <c r="Y297" s="49" t="str">
        <f>MID(VLOOKUP($A297,Seqs!$A:$B,2,FALSE),VLOOKUP($A297,'SegEnds_NonXtal_Prot#'!A:AL,10,FALSE)+8,1)</f>
        <v>L</v>
      </c>
      <c r="Z297" s="49" t="str">
        <f>MID(VLOOKUP($A297,Seqs!$A:$B,2,FALSE),VLOOKUP($A297,'SegEnds_NonXtal_Prot#'!A:AL,10,FALSE)+9,1)</f>
        <v>V</v>
      </c>
      <c r="AA297" s="49" t="str">
        <f>MID(VLOOKUP($A297,Seqs!$A:$B,2,FALSE),VLOOKUP($A297,'SegEnds_NonXtal_Prot#'!A:AL,10,FALSE)+10,1)</f>
        <v>A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S</v>
      </c>
      <c r="AD297" s="49" t="str">
        <f>MID(VLOOKUP($A297,Seqs!$A:$B,2,FALSE),VLOOKUP($A297,'SegEnds_NonXtal_Prot#'!$A:$AL,22,FALSE)+8,1)</f>
        <v>A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G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923</v>
      </c>
      <c r="B298" s="2" t="str">
        <f>LOWER(VLOOKUP(A298,Xtal_Templ!A:B,2,FALSE))</f>
        <v>us28_hcmva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1507</v>
      </c>
      <c r="B299" s="2" t="str">
        <f>LOWER(VLOOKUP(A299,Xtal_Templ!A:B,2,FALSE))</f>
        <v>q80km9_hcmv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1637</v>
      </c>
      <c r="B300" s="2" t="str">
        <f>LOWER(VLOOKUP(A300,Xtal_Templ!A:B,2,FALSE))</f>
        <v>aa2ar_human</v>
      </c>
      <c r="C300" s="2" t="str">
        <f>VLOOKUP(A300,Classification!A:D,2,FALSE)</f>
        <v>A</v>
      </c>
      <c r="D300" s="2" t="str">
        <f>IF(ISERROR(MATCH(A300,'SegEnds_Xtal_Prot#'!B:B, 0)), "NoXtal", "Xtal")</f>
        <v>NoXtal</v>
      </c>
      <c r="G300" s="2" t="s">
        <v>5</v>
      </c>
      <c r="H300" s="4"/>
      <c r="R300" s="2" t="s">
        <v>9</v>
      </c>
      <c r="T300" s="4" t="s">
        <v>12</v>
      </c>
      <c r="V300" s="28" t="str">
        <f>MID(VLOOKUP($A300,Seqs!$A:$B,2,FALSE),VLOOKUP($A300,'SegEnds_NonXtal_Prot#'!A:AL,10,FALSE),1)</f>
        <v>D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P</v>
      </c>
      <c r="AA300" s="49" t="str">
        <f>MID(VLOOKUP($A300,Seqs!$A:$B,2,FALSE),VLOOKUP($A300,'SegEnds_NonXtal_Prot#'!A:AL,10,FALSE)+10,1)</f>
        <v>K</v>
      </c>
      <c r="AB300" s="28" t="str">
        <f>MID(VLOOKUP($A300,Seqs!$A:$B,2,FALSE),VLOOKUP($A300,'SegEnds_NonXtal_Prot#'!$A:$AL,22,FALSE)+6,1)</f>
        <v>N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L</v>
      </c>
      <c r="AE300" s="49" t="str">
        <f>MID(VLOOKUP($A300,Seqs!$A:$B,2,FALSE),VLOOKUP($A300,'SegEnds_NonXtal_Prot#'!$A:$AL,22,FALSE)+9,1)</f>
        <v>P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I</v>
      </c>
      <c r="AH300" s="49" t="str">
        <f>MID(VLOOKUP($A300,Seqs!$A:$B,2,FALSE),VLOOKUP($A300,'SegEnds_NonXtal_Prot#'!$A:$AL,28,FALSE),1)</f>
        <v>P</v>
      </c>
    </row>
    <row r="301" spans="1:34" s="2" customFormat="1" x14ac:dyDescent="0.2">
      <c r="A301" s="2" t="s">
        <v>1640</v>
      </c>
      <c r="B301" s="2" t="str">
        <f>LOWER(VLOOKUP(A301,Xtal_Templ!A:B,2,FALSE))</f>
        <v>ccr2_human</v>
      </c>
      <c r="C301" s="2" t="str">
        <f>VLOOKUP(A301,Classification!A:D,2,FALSE)</f>
        <v>A</v>
      </c>
      <c r="D301" s="2" t="str">
        <f>IF(ISERROR(MATCH(A301,'SegEnds_Xtal_Prot#'!B:B, 0)), "NoXtal", "Xtal")</f>
        <v>NoXtal</v>
      </c>
      <c r="G301" s="2" t="s">
        <v>5</v>
      </c>
      <c r="H301" s="4"/>
      <c r="S301" s="2" t="s">
        <v>1322</v>
      </c>
      <c r="T301" s="4" t="s">
        <v>12</v>
      </c>
      <c r="V301" s="28" t="str">
        <f>MID(VLOOKUP($A301,Seqs!$A:$B,2,FALSE),VLOOKUP($A301,'SegEnds_NonXtal_Prot#'!A:AL,10,FALSE),1)</f>
        <v>D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V</v>
      </c>
      <c r="Z301" s="49" t="str">
        <f>MID(VLOOKUP($A301,Seqs!$A:$B,2,FALSE),VLOOKUP($A301,'SegEnds_NonXtal_Prot#'!A:AL,10,FALSE)+9,1)</f>
        <v>P</v>
      </c>
      <c r="AA301" s="49" t="str">
        <f>MID(VLOOKUP($A301,Seqs!$A:$B,2,FALSE),VLOOKUP($A301,'SegEnds_NonXtal_Prot#'!A:AL,10,FALSE)+10,1)</f>
        <v>K</v>
      </c>
      <c r="AB301" s="28" t="str">
        <f>MID(VLOOKUP($A301,Seqs!$A:$B,2,FALSE),VLOOKUP($A301,'SegEnds_NonXtal_Prot#'!$A:$AL,22,FALSE)+6,1)</f>
        <v>H</v>
      </c>
      <c r="AC301" s="49" t="str">
        <f>MID(VLOOKUP($A301,Seqs!$A:$B,2,FALSE),VLOOKUP($A301,'SegEnds_NonXtal_Prot#'!$A:$AL,22,FALSE)+7,1)</f>
        <v>S</v>
      </c>
      <c r="AD301" s="49" t="str">
        <f>MID(VLOOKUP($A301,Seqs!$A:$B,2,FALSE),VLOOKUP($A301,'SegEnds_NonXtal_Prot#'!$A:$AL,22,FALSE)+8,1)</f>
        <v>L</v>
      </c>
      <c r="AE301" s="49" t="str">
        <f>MID(VLOOKUP($A301,Seqs!$A:$B,2,FALSE),VLOOKUP($A301,'SegEnds_NonXtal_Prot#'!$A:$AL,22,FALSE)+9,1)</f>
        <v>L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T</v>
      </c>
      <c r="AH301" s="49" t="str">
        <f>MID(VLOOKUP($A301,Seqs!$A:$B,2,FALSE),VLOOKUP($A301,'SegEnds_NonXtal_Prot#'!$A:$AL,28,FALSE),1)</f>
        <v>C</v>
      </c>
    </row>
    <row r="302" spans="1:34" s="2" customFormat="1" x14ac:dyDescent="0.2">
      <c r="A302" s="2" t="s">
        <v>1642</v>
      </c>
      <c r="B302" s="2" t="str">
        <f>LOWER(VLOOKUP(A302,Xtal_Templ!A:B,2,FALSE))</f>
        <v>c5ar1_human</v>
      </c>
      <c r="C302" s="2" t="str">
        <f>VLOOKUP(A302,Classification!A:D,2,FALSE)</f>
        <v>A</v>
      </c>
      <c r="D302" s="2" t="str">
        <f>IF(ISERROR(MATCH(A302,'SegEnds_Xtal_Prot#'!B:B, 0)), "NoXtal", "Xtal")</f>
        <v>NoXtal</v>
      </c>
      <c r="G302" s="2" t="s">
        <v>5</v>
      </c>
      <c r="H302" s="4"/>
      <c r="R302" s="2" t="s">
        <v>9</v>
      </c>
      <c r="T302" s="4" t="s">
        <v>12</v>
      </c>
      <c r="V302" s="28" t="str">
        <f>MID(VLOOKUP($A302,Seqs!$A:$B,2,FALSE),VLOOKUP($A302,'SegEnds_NonXtal_Prot#'!A:AL,10,FALSE),1)</f>
        <v>D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T</v>
      </c>
      <c r="Y302" s="49" t="str">
        <f>MID(VLOOKUP($A302,Seqs!$A:$B,2,FALSE),VLOOKUP($A302,'SegEnds_NonXtal_Prot#'!A:AL,10,FALSE)+8,1)</f>
        <v>V</v>
      </c>
      <c r="Z302" s="49" t="str">
        <f>MID(VLOOKUP($A302,Seqs!$A:$B,2,FALSE),VLOOKUP($A302,'SegEnds_NonXtal_Prot#'!A:AL,10,FALSE)+9,1)</f>
        <v>P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D</v>
      </c>
      <c r="AC302" s="49" t="str">
        <f>MID(VLOOKUP($A302,Seqs!$A:$B,2,FALSE),VLOOKUP($A302,'SegEnds_NonXtal_Prot#'!$A:$AL,22,FALSE)+7,1)</f>
        <v>G</v>
      </c>
      <c r="AD302" s="49" t="str">
        <f>MID(VLOOKUP($A302,Seqs!$A:$B,2,FALSE),VLOOKUP($A302,'SegEnds_NonXtal_Prot#'!$A:$AL,22,FALSE)+8,1)</f>
        <v>F</v>
      </c>
      <c r="AE302" s="49" t="str">
        <f>MID(VLOOKUP($A302,Seqs!$A:$B,2,FALSE),VLOOKUP($A302,'SegEnds_NonXtal_Prot#'!$A:$AL,22,FALSE)+9,1)</f>
        <v>L</v>
      </c>
      <c r="AF302" s="49" t="str">
        <f>MID(VLOOKUP($A302,Seqs!$A:$B,2,FALSE),VLOOKUP($A302,'SegEnds_NonXtal_Prot#'!$A:$AL,22,FALSE)+10,1)</f>
        <v>L</v>
      </c>
      <c r="AG302" s="28" t="str">
        <f>MID(VLOOKUP($A302,Seqs!$A:$B,2,FALSE),VLOOKUP($A302,'SegEnds_NonXtal_Prot#'!$A:$AL,28,FALSE)-4,1)</f>
        <v>M</v>
      </c>
      <c r="AH302" s="49" t="str">
        <f>MID(VLOOKUP($A302,Seqs!$A:$B,2,FALSE),VLOOKUP($A302,'SegEnds_NonXtal_Prot#'!$A:$AL,28,FALSE),1)</f>
        <v>P</v>
      </c>
    </row>
    <row r="303" spans="1:34" s="2" customFormat="1" x14ac:dyDescent="0.2">
      <c r="A303" s="2" t="s">
        <v>401</v>
      </c>
      <c r="B303" s="2" t="str">
        <f>LOWER(VLOOKUP(A303,Xtal_Templ!A:B,2,FALSE))</f>
        <v>calcr_human</v>
      </c>
      <c r="C303" s="2" t="str">
        <f>VLOOKUP(A303,Classification!A:D,2,FALSE)</f>
        <v>B1</v>
      </c>
      <c r="D303" s="2" t="str">
        <f>IF(ISERROR(MATCH(A303,'SegEnds_Xtal_Prot#'!B:B, 0)), "NoXtal", "Xtal")</f>
        <v>Xtal</v>
      </c>
      <c r="H303" s="4"/>
      <c r="J303" s="106" t="s">
        <v>25</v>
      </c>
      <c r="P303" s="2" t="s">
        <v>1323</v>
      </c>
      <c r="T303" s="4" t="s">
        <v>12</v>
      </c>
      <c r="V303" s="28" t="str">
        <f>MID(VLOOKUP($A303,Seqs!$A:$B,2,FALSE),VLOOKUP($A303,'SegEnds_NonXtal_Prot#'!A:AL,10,FALSE),1)</f>
        <v>Y</v>
      </c>
      <c r="W303" s="49" t="str">
        <f>MID(VLOOKUP($A303,Seqs!$A:$B,2,FALSE),VLOOKUP($A303,'SegEnds_NonXtal_Prot#'!A:AL,10,FALSE)+6,1)</f>
        <v>I</v>
      </c>
      <c r="X303" s="49" t="str">
        <f>MID(VLOOKUP($A303,Seqs!$A:$B,2,FALSE),VLOOKUP($A303,'SegEnds_NonXtal_Prot#'!A:AL,10,FALSE)+7,1)</f>
        <v>I</v>
      </c>
      <c r="Y303" s="49" t="str">
        <f>MID(VLOOKUP($A303,Seqs!$A:$B,2,FALSE),VLOOKUP($A303,'SegEnds_NonXtal_Prot#'!A:AL,10,FALSE)+8,1)</f>
        <v>I</v>
      </c>
      <c r="Z303" s="49" t="str">
        <f>MID(VLOOKUP($A303,Seqs!$A:$B,2,FALSE),VLOOKUP($A303,'SegEnds_NonXtal_Prot#'!A:AL,10,FALSE)+9,1)</f>
        <v>I</v>
      </c>
      <c r="AA303" s="49" t="str">
        <f>MID(VLOOKUP($A303,Seqs!$A:$B,2,FALSE),VLOOKUP($A303,'SegEnds_NonXtal_Prot#'!A:AL,10,FALSE)+10,1)</f>
        <v>H</v>
      </c>
      <c r="AB303" s="28" t="str">
        <f>MID(VLOOKUP($A303,Seqs!$A:$B,2,FALSE),VLOOKUP($A303,'SegEnds_NonXtal_Prot#'!$A:$AL,22,FALSE)+6,1)</f>
        <v>P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T</v>
      </c>
      <c r="AE303" s="49" t="str">
        <f>MID(VLOOKUP($A303,Seqs!$A:$B,2,FALSE),VLOOKUP($A303,'SegEnds_NonXtal_Prot#'!$A:$AL,22,FALSE)+9,1)</f>
        <v>I</v>
      </c>
      <c r="AF303" s="49" t="str">
        <f>MID(VLOOKUP($A303,Seqs!$A:$B,2,FALSE),VLOOKUP($A303,'SegEnds_NonXtal_Prot#'!$A:$AL,22,FALSE)+10,1)</f>
        <v>H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A</v>
      </c>
    </row>
    <row r="304" spans="1:34" s="2" customFormat="1" x14ac:dyDescent="0.2">
      <c r="A304" s="2" t="s">
        <v>402</v>
      </c>
      <c r="B304" s="2" t="str">
        <f>LOWER(VLOOKUP(A304,Xtal_Templ!A:B,2,FALSE))</f>
        <v>calrl_human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6" t="s">
        <v>25</v>
      </c>
      <c r="P304" s="2" t="s">
        <v>1323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V</v>
      </c>
      <c r="X304" s="49" t="str">
        <f>MID(VLOOKUP($A304,Seqs!$A:$B,2,FALSE),VLOOKUP($A304,'SegEnds_NonXtal_Prot#'!A:AL,10,FALSE)+7,1)</f>
        <v>T</v>
      </c>
      <c r="Y304" s="49" t="str">
        <f>MID(VLOOKUP($A304,Seqs!$A:$B,2,FALSE),VLOOKUP($A304,'SegEnds_NonXtal_Prot#'!A:AL,10,FALSE)+8,1)</f>
        <v>I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H</v>
      </c>
      <c r="AB304" s="28" t="str">
        <f>MID(VLOOKUP($A304,Seqs!$A:$B,2,FALSE),VLOOKUP($A304,'SegEnds_NonXtal_Prot#'!$A:$AL,22,FALSE)+6,1)</f>
        <v>P</v>
      </c>
      <c r="AC304" s="49" t="str">
        <f>MID(VLOOKUP($A304,Seqs!$A:$B,2,FALSE),VLOOKUP($A304,'SegEnds_NonXtal_Prot#'!$A:$AL,22,FALSE)+7,1)</f>
        <v>A</v>
      </c>
      <c r="AD304" s="49" t="str">
        <f>MID(VLOOKUP($A304,Seqs!$A:$B,2,FALSE),VLOOKUP($A304,'SegEnds_NonXtal_Prot#'!$A:$AL,22,FALSE)+8,1)</f>
        <v>C</v>
      </c>
      <c r="AE304" s="49" t="str">
        <f>MID(VLOOKUP($A304,Seqs!$A:$B,2,FALSE),VLOOKUP($A304,'SegEnds_NonXtal_Prot#'!$A:$AL,22,FALSE)+9,1)</f>
        <v>I</v>
      </c>
      <c r="AF304" s="49" t="str">
        <f>MID(VLOOKUP($A304,Seqs!$A:$B,2,FALSE),VLOOKUP($A304,'SegEnds_NonXtal_Prot#'!$A:$AL,22,FALSE)+10,1)</f>
        <v>H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38</v>
      </c>
      <c r="B305" s="2" t="str">
        <f>LOWER(VLOOKUP(A305,Xtal_Templ!A:B,2,FALSE))</f>
        <v>crfr1_human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F305" s="49"/>
      <c r="H305" s="4"/>
      <c r="J305" s="52" t="s">
        <v>25</v>
      </c>
      <c r="K305" s="107"/>
      <c r="P305" s="2" t="s">
        <v>1323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T</v>
      </c>
      <c r="X305" s="49" t="str">
        <f>MID(VLOOKUP($A305,Seqs!$A:$B,2,FALSE),VLOOKUP($A305,'SegEnds_NonXtal_Prot#'!A:AL,10,FALSE)+7,1)</f>
        <v>W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V</v>
      </c>
      <c r="AA305" s="49" t="str">
        <f>MID(VLOOKUP($A305,Seqs!$A:$B,2,FALSE),VLOOKUP($A305,'SegEnds_NonXtal_Prot#'!A:AL,10,FALSE)+10,1)</f>
        <v>V</v>
      </c>
      <c r="AB305" s="28" t="str">
        <f>MID(VLOOKUP($A305,Seqs!$A:$B,2,FALSE),VLOOKUP($A305,'SegEnds_NonXtal_Prot#'!$A:$AL,22,FALSE)+6,1)</f>
        <v>I</v>
      </c>
      <c r="AC305" s="49" t="str">
        <f>MID(VLOOKUP($A305,Seqs!$A:$B,2,FALSE),VLOOKUP($A305,'SegEnds_NonXtal_Prot#'!$A:$AL,22,FALSE)+7,1)</f>
        <v>I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A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V</v>
      </c>
    </row>
    <row r="306" spans="1:34" s="2" customFormat="1" x14ac:dyDescent="0.2">
      <c r="A306" s="2" t="s">
        <v>403</v>
      </c>
      <c r="B306" s="2" t="str">
        <f>LOWER(VLOOKUP(A306,Xtal_Templ!A:B,2,FALSE))</f>
        <v>crfr2_human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F306" s="49"/>
      <c r="H306" s="4"/>
      <c r="J306" s="106" t="s">
        <v>25</v>
      </c>
      <c r="P306" s="2" t="s">
        <v>1323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M</v>
      </c>
      <c r="X306" s="49" t="str">
        <f>MID(VLOOKUP($A306,Seqs!$A:$B,2,FALSE),VLOOKUP($A306,'SegEnds_NonXtal_Prot#'!A:AL,10,FALSE)+7,1)</f>
        <v>W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L</v>
      </c>
      <c r="AA306" s="49" t="str">
        <f>MID(VLOOKUP($A306,Seqs!$A:$B,2,FALSE),VLOOKUP($A306,'SegEnds_NonXtal_Prot#'!A:AL,10,FALSE)+10,1)</f>
        <v>L</v>
      </c>
      <c r="AB306" s="28" t="str">
        <f>MID(VLOOKUP($A306,Seqs!$A:$B,2,FALSE),VLOOKUP($A306,'SegEnds_NonXtal_Prot#'!$A:$AL,22,FALSE)+6,1)</f>
        <v>I</v>
      </c>
      <c r="AC306" s="49" t="str">
        <f>MID(VLOOKUP($A306,Seqs!$A:$B,2,FALSE),VLOOKUP($A306,'SegEnds_NonXtal_Prot#'!$A:$AL,22,FALSE)+7,1)</f>
        <v>I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A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V</v>
      </c>
    </row>
    <row r="307" spans="1:34" s="2" customFormat="1" x14ac:dyDescent="0.2">
      <c r="A307" s="2" t="s">
        <v>404</v>
      </c>
      <c r="B307" s="2" t="str">
        <f>LOWER(VLOOKUP(A307,Xtal_Templ!A:B,2,FALSE))</f>
        <v>pacr_human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6" t="s">
        <v>25</v>
      </c>
      <c r="P307" s="2" t="s">
        <v>1323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A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L</v>
      </c>
      <c r="AA307" s="49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T</v>
      </c>
      <c r="AD307" s="49" t="str">
        <f>MID(VLOOKUP($A307,Seqs!$A:$B,2,FALSE),VLOOKUP($A307,'SegEnds_NonXtal_Prot#'!$A:$AL,22,FALSE)+8,1)</f>
        <v>G</v>
      </c>
      <c r="AE307" s="49" t="str">
        <f>MID(VLOOKUP($A307,Seqs!$A:$B,2,FALSE),VLOOKUP($A307,'SegEnds_NonXtal_Prot#'!$A:$AL,22,FALSE)+9,1)</f>
        <v>T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S</v>
      </c>
    </row>
    <row r="308" spans="1:34" s="2" customFormat="1" x14ac:dyDescent="0.2">
      <c r="A308" s="2" t="s">
        <v>405</v>
      </c>
      <c r="B308" s="2" t="str">
        <f>LOWER(VLOOKUP(A308,Xtal_Templ!A:B,2,FALSE))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1323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A</v>
      </c>
      <c r="X308" s="49" t="str">
        <f>MID(VLOOKUP($A308,Seqs!$A:$B,2,FALSE),VLOOKUP($A308,'SegEnds_NonXtal_Prot#'!A:AL,10,FALSE)+7,1)</f>
        <v>I</v>
      </c>
      <c r="Y308" s="49" t="str">
        <f>MID(VLOOKUP($A308,Seqs!$A:$B,2,FALSE),VLOOKUP($A308,'SegEnds_NonXtal_Prot#'!A:AL,10,FALSE)+8,1)</f>
        <v>L</v>
      </c>
      <c r="Z308" s="49" t="str">
        <f>MID(VLOOKUP($A308,Seqs!$A:$B,2,FALSE),VLOOKUP($A308,'SegEnds_NonXtal_Prot#'!A:AL,10,FALSE)+9,1)</f>
        <v>S</v>
      </c>
      <c r="AA308" s="49" t="str">
        <f>MID(VLOOKUP($A308,Seqs!$A:$B,2,FALSE),VLOOKUP($A308,'SegEnds_NonXtal_Prot#'!A:AL,10,FALSE)+10,1)</f>
        <v>R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I</v>
      </c>
      <c r="AE308" s="49" t="str">
        <f>MID(VLOOKUP($A308,Seqs!$A:$B,2,FALSE),VLOOKUP($A308,'SegEnds_NonXtal_Prot#'!$A:$AL,22,FALSE)+9,1)</f>
        <v>P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T</v>
      </c>
    </row>
    <row r="309" spans="1:34" s="2" customFormat="1" x14ac:dyDescent="0.2">
      <c r="A309" s="2" t="s">
        <v>406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1323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V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I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V</v>
      </c>
      <c r="AE309" s="49" t="str">
        <f>MID(VLOOKUP($A309,Seqs!$A:$B,2,FALSE),VLOOKUP($A309,'SegEnds_NonXtal_Prot#'!$A:$AL,22,FALSE)+9,1)</f>
        <v>P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A</v>
      </c>
    </row>
    <row r="310" spans="1:34" s="2" customFormat="1" x14ac:dyDescent="0.2">
      <c r="A310" s="2" t="s">
        <v>407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1323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A</v>
      </c>
      <c r="X310" s="49" t="str">
        <f>MID(VLOOKUP($A310,Seqs!$A:$B,2,FALSE),VLOOKUP($A310,'SegEnds_NonXtal_Prot#'!A:AL,10,FALSE)+7,1)</f>
        <v>V</v>
      </c>
      <c r="Y310" s="49" t="str">
        <f>MID(VLOOKUP($A310,Seqs!$A:$B,2,FALSE),VLOOKUP($A310,'SegEnds_NonXtal_Prot#'!A:AL,10,FALSE)+8,1)</f>
        <v>L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V</v>
      </c>
      <c r="AE310" s="49" t="str">
        <f>MID(VLOOKUP($A310,Seqs!$A:$B,2,FALSE),VLOOKUP($A310,'SegEnds_NonXtal_Prot#'!$A:$AL,22,FALSE)+9,1)</f>
        <v>P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C</v>
      </c>
    </row>
    <row r="311" spans="1:34" s="2" customFormat="1" x14ac:dyDescent="0.2">
      <c r="A311" s="2" t="s">
        <v>32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Xtal</v>
      </c>
      <c r="H311" s="4"/>
      <c r="J311" s="106" t="s">
        <v>25</v>
      </c>
      <c r="P311" s="2" t="s">
        <v>1323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L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I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V</v>
      </c>
      <c r="AE311" s="49" t="str">
        <f>MID(VLOOKUP($A311,Seqs!$A:$B,2,FALSE),VLOOKUP($A311,'SegEnds_NonXtal_Prot#'!$A:$AL,22,FALSE)+9,1)</f>
        <v>P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A</v>
      </c>
    </row>
    <row r="312" spans="1:34" s="2" customFormat="1" x14ac:dyDescent="0.2">
      <c r="A312" s="2" t="s">
        <v>408</v>
      </c>
      <c r="B312" s="2" t="str">
        <f>LOWER(VLOOKUP(A312,Xtal_Templ!A:B,2,FALSE))</f>
        <v>pacr_human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H312" s="4"/>
      <c r="J312" s="106" t="s">
        <v>25</v>
      </c>
      <c r="P312" s="2" t="s">
        <v>1323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C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T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409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6" t="s">
        <v>25</v>
      </c>
      <c r="P313" s="2" t="s">
        <v>1323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I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A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410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NoXtal</v>
      </c>
      <c r="H314" s="4"/>
      <c r="J314" s="106" t="s">
        <v>25</v>
      </c>
      <c r="P314" s="2" t="s">
        <v>1323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I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A</v>
      </c>
      <c r="AE314" s="49" t="str">
        <f>MID(VLOOKUP($A314,Seqs!$A:$B,2,FALSE),VLOOKUP($A314,'SegEnds_NonXtal_Prot#'!$A:$AL,22,FALSE)+9,1)</f>
        <v>A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411</v>
      </c>
      <c r="B315" s="2" t="str">
        <f>LOWER(VLOOKUP(A315,Xtal_Templ!A:B,2,FALSE))</f>
        <v>pacr_human</v>
      </c>
      <c r="C315" s="2" t="str">
        <f>VLOOKUP(A315,Classification!A:D,2,FALSE)</f>
        <v>B1</v>
      </c>
      <c r="D315" s="2" t="str">
        <f>IF(ISERROR(MATCH(A315,'SegEnds_Xtal_Prot#'!B:B, 0)), "NoXtal", "Xtal")</f>
        <v>NoXtal</v>
      </c>
      <c r="H315" s="4"/>
      <c r="J315" s="106" t="s">
        <v>25</v>
      </c>
      <c r="P315" s="2" t="s">
        <v>1323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N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I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A</v>
      </c>
      <c r="AE315" s="49" t="str">
        <f>MID(VLOOKUP($A315,Seqs!$A:$B,2,FALSE),VLOOKUP($A315,'SegEnds_NonXtal_Prot#'!$A:$AL,22,FALSE)+9,1)</f>
        <v>L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S</v>
      </c>
    </row>
    <row r="316" spans="1:34" s="2" customFormat="1" x14ac:dyDescent="0.2">
      <c r="A316" s="2" t="s">
        <v>412</v>
      </c>
      <c r="B316" s="2" t="str">
        <f>LOWER(VLOOKUP(A316,Xtal_Templ!A:B,2,FALSE))</f>
        <v>pacr_human</v>
      </c>
      <c r="C316" s="2" t="str">
        <f>VLOOKUP(A316,Classification!A:D,2,FALSE)</f>
        <v>B1</v>
      </c>
      <c r="D316" s="2" t="str">
        <f>IF(ISERROR(MATCH(A316,'SegEnds_Xtal_Prot#'!B:B, 0)), "NoXtal", "Xtal")</f>
        <v>NoXtal</v>
      </c>
      <c r="H316" s="4"/>
      <c r="J316" s="106" t="s">
        <v>25</v>
      </c>
      <c r="P316" s="2" t="s">
        <v>1323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A</v>
      </c>
      <c r="X316" s="49" t="str">
        <f>MID(VLOOKUP($A316,Seqs!$A:$B,2,FALSE),VLOOKUP($A316,'SegEnds_NonXtal_Prot#'!A:AL,10,FALSE)+7,1)</f>
        <v>V</v>
      </c>
      <c r="Y316" s="49" t="str">
        <f>MID(VLOOKUP($A316,Seqs!$A:$B,2,FALSE),VLOOKUP($A316,'SegEnds_NonXtal_Prot#'!A:AL,10,FALSE)+8,1)</f>
        <v>F</v>
      </c>
      <c r="Z316" s="49" t="str">
        <f>MID(VLOOKUP($A316,Seqs!$A:$B,2,FALSE),VLOOKUP($A316,'SegEnds_NonXtal_Prot#'!A:AL,10,FALSE)+9,1)</f>
        <v>I</v>
      </c>
      <c r="AA316" s="49" t="str">
        <f>MID(VLOOKUP($A316,Seqs!$A:$B,2,FALSE),VLOOKUP($A316,'SegEnds_NonXtal_Prot#'!A:AL,10,FALSE)+10,1)</f>
        <v>K</v>
      </c>
      <c r="AB316" s="28" t="str">
        <f>MID(VLOOKUP($A316,Seqs!$A:$B,2,FALSE),VLOOKUP($A316,'SegEnds_NonXtal_Prot#'!$A:$AL,22,FALSE)+6,1)</f>
        <v>F</v>
      </c>
      <c r="AC316" s="49" t="str">
        <f>MID(VLOOKUP($A316,Seqs!$A:$B,2,FALSE),VLOOKUP($A316,'SegEnds_NonXtal_Prot#'!$A:$AL,22,FALSE)+7,1)</f>
        <v>T</v>
      </c>
      <c r="AD316" s="49" t="str">
        <f>MID(VLOOKUP($A316,Seqs!$A:$B,2,FALSE),VLOOKUP($A316,'SegEnds_NonXtal_Prot#'!$A:$AL,22,FALSE)+8,1)</f>
        <v>M</v>
      </c>
      <c r="AE316" s="49" t="str">
        <f>MID(VLOOKUP($A316,Seqs!$A:$B,2,FALSE),VLOOKUP($A316,'SegEnds_NonXtal_Prot#'!$A:$AL,22,FALSE)+9,1)</f>
        <v>V</v>
      </c>
      <c r="AF316" s="49" t="str">
        <f>MID(VLOOKUP($A316,Seqs!$A:$B,2,FALSE),VLOOKUP($A316,'SegEnds_NonXtal_Prot#'!$A:$AL,22,FALSE)+10,1)</f>
        <v>W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S</v>
      </c>
    </row>
    <row r="317" spans="1:34" s="2" customFormat="1" x14ac:dyDescent="0.2">
      <c r="A317" s="2" t="s">
        <v>413</v>
      </c>
      <c r="B317" s="2" t="str">
        <f>LOWER(VLOOKUP(A317,Xtal_Templ!A:B,2,FALSE))</f>
        <v>pacr_human</v>
      </c>
      <c r="C317" s="2" t="str">
        <f>VLOOKUP(A317,Classification!A:D,2,FALSE)</f>
        <v>B1</v>
      </c>
      <c r="D317" s="2" t="str">
        <f>IF(ISERROR(MATCH(A317,'SegEnds_Xtal_Prot#'!B:B, 0)), "NoXtal", "Xtal")</f>
        <v>NoXtal</v>
      </c>
      <c r="H317" s="4"/>
      <c r="J317" s="106" t="s">
        <v>25</v>
      </c>
      <c r="P317" s="2" t="s">
        <v>1323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S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L</v>
      </c>
      <c r="Z317" s="49" t="str">
        <f>MID(VLOOKUP($A317,Seqs!$A:$B,2,FALSE),VLOOKUP($A317,'SegEnds_NonXtal_Prot#'!A:AL,10,FALSE)+9,1)</f>
        <v>V</v>
      </c>
      <c r="AA317" s="49" t="str">
        <f>MID(VLOOKUP($A317,Seqs!$A:$B,2,FALSE),VLOOKUP($A317,'SegEnds_NonXtal_Prot#'!A:AL,10,FALSE)+10,1)</f>
        <v>K</v>
      </c>
      <c r="AB317" s="28" t="str">
        <f>MID(VLOOKUP($A317,Seqs!$A:$B,2,FALSE),VLOOKUP($A317,'SegEnds_NonXtal_Prot#'!$A:$AL,22,FALSE)+6,1)</f>
        <v>C</v>
      </c>
      <c r="AC317" s="49" t="str">
        <f>MID(VLOOKUP($A317,Seqs!$A:$B,2,FALSE),VLOOKUP($A317,'SegEnds_NonXtal_Prot#'!$A:$AL,22,FALSE)+7,1)</f>
        <v>I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A</v>
      </c>
      <c r="AF317" s="49" t="str">
        <f>MID(VLOOKUP($A317,Seqs!$A:$B,2,FALSE),VLOOKUP($A317,'SegEnds_NonXtal_Prot#'!$A:$AL,22,FALSE)+10,1)</f>
        <v>W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S</v>
      </c>
    </row>
    <row r="318" spans="1:34" s="2" customFormat="1" x14ac:dyDescent="0.2">
      <c r="A318" s="2" t="s">
        <v>1420</v>
      </c>
      <c r="B318" s="2" t="str">
        <f>LOWER(VLOOKUP(A318,Xtal_Templ!A:B,2,FALSE))</f>
        <v>g1sgd4_rabit</v>
      </c>
      <c r="C318" s="2" t="str">
        <f>VLOOKUP(A318,Classification!A:D,2,FALSE)</f>
        <v>B1</v>
      </c>
      <c r="D318" s="2" t="str">
        <f>IF(ISERROR(MATCH(A318,'SegEnds_Xtal_Prot#'!B:B, 0)), "NoXtal", "Xtal")</f>
        <v>Xtal</v>
      </c>
      <c r="H318" s="4"/>
      <c r="J318" s="106" t="s">
        <v>25</v>
      </c>
      <c r="P318" s="2" t="s">
        <v>1323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S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F</v>
      </c>
      <c r="Z318" s="49" t="str">
        <f>MID(VLOOKUP($A318,Seqs!$A:$B,2,FALSE),VLOOKUP($A318,'SegEnds_NonXtal_Prot#'!A:AL,10,FALSE)+9,1)</f>
        <v>I</v>
      </c>
      <c r="AA318" s="49" t="str">
        <f>MID(VLOOKUP($A318,Seqs!$A:$B,2,FALSE),VLOOKUP($A318,'SegEnds_NonXtal_Prot#'!A:AL,10,FALSE)+10,1)</f>
        <v>K</v>
      </c>
      <c r="AB318" s="28" t="str">
        <f>MID(VLOOKUP($A318,Seqs!$A:$B,2,FALSE),VLOOKUP($A318,'SegEnds_NonXtal_Prot#'!$A:$AL,22,FALSE)+6,1)</f>
        <v>F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I</v>
      </c>
      <c r="AE318" s="49" t="str">
        <f>MID(VLOOKUP($A318,Seqs!$A:$B,2,FALSE),VLOOKUP($A318,'SegEnds_NonXtal_Prot#'!$A:$AL,22,FALSE)+9,1)</f>
        <v>P</v>
      </c>
      <c r="AF318" s="49" t="str">
        <f>MID(VLOOKUP($A318,Seqs!$A:$B,2,FALSE),VLOOKUP($A318,'SegEnds_NonXtal_Prot#'!$A:$AL,22,FALSE)+10,1)</f>
        <v>W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A</v>
      </c>
    </row>
    <row r="319" spans="1:34" s="2" customFormat="1" x14ac:dyDescent="0.2">
      <c r="A319" s="2" t="s">
        <v>1176</v>
      </c>
      <c r="B319" s="2" t="str">
        <f>LOWER(VLOOKUP(A319,Xtal_Templ!A:B,2,FALSE))</f>
        <v>pacr_human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F</v>
      </c>
      <c r="W319" s="49" t="str">
        <f>MID(VLOOKUP($A319,Seqs!$A:$B,2,FALSE),VLOOKUP($A319,'SegEnds_NonXtal_Prot#'!A:AL,10,FALSE)+6,1)</f>
        <v>F</v>
      </c>
      <c r="X319" s="49" t="str">
        <f>MID(VLOOKUP($A319,Seqs!$A:$B,2,FALSE),VLOOKUP($A319,'SegEnds_NonXtal_Prot#'!A:AL,10,FALSE)+7,1)</f>
        <v>T</v>
      </c>
      <c r="Y319" s="49" t="str">
        <f>MID(VLOOKUP($A319,Seqs!$A:$B,2,FALSE),VLOOKUP($A319,'SegEnds_NonXtal_Prot#'!A:AL,10,FALSE)+8,1)</f>
        <v>V</v>
      </c>
      <c r="Z319" s="49" t="str">
        <f>MID(VLOOKUP($A319,Seqs!$A:$B,2,FALSE),VLOOKUP($A319,'SegEnds_NonXtal_Prot#'!A:AL,10,FALSE)+9,1)</f>
        <v>F</v>
      </c>
      <c r="AA319" s="49" t="str">
        <f>MID(VLOOKUP($A319,Seqs!$A:$B,2,FALSE),VLOOKUP($A319,'SegEnds_NonXtal_Prot#'!A:AL,10,FALSE)+10,1)</f>
        <v>A</v>
      </c>
      <c r="AB319" s="28" t="str">
        <f>MID(VLOOKUP($A319,Seqs!$A:$B,2,FALSE),VLOOKUP($A319,'SegEnds_NonXtal_Prot#'!$A:$AL,22,FALSE)+6,1)</f>
        <v>I</v>
      </c>
      <c r="AC319" s="49" t="str">
        <f>MID(VLOOKUP($A319,Seqs!$A:$B,2,FALSE),VLOOKUP($A319,'SegEnds_NonXtal_Prot#'!$A:$AL,22,FALSE)+7,1)</f>
        <v>C</v>
      </c>
      <c r="AD319" s="49" t="str">
        <f>MID(VLOOKUP($A319,Seqs!$A:$B,2,FALSE),VLOOKUP($A319,'SegEnds_NonXtal_Prot#'!$A:$AL,22,FALSE)+8,1)</f>
        <v>G</v>
      </c>
      <c r="AE319" s="49" t="str">
        <f>MID(VLOOKUP($A319,Seqs!$A:$B,2,FALSE),VLOOKUP($A319,'SegEnds_NonXtal_Prot#'!$A:$AL,22,FALSE)+9,1)</f>
        <v>V</v>
      </c>
      <c r="AF319" s="49" t="str">
        <f>MID(VLOOKUP($A319,Seqs!$A:$B,2,FALSE),VLOOKUP($A319,'SegEnds_NonXtal_Prot#'!$A:$AL,22,FALSE)+10,1)</f>
        <v>T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I</v>
      </c>
    </row>
    <row r="320" spans="1:34" s="2" customFormat="1" x14ac:dyDescent="0.2">
      <c r="A320" s="2" t="s">
        <v>1177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F</v>
      </c>
      <c r="W320" s="49" t="str">
        <f>MID(VLOOKUP($A320,Seqs!$A:$B,2,FALSE),VLOOKUP($A320,'SegEnds_NonXtal_Prot#'!A:AL,10,FALSE)+6,1)</f>
        <v>S</v>
      </c>
      <c r="X320" s="49" t="str">
        <f>MID(VLOOKUP($A320,Seqs!$A:$B,2,FALSE),VLOOKUP($A320,'SegEnds_NonXtal_Prot#'!A:AL,10,FALSE)+7,1)</f>
        <v>A</v>
      </c>
      <c r="Y320" s="49" t="str">
        <f>MID(VLOOKUP($A320,Seqs!$A:$B,2,FALSE),VLOOKUP($A320,'SegEnds_NonXtal_Prot#'!A:AL,10,FALSE)+8,1)</f>
        <v>V</v>
      </c>
      <c r="Z320" s="49" t="str">
        <f>MID(VLOOKUP($A320,Seqs!$A:$B,2,FALSE),VLOOKUP($A320,'SegEnds_NonXtal_Prot#'!A:AL,10,FALSE)+9,1)</f>
        <v>F</v>
      </c>
      <c r="AA320" s="49" t="str">
        <f>MID(VLOOKUP($A320,Seqs!$A:$B,2,FALSE),VLOOKUP($A320,'SegEnds_NonXtal_Prot#'!A:AL,10,FALSE)+10,1)</f>
        <v>A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G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I</v>
      </c>
    </row>
    <row r="321" spans="1:34" s="2" customFormat="1" x14ac:dyDescent="0.2">
      <c r="A321" s="2" t="s">
        <v>1178</v>
      </c>
      <c r="B321" s="2" t="str">
        <f>LOWER(VLOOKUP(A321,Xtal_Templ!A:B,2,FALSE))</f>
        <v>crfr2_human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F</v>
      </c>
      <c r="W321" s="49" t="str">
        <f>MID(VLOOKUP($A321,Seqs!$A:$B,2,FALSE),VLOOKUP($A321,'SegEnds_NonXtal_Prot#'!A:AL,10,FALSE)+6,1)</f>
        <v>C</v>
      </c>
      <c r="X321" s="49" t="str">
        <f>MID(VLOOKUP($A321,Seqs!$A:$B,2,FALSE),VLOOKUP($A321,'SegEnds_NonXtal_Prot#'!A:AL,10,FALSE)+7,1)</f>
        <v>V</v>
      </c>
      <c r="Y321" s="49" t="str">
        <f>MID(VLOOKUP($A321,Seqs!$A:$B,2,FALSE),VLOOKUP($A321,'SegEnds_NonXtal_Prot#'!A:AL,10,FALSE)+8,1)</f>
        <v>V</v>
      </c>
      <c r="Z321" s="49" t="str">
        <f>MID(VLOOKUP($A321,Seqs!$A:$B,2,FALSE),VLOOKUP($A321,'SegEnds_NonXtal_Prot#'!A:AL,10,FALSE)+9,1)</f>
        <v>F</v>
      </c>
      <c r="AA321" s="49" t="str">
        <f>MID(VLOOKUP($A321,Seqs!$A:$B,2,FALSE),VLOOKUP($A321,'SegEnds_NonXtal_Prot#'!A:AL,10,FALSE)+10,1)</f>
        <v>V</v>
      </c>
      <c r="AB321" s="28" t="str">
        <f>MID(VLOOKUP($A321,Seqs!$A:$B,2,FALSE),VLOOKUP($A321,'SegEnds_NonXtal_Prot#'!$A:$AL,22,FALSE)+6,1)</f>
        <v>V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G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I</v>
      </c>
    </row>
    <row r="322" spans="1:34" s="2" customFormat="1" x14ac:dyDescent="0.2">
      <c r="A322" s="2" t="s">
        <v>1179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I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I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V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A</v>
      </c>
      <c r="AE322" s="49" t="str">
        <f>MID(VLOOKUP($A322,Seqs!$A:$B,2,FALSE),VLOOKUP($A322,'SegEnds_NonXtal_Prot#'!$A:$AL,22,FALSE)+9,1)</f>
        <v>V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1180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I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I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T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V</v>
      </c>
    </row>
    <row r="324" spans="1:34" s="2" customFormat="1" x14ac:dyDescent="0.2">
      <c r="A324" s="2" t="s">
        <v>1181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V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L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I</v>
      </c>
      <c r="AA324" s="49" t="str">
        <f>MID(VLOOKUP($A324,Seqs!$A:$B,2,FALSE),VLOOKUP($A324,'SegEnds_NonXtal_Prot#'!A:AL,10,FALSE)+10,1)</f>
        <v>S</v>
      </c>
      <c r="AB324" s="28" t="str">
        <f>MID(VLOOKUP($A324,Seqs!$A:$B,2,FALSE),VLOOKUP($A324,'SegEnds_NonXtal_Prot#'!$A:$AL,22,FALSE)+6,1)</f>
        <v>I</v>
      </c>
      <c r="AC324" s="49" t="str">
        <f>MID(VLOOKUP($A324,Seqs!$A:$B,2,FALSE),VLOOKUP($A324,'SegEnds_NonXtal_Prot#'!$A:$AL,22,FALSE)+7,1)</f>
        <v>C</v>
      </c>
      <c r="AD324" s="49" t="str">
        <f>MID(VLOOKUP($A324,Seqs!$A:$B,2,FALSE),VLOOKUP($A324,'SegEnds_NonXtal_Prot#'!$A:$AL,22,FALSE)+8,1)</f>
        <v>I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V</v>
      </c>
    </row>
    <row r="325" spans="1:34" s="2" customFormat="1" x14ac:dyDescent="0.2">
      <c r="A325" s="2" t="s">
        <v>1182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F</v>
      </c>
      <c r="X325" s="49" t="str">
        <f>MID(VLOOKUP($A325,Seqs!$A:$B,2,FALSE),VLOOKUP($A325,'SegEnds_NonXtal_Prot#'!A:AL,10,FALSE)+7,1)</f>
        <v>L</v>
      </c>
      <c r="Y325" s="49" t="str">
        <f>MID(VLOOKUP($A325,Seqs!$A:$B,2,FALSE),VLOOKUP($A325,'SegEnds_NonXtal_Prot#'!A:AL,10,FALSE)+8,1)</f>
        <v>M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S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V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T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V</v>
      </c>
    </row>
    <row r="326" spans="1:34" s="2" customFormat="1" x14ac:dyDescent="0.2">
      <c r="A326" s="2" t="s">
        <v>1183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L</v>
      </c>
      <c r="X326" s="49" t="str">
        <f>MID(VLOOKUP($A326,Seqs!$A:$B,2,FALSE),VLOOKUP($A326,'SegEnds_NonXtal_Prot#'!A:AL,10,FALSE)+7,1)</f>
        <v>F</v>
      </c>
      <c r="Y326" s="49" t="str">
        <f>MID(VLOOKUP($A326,Seqs!$A:$B,2,FALSE),VLOOKUP($A326,'SegEnds_NonXtal_Prot#'!A:AL,10,FALSE)+8,1)</f>
        <v>L</v>
      </c>
      <c r="Z326" s="49" t="str">
        <f>MID(VLOOKUP($A326,Seqs!$A:$B,2,FALSE),VLOOKUP($A326,'SegEnds_NonXtal_Prot#'!A:AL,10,FALSE)+9,1)</f>
        <v>A</v>
      </c>
      <c r="AA326" s="49" t="str">
        <f>MID(VLOOKUP($A326,Seqs!$A:$B,2,FALSE),VLOOKUP($A326,'SegEnds_NonXtal_Prot#'!A:AL,10,FALSE)+10,1)</f>
        <v>G</v>
      </c>
      <c r="AB326" s="28" t="str">
        <f>MID(VLOOKUP($A326,Seqs!$A:$B,2,FALSE),VLOOKUP($A326,'SegEnds_NonXtal_Prot#'!$A:$AL,22,FALSE)+6,1)</f>
        <v>V</v>
      </c>
      <c r="AC326" s="49" t="str">
        <f>MID(VLOOKUP($A326,Seqs!$A:$B,2,FALSE),VLOOKUP($A326,'SegEnds_NonXtal_Prot#'!$A:$AL,22,FALSE)+7,1)</f>
        <v>V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S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V</v>
      </c>
    </row>
    <row r="327" spans="1:34" s="2" customFormat="1" x14ac:dyDescent="0.2">
      <c r="A327" s="2" t="s">
        <v>1184</v>
      </c>
      <c r="B327" s="2" t="str">
        <f>LOWER(VLOOKUP(A327,Xtal_Templ!A:B,2,FALSE))</f>
        <v>glp1r_human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L</v>
      </c>
      <c r="W327" s="49" t="str">
        <f>MID(VLOOKUP($A327,Seqs!$A:$B,2,FALSE),VLOOKUP($A327,'SegEnds_NonXtal_Prot#'!A:AL,10,FALSE)+6,1)</f>
        <v>L</v>
      </c>
      <c r="X327" s="49" t="str">
        <f>MID(VLOOKUP($A327,Seqs!$A:$B,2,FALSE),VLOOKUP($A327,'SegEnds_NonXtal_Prot#'!A:AL,10,FALSE)+7,1)</f>
        <v>F</v>
      </c>
      <c r="Y327" s="49" t="str">
        <f>MID(VLOOKUP($A327,Seqs!$A:$B,2,FALSE),VLOOKUP($A327,'SegEnds_NonXtal_Prot#'!A:AL,10,FALSE)+8,1)</f>
        <v>L</v>
      </c>
      <c r="Z327" s="49" t="str">
        <f>MID(VLOOKUP($A327,Seqs!$A:$B,2,FALSE),VLOOKUP($A327,'SegEnds_NonXtal_Prot#'!A:AL,10,FALSE)+9,1)</f>
        <v>V</v>
      </c>
      <c r="AA327" s="49" t="str">
        <f>MID(VLOOKUP($A327,Seqs!$A:$B,2,FALSE),VLOOKUP($A327,'SegEnds_NonXtal_Prot#'!A:AL,10,FALSE)+10,1)</f>
        <v>A</v>
      </c>
      <c r="AB327" s="28" t="str">
        <f>MID(VLOOKUP($A327,Seqs!$A:$B,2,FALSE),VLOOKUP($A327,'SegEnds_NonXtal_Prot#'!$A:$AL,22,FALSE)+6,1)</f>
        <v>T</v>
      </c>
      <c r="AC327" s="49" t="str">
        <f>MID(VLOOKUP($A327,Seqs!$A:$B,2,FALSE),VLOOKUP($A327,'SegEnds_NonXtal_Prot#'!$A:$AL,22,FALSE)+7,1)</f>
        <v>V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S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1185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L</v>
      </c>
      <c r="W328" s="49" t="str">
        <f>MID(VLOOKUP($A328,Seqs!$A:$B,2,FALSE),VLOOKUP($A328,'SegEnds_NonXtal_Prot#'!A:AL,10,FALSE)+6,1)</f>
        <v>L</v>
      </c>
      <c r="X328" s="49" t="str">
        <f>MID(VLOOKUP($A328,Seqs!$A:$B,2,FALSE),VLOOKUP($A328,'SegEnds_NonXtal_Prot#'!A:AL,10,FALSE)+7,1)</f>
        <v>F</v>
      </c>
      <c r="Y328" s="49" t="str">
        <f>MID(VLOOKUP($A328,Seqs!$A:$B,2,FALSE),VLOOKUP($A328,'SegEnds_NonXtal_Prot#'!A:AL,10,FALSE)+8,1)</f>
        <v>L</v>
      </c>
      <c r="Z328" s="49" t="str">
        <f>MID(VLOOKUP($A328,Seqs!$A:$B,2,FALSE),VLOOKUP($A328,'SegEnds_NonXtal_Prot#'!A:AL,10,FALSE)+9,1)</f>
        <v>V</v>
      </c>
      <c r="AA328" s="49" t="str">
        <f>MID(VLOOKUP($A328,Seqs!$A:$B,2,FALSE),VLOOKUP($A328,'SegEnds_NonXtal_Prot#'!A:AL,10,FALSE)+10,1)</f>
        <v>G</v>
      </c>
      <c r="AB328" s="28" t="str">
        <f>MID(VLOOKUP($A328,Seqs!$A:$B,2,FALSE),VLOOKUP($A328,'SegEnds_NonXtal_Prot#'!$A:$AL,22,FALSE)+6,1)</f>
        <v>T</v>
      </c>
      <c r="AC328" s="49" t="str">
        <f>MID(VLOOKUP($A328,Seqs!$A:$B,2,FALSE),VLOOKUP($A328,'SegEnds_NonXtal_Prot#'!$A:$AL,22,FALSE)+7,1)</f>
        <v>V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S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1186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L</v>
      </c>
      <c r="W329" s="49" t="str">
        <f>MID(VLOOKUP($A329,Seqs!$A:$B,2,FALSE),VLOOKUP($A329,'SegEnds_NonXtal_Prot#'!A:AL,10,FALSE)+6,1)</f>
        <v>L</v>
      </c>
      <c r="X329" s="49" t="str">
        <f>MID(VLOOKUP($A329,Seqs!$A:$B,2,FALSE),VLOOKUP($A329,'SegEnds_NonXtal_Prot#'!A:AL,10,FALSE)+7,1)</f>
        <v>F</v>
      </c>
      <c r="Y329" s="49" t="str">
        <f>MID(VLOOKUP($A329,Seqs!$A:$B,2,FALSE),VLOOKUP($A329,'SegEnds_NonXtal_Prot#'!A:AL,10,FALSE)+8,1)</f>
        <v>L</v>
      </c>
      <c r="Z329" s="49" t="str">
        <f>MID(VLOOKUP($A329,Seqs!$A:$B,2,FALSE),VLOOKUP($A329,'SegEnds_NonXtal_Prot#'!A:AL,10,FALSE)+9,1)</f>
        <v>T</v>
      </c>
      <c r="AA329" s="49" t="str">
        <f>MID(VLOOKUP($A329,Seqs!$A:$B,2,FALSE),VLOOKUP($A329,'SegEnds_NonXtal_Prot#'!A:AL,10,FALSE)+10,1)</f>
        <v>G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I</v>
      </c>
      <c r="AD329" s="49" t="str">
        <f>MID(VLOOKUP($A329,Seqs!$A:$B,2,FALSE),VLOOKUP($A329,'SegEnds_NonXtal_Prot#'!$A:$AL,22,FALSE)+8,1)</f>
        <v>A</v>
      </c>
      <c r="AE329" s="49" t="str">
        <f>MID(VLOOKUP($A329,Seqs!$A:$B,2,FALSE),VLOOKUP($A329,'SegEnds_NonXtal_Prot#'!$A:$AL,22,FALSE)+9,1)</f>
        <v>V</v>
      </c>
      <c r="AF329" s="49" t="str">
        <f>MID(VLOOKUP($A329,Seqs!$A:$B,2,FALSE),VLOOKUP($A329,'SegEnds_NonXtal_Prot#'!$A:$AL,22,FALSE)+10,1)</f>
        <v>S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1187</v>
      </c>
      <c r="B330" s="2" t="str">
        <f>LOWER(VLOOKUP(A330,Xtal_Templ!A:B,2,FALSE))</f>
        <v>pth1r_human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D</v>
      </c>
      <c r="Y330" s="49" t="str">
        <f>MID(VLOOKUP($A330,Seqs!$A:$B,2,FALSE),VLOOKUP($A330,'SegEnds_NonXtal_Prot#'!A:AL,10,FALSE)+8,1)</f>
        <v>V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1188</v>
      </c>
      <c r="B331" s="2" t="str">
        <f>LOWER(VLOOKUP(A331,Xtal_Templ!A:B,2,FALSE))</f>
        <v>calrl_human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D</v>
      </c>
      <c r="Y331" s="49" t="str">
        <f>MID(VLOOKUP($A331,Seqs!$A:$B,2,FALSE),VLOOKUP($A331,'SegEnds_NonXtal_Prot#'!A:AL,10,FALSE)+8,1)</f>
        <v>V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A</v>
      </c>
      <c r="AD331" s="49" t="str">
        <f>MID(VLOOKUP($A331,Seqs!$A:$B,2,FALSE),VLOOKUP($A331,'SegEnds_NonXtal_Prot#'!$A:$AL,22,FALSE)+8,1)</f>
        <v>A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1189</v>
      </c>
      <c r="B332" s="2" t="str">
        <f>LOWER(VLOOKUP(A332,Xtal_Templ!A:B,2,FALSE))</f>
        <v>calrl_human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V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D</v>
      </c>
      <c r="Y332" s="49" t="str">
        <f>MID(VLOOKUP($A332,Seqs!$A:$B,2,FALSE),VLOOKUP($A332,'SegEnds_NonXtal_Prot#'!A:AL,10,FALSE)+8,1)</f>
        <v>T</v>
      </c>
      <c r="Z332" s="49" t="str">
        <f>MID(VLOOKUP($A332,Seqs!$A:$B,2,FALSE),VLOOKUP($A332,'SegEnds_NonXtal_Prot#'!A:AL,10,FALSE)+9,1)</f>
        <v>C</v>
      </c>
      <c r="AA332" s="49" t="str">
        <f>MID(VLOOKUP($A332,Seqs!$A:$B,2,FALSE),VLOOKUP($A332,'SegEnds_NonXtal_Prot#'!A:AL,10,FALSE)+10,1)</f>
        <v>F</v>
      </c>
      <c r="AB332" s="28" t="str">
        <f>MID(VLOOKUP($A332,Seqs!$A:$B,2,FALSE),VLOOKUP($A332,'SegEnds_NonXtal_Prot#'!$A:$AL,22,FALSE)+6,1)</f>
        <v>L</v>
      </c>
      <c r="AC332" s="49" t="str">
        <f>MID(VLOOKUP($A332,Seqs!$A:$B,2,FALSE),VLOOKUP($A332,'SegEnds_NonXtal_Prot#'!$A:$AL,22,FALSE)+7,1)</f>
        <v>A</v>
      </c>
      <c r="AD332" s="49" t="str">
        <f>MID(VLOOKUP($A332,Seqs!$A:$B,2,FALSE),VLOOKUP($A332,'SegEnds_NonXtal_Prot#'!$A:$AL,22,FALSE)+8,1)</f>
        <v>G</v>
      </c>
      <c r="AE332" s="49" t="str">
        <f>MID(VLOOKUP($A332,Seqs!$A:$B,2,FALSE),VLOOKUP($A332,'SegEnds_NonXtal_Prot#'!$A:$AL,22,FALSE)+9,1)</f>
        <v>V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P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1190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A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N</v>
      </c>
      <c r="Y333" s="49" t="str">
        <f>MID(VLOOKUP($A333,Seqs!$A:$B,2,FALSE),VLOOKUP($A333,'SegEnds_NonXtal_Prot#'!A:AL,10,FALSE)+8,1)</f>
        <v>V</v>
      </c>
      <c r="Z333" s="49" t="str">
        <f>MID(VLOOKUP($A333,Seqs!$A:$B,2,FALSE),VLOOKUP($A333,'SegEnds_NonXtal_Prot#'!A:AL,10,FALSE)+9,1)</f>
        <v>W</v>
      </c>
      <c r="AA333" s="49" t="str">
        <f>MID(VLOOKUP($A333,Seqs!$A:$B,2,FALSE),VLOOKUP($A333,'SegEnds_NonXtal_Prot#'!A:AL,10,FALSE)+10,1)</f>
        <v>F</v>
      </c>
      <c r="AB333" s="28" t="str">
        <f>MID(VLOOKUP($A333,Seqs!$A:$B,2,FALSE),VLOOKUP($A333,'SegEnds_NonXtal_Prot#'!$A:$AL,22,FALSE)+6,1)</f>
        <v>I</v>
      </c>
      <c r="AC333" s="49" t="str">
        <f>MID(VLOOKUP($A333,Seqs!$A:$B,2,FALSE),VLOOKUP($A333,'SegEnds_NonXtal_Prot#'!$A:$AL,22,FALSE)+7,1)</f>
        <v>A</v>
      </c>
      <c r="AD333" s="49" t="str">
        <f>MID(VLOOKUP($A333,Seqs!$A:$B,2,FALSE),VLOOKUP($A333,'SegEnds_NonXtal_Prot#'!$A:$AL,22,FALSE)+8,1)</f>
        <v>V</v>
      </c>
      <c r="AE333" s="49" t="str">
        <f>MID(VLOOKUP($A333,Seqs!$A:$B,2,FALSE),VLOOKUP($A333,'SegEnds_NonXtal_Prot#'!$A:$AL,22,FALSE)+9,1)</f>
        <v>T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P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1191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A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N</v>
      </c>
      <c r="Y334" s="49" t="str">
        <f>MID(VLOOKUP($A334,Seqs!$A:$B,2,FALSE),VLOOKUP($A334,'SegEnds_NonXtal_Prot#'!A:AL,10,FALSE)+8,1)</f>
        <v>T</v>
      </c>
      <c r="Z334" s="49" t="str">
        <f>MID(VLOOKUP($A334,Seqs!$A:$B,2,FALSE),VLOOKUP($A334,'SegEnds_NonXtal_Prot#'!A:AL,10,FALSE)+9,1)</f>
        <v>W</v>
      </c>
      <c r="AA334" s="49" t="str">
        <f>MID(VLOOKUP($A334,Seqs!$A:$B,2,FALSE),VLOOKUP($A334,'SegEnds_NonXtal_Prot#'!A:AL,10,FALSE)+10,1)</f>
        <v>F</v>
      </c>
      <c r="AB334" s="28" t="str">
        <f>MID(VLOOKUP($A334,Seqs!$A:$B,2,FALSE),VLOOKUP($A334,'SegEnds_NonXtal_Prot#'!$A:$AL,22,FALSE)+6,1)</f>
        <v>I</v>
      </c>
      <c r="AC334" s="49" t="str">
        <f>MID(VLOOKUP($A334,Seqs!$A:$B,2,FALSE),VLOOKUP($A334,'SegEnds_NonXtal_Prot#'!$A:$AL,22,FALSE)+7,1)</f>
        <v>S</v>
      </c>
      <c r="AD334" s="49" t="str">
        <f>MID(VLOOKUP($A334,Seqs!$A:$B,2,FALSE),VLOOKUP($A334,'SegEnds_NonXtal_Prot#'!$A:$AL,22,FALSE)+8,1)</f>
        <v>V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P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1192</v>
      </c>
      <c r="B335" s="2" t="str">
        <f>LOWER(VLOOKUP(A335,Xtal_Templ!A:B,2,FALSE))</f>
        <v>glr_human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S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T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V</v>
      </c>
      <c r="AG335" s="28" t="str">
        <f>MID(VLOOKUP($A335,Seqs!$A:$B,2,FALSE),VLOOKUP($A335,'SegEnds_NonXtal_Prot#'!$A:$AL,28,FALSE)-4,1)</f>
        <v>L</v>
      </c>
      <c r="AH335" s="49" t="str">
        <f>MID(VLOOKUP($A335,Seqs!$A:$B,2,FALSE),VLOOKUP($A335,'SegEnds_NonXtal_Prot#'!$A:$AL,28,FALSE),1)</f>
        <v>V</v>
      </c>
    </row>
    <row r="336" spans="1:34" s="2" customFormat="1" x14ac:dyDescent="0.2">
      <c r="A336" s="2" t="s">
        <v>1193</v>
      </c>
      <c r="B336" s="2" t="str">
        <f>LOWER(VLOOKUP(A336,Xtal_Templ!A:B,2,FALSE))</f>
        <v>pacr_human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L</v>
      </c>
      <c r="W336" s="49" t="str">
        <f>MID(VLOOKUP($A336,Seqs!$A:$B,2,FALSE),VLOOKUP($A336,'SegEnds_NonXtal_Prot#'!A:AL,10,FALSE)+6,1)</f>
        <v>V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D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T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I</v>
      </c>
      <c r="AG336" s="28" t="str">
        <f>MID(VLOOKUP($A336,Seqs!$A:$B,2,FALSE),VLOOKUP($A336,'SegEnds_NonXtal_Prot#'!$A:$AL,28,FALSE)-4,1)</f>
        <v>Y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1194</v>
      </c>
      <c r="B337" s="2" t="str">
        <f>LOWER(VLOOKUP(A337,Xtal_Templ!A:B,2,FALSE))</f>
        <v>pth1r_human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A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N</v>
      </c>
      <c r="AB337" s="28" t="str">
        <f>MID(VLOOKUP($A337,Seqs!$A:$B,2,FALSE),VLOOKUP($A337,'SegEnds_NonXtal_Prot#'!$A:$AL,22,FALSE)+6,1)</f>
        <v>M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I</v>
      </c>
      <c r="AE337" s="49" t="str">
        <f>MID(VLOOKUP($A337,Seqs!$A:$B,2,FALSE),VLOOKUP($A337,'SegEnds_NonXtal_Prot#'!$A:$AL,22,FALSE)+9,1)</f>
        <v>G</v>
      </c>
      <c r="AF337" s="49" t="str">
        <f>MID(VLOOKUP($A337,Seqs!$A:$B,2,FALSE),VLOOKUP($A337,'SegEnds_NonXtal_Prot#'!$A:$AL,22,FALSE)+10,1)</f>
        <v>T</v>
      </c>
      <c r="AG337" s="28" t="str">
        <f>MID(VLOOKUP($A337,Seqs!$A:$B,2,FALSE),VLOOKUP($A337,'SegEnds_NonXtal_Prot#'!$A:$AL,28,FALSE)-4,1)</f>
        <v>T</v>
      </c>
      <c r="AH337" s="49" t="str">
        <f>MID(VLOOKUP($A337,Seqs!$A:$B,2,FALSE),VLOOKUP($A337,'SegEnds_NonXtal_Prot#'!$A:$AL,28,FALSE),1)</f>
        <v>Y</v>
      </c>
    </row>
    <row r="338" spans="1:34" s="2" customFormat="1" x14ac:dyDescent="0.2">
      <c r="A338" s="2" t="s">
        <v>1195</v>
      </c>
      <c r="B338" s="2" t="str">
        <f>LOWER(VLOOKUP(A338,Xtal_Templ!A:B,2,FALSE))</f>
        <v>pth1r_human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V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N</v>
      </c>
      <c r="AB338" s="28" t="str">
        <f>MID(VLOOKUP($A338,Seqs!$A:$B,2,FALSE),VLOOKUP($A338,'SegEnds_NonXtal_Prot#'!$A:$AL,22,FALSE)+6,1)</f>
        <v>M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A</v>
      </c>
      <c r="AE338" s="49" t="str">
        <f>MID(VLOOKUP($A338,Seqs!$A:$B,2,FALSE),VLOOKUP($A338,'SegEnds_NonXtal_Prot#'!$A:$AL,22,FALSE)+9,1)</f>
        <v>I</v>
      </c>
      <c r="AF338" s="49" t="str">
        <f>MID(VLOOKUP($A338,Seqs!$A:$B,2,FALSE),VLOOKUP($A338,'SegEnds_NonXtal_Prot#'!$A:$AL,22,FALSE)+10,1)</f>
        <v>T</v>
      </c>
      <c r="AG338" s="28" t="str">
        <f>MID(VLOOKUP($A338,Seqs!$A:$B,2,FALSE),VLOOKUP($A338,'SegEnds_NonXtal_Prot#'!$A:$AL,28,FALSE)-4,1)</f>
        <v>Y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1196</v>
      </c>
      <c r="B339" s="2" t="str">
        <f>LOWER(VLOOKUP(A339,Xtal_Templ!A:B,2,FALSE))</f>
        <v>pth1r_human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V</v>
      </c>
      <c r="W339" s="49" t="str">
        <f>MID(VLOOKUP($A339,Seqs!$A:$B,2,FALSE),VLOOKUP($A339,'SegEnds_NonXtal_Prot#'!A:AL,10,FALSE)+6,1)</f>
        <v>A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L</v>
      </c>
      <c r="AA339" s="49" t="str">
        <f>MID(VLOOKUP($A339,Seqs!$A:$B,2,FALSE),VLOOKUP($A339,'SegEnds_NonXtal_Prot#'!A:AL,10,FALSE)+10,1)</f>
        <v>S</v>
      </c>
      <c r="AB339" s="28" t="str">
        <f>MID(VLOOKUP($A339,Seqs!$A:$B,2,FALSE),VLOOKUP($A339,'SegEnds_NonXtal_Prot#'!$A:$AL,22,FALSE)+6,1)</f>
        <v>L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L</v>
      </c>
      <c r="AE339" s="49" t="str">
        <f>MID(VLOOKUP($A339,Seqs!$A:$B,2,FALSE),VLOOKUP($A339,'SegEnds_NonXtal_Prot#'!$A:$AL,22,FALSE)+9,1)</f>
        <v>L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Y</v>
      </c>
      <c r="AH339" s="49" t="str">
        <f>MID(VLOOKUP($A339,Seqs!$A:$B,2,FALSE),VLOOKUP($A339,'SegEnds_NonXtal_Prot#'!$A:$AL,28,FALSE),1)</f>
        <v>T</v>
      </c>
    </row>
    <row r="340" spans="1:34" s="2" customFormat="1" x14ac:dyDescent="0.2">
      <c r="A340" s="2" t="s">
        <v>1197</v>
      </c>
      <c r="B340" s="2" t="str">
        <f>LOWER(VLOOKUP(A340,Xtal_Templ!A:B,2,FALSE))</f>
        <v>pth1r_human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M</v>
      </c>
      <c r="W340" s="49" t="str">
        <f>MID(VLOOKUP($A340,Seqs!$A:$B,2,FALSE),VLOOKUP($A340,'SegEnds_NonXtal_Prot#'!A:AL,10,FALSE)+6,1)</f>
        <v>L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V</v>
      </c>
      <c r="Z340" s="49" t="str">
        <f>MID(VLOOKUP($A340,Seqs!$A:$B,2,FALSE),VLOOKUP($A340,'SegEnds_NonXtal_Prot#'!A:AL,10,FALSE)+9,1)</f>
        <v>F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A</v>
      </c>
      <c r="AE340" s="49" t="str">
        <f>MID(VLOOKUP($A340,Seqs!$A:$B,2,FALSE),VLOOKUP($A340,'SegEnds_NonXtal_Prot#'!$A:$AL,22,FALSE)+9,1)</f>
        <v>I</v>
      </c>
      <c r="AF340" s="49" t="str">
        <f>MID(VLOOKUP($A340,Seqs!$A:$B,2,FALSE),VLOOKUP($A340,'SegEnds_NonXtal_Prot#'!$A:$AL,22,FALSE)+10,1)</f>
        <v>T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1198</v>
      </c>
      <c r="B341" s="2" t="str">
        <f>LOWER(VLOOKUP(A341,Xtal_Templ!A:B,2,FALSE))</f>
        <v>crfr2_human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V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G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A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1199</v>
      </c>
      <c r="B342" s="2" t="str">
        <f>LOWER(VLOOKUP(A342,Xtal_Templ!A:B,2,FALSE))</f>
        <v>crfr2_human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I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V</v>
      </c>
      <c r="AF342" s="49" t="str">
        <f>MID(VLOOKUP($A342,Seqs!$A:$B,2,FALSE),VLOOKUP($A342,'SegEnds_NonXtal_Prot#'!$A:$AL,22,FALSE)+10,1)</f>
        <v>S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I</v>
      </c>
    </row>
    <row r="343" spans="1:34" s="2" customFormat="1" x14ac:dyDescent="0.2">
      <c r="A343" s="2" t="s">
        <v>1200</v>
      </c>
      <c r="B343" s="2" t="str">
        <f>LOWER(VLOOKUP(A343,Xtal_Templ!A:B,2,FALSE))</f>
        <v>crfr2_human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L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A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S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I</v>
      </c>
    </row>
    <row r="344" spans="1:34" s="2" customFormat="1" x14ac:dyDescent="0.2">
      <c r="A344" s="2" t="s">
        <v>1201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V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V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G</v>
      </c>
      <c r="AE344" s="49" t="str">
        <f>MID(VLOOKUP($A344,Seqs!$A:$B,2,FALSE),VLOOKUP($A344,'SegEnds_NonXtal_Prot#'!$A:$AL,22,FALSE)+9,1)</f>
        <v>F</v>
      </c>
      <c r="AF344" s="49" t="str">
        <f>MID(VLOOKUP($A344,Seqs!$A:$B,2,FALSE),VLOOKUP($A344,'SegEnds_NonXtal_Prot#'!$A:$AL,22,FALSE)+10,1)</f>
        <v>S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I</v>
      </c>
    </row>
    <row r="345" spans="1:34" s="2" customFormat="1" x14ac:dyDescent="0.2">
      <c r="A345" s="2" t="s">
        <v>414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I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I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I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A</v>
      </c>
      <c r="AE345" s="49" t="str">
        <f>MID(VLOOKUP($A345,Seqs!$A:$B,2,FALSE),VLOOKUP($A345,'SegEnds_NonXtal_Prot#'!$A:$AL,22,FALSE)+9,1)</f>
        <v>I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V</v>
      </c>
    </row>
    <row r="346" spans="1:34" s="2" customFormat="1" x14ac:dyDescent="0.2">
      <c r="A346" s="2" t="s">
        <v>418</v>
      </c>
      <c r="B346" s="2" t="str">
        <f>LOWER(VLOOKUP(A346,Xtal_Templ!A:B,2,FALSE))</f>
        <v>calcr_human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V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V</v>
      </c>
      <c r="Z346" s="49" t="str">
        <f>MID(VLOOKUP($A346,Seqs!$A:$B,2,FALSE),VLOOKUP($A346,'SegEnds_NonXtal_Prot#'!A:AL,10,FALSE)+9,1)</f>
        <v>I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T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L</v>
      </c>
      <c r="AF346" s="49" t="str">
        <f>MID(VLOOKUP($A346,Seqs!$A:$B,2,FALSE),VLOOKUP($A346,'SegEnds_NonXtal_Prot#'!$A:$AL,22,FALSE)+10,1)</f>
        <v>A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419</v>
      </c>
      <c r="B347" s="2" t="str">
        <f>LOWER(VLOOKUP(A347,Xtal_Templ!A:B,2,FALSE))</f>
        <v>calrl_human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V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I</v>
      </c>
      <c r="AC347" s="49" t="str">
        <f>MID(VLOOKUP($A347,Seqs!$A:$B,2,FALSE),VLOOKUP($A347,'SegEnds_NonXtal_Prot#'!$A:$AL,22,FALSE)+7,1)</f>
        <v>T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A</v>
      </c>
    </row>
    <row r="348" spans="1:34" s="2" customFormat="1" x14ac:dyDescent="0.2">
      <c r="A348" s="2" t="s">
        <v>1413</v>
      </c>
      <c r="B348" s="2" t="str">
        <f>LOWER(VLOOKUP(A348,Xtal_Templ!A:B,2,FALSE))</f>
        <v>crfr2_human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L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D</v>
      </c>
      <c r="AB348" s="28" t="str">
        <f>MID(VLOOKUP($A348,Seqs!$A:$B,2,FALSE),VLOOKUP($A348,'SegEnds_NonXtal_Prot#'!$A:$AL,22,FALSE)+6,1)</f>
        <v>V</v>
      </c>
      <c r="AC348" s="49" t="str">
        <f>MID(VLOOKUP($A348,Seqs!$A:$B,2,FALSE),VLOOKUP($A348,'SegEnds_NonXtal_Prot#'!$A:$AL,22,FALSE)+7,1)</f>
        <v>V</v>
      </c>
      <c r="AD348" s="49" t="str">
        <f>MID(VLOOKUP($A348,Seqs!$A:$B,2,FALSE),VLOOKUP($A348,'SegEnds_NonXtal_Prot#'!$A:$AL,22,FALSE)+8,1)</f>
        <v>S</v>
      </c>
      <c r="AE348" s="49" t="str">
        <f>MID(VLOOKUP($A348,Seqs!$A:$B,2,FALSE),VLOOKUP($A348,'SegEnds_NonXtal_Prot#'!$A:$AL,22,FALSE)+9,1)</f>
        <v>V</v>
      </c>
      <c r="AF348" s="49" t="str">
        <f>MID(VLOOKUP($A348,Seqs!$A:$B,2,FALSE),VLOOKUP($A348,'SegEnds_NonXtal_Prot#'!$A:$AL,22,FALSE)+10,1)</f>
        <v>V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M</v>
      </c>
    </row>
    <row r="349" spans="1:34" s="2" customFormat="1" x14ac:dyDescent="0.2">
      <c r="A349" s="2" t="s">
        <v>442</v>
      </c>
      <c r="B349" s="2" t="str">
        <f>LOWER(VLOOKUP(A349,Xtal_Templ!A:B,2,FALSE))</f>
        <v>crfr1_human</v>
      </c>
      <c r="C349" s="2" t="str">
        <f>VLOOKUP(A349,Classification!A:D,2,FALSE)</f>
        <v>B2</v>
      </c>
      <c r="D349" s="2" t="str">
        <f>IF(ISERROR(MATCH(A349,'SegEnds_Xtal_Prot#'!B:B, 0)), "NoXtal", "Xtal")</f>
        <v>NoXtal</v>
      </c>
      <c r="H349" s="4"/>
      <c r="J349" s="106" t="s">
        <v>25</v>
      </c>
      <c r="T349" s="4" t="s">
        <v>12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L</v>
      </c>
      <c r="X349" s="49" t="str">
        <f>MID(VLOOKUP($A349,Seqs!$A:$B,2,FALSE),VLOOKUP($A349,'SegEnds_NonXtal_Prot#'!A:AL,10,FALSE)+7,1)</f>
        <v>F</v>
      </c>
      <c r="Y349" s="49" t="str">
        <f>MID(VLOOKUP($A349,Seqs!$A:$B,2,FALSE),VLOOKUP($A349,'SegEnds_NonXtal_Prot#'!A:AL,10,FALSE)+8,1)</f>
        <v>L</v>
      </c>
      <c r="Z349" s="49" t="str">
        <f>MID(VLOOKUP($A349,Seqs!$A:$B,2,FALSE),VLOOKUP($A349,'SegEnds_NonXtal_Prot#'!A:AL,10,FALSE)+9,1)</f>
        <v>A</v>
      </c>
      <c r="AA349" s="49" t="str">
        <f>MID(VLOOKUP($A349,Seqs!$A:$B,2,FALSE),VLOOKUP($A349,'SegEnds_NonXtal_Prot#'!A:AL,10,FALSE)+10,1)</f>
        <v>S</v>
      </c>
      <c r="AB349" s="28" t="str">
        <f>MID(VLOOKUP($A349,Seqs!$A:$B,2,FALSE),VLOOKUP($A349,'SegEnds_NonXtal_Prot#'!$A:$AL,22,FALSE)+6,1)</f>
        <v>V</v>
      </c>
      <c r="AC349" s="49" t="str">
        <f>MID(VLOOKUP($A349,Seqs!$A:$B,2,FALSE),VLOOKUP($A349,'SegEnds_NonXtal_Prot#'!$A:$AL,22,FALSE)+7,1)</f>
        <v>V</v>
      </c>
      <c r="AD349" s="49" t="str">
        <f>MID(VLOOKUP($A349,Seqs!$A:$B,2,FALSE),VLOOKUP($A349,'SegEnds_NonXtal_Prot#'!$A:$AL,22,FALSE)+8,1)</f>
        <v>I</v>
      </c>
      <c r="AE349" s="49" t="str">
        <f>MID(VLOOKUP($A349,Seqs!$A:$B,2,FALSE),VLOOKUP($A349,'SegEnds_NonXtal_Prot#'!$A:$AL,22,FALSE)+9,1)</f>
        <v>L</v>
      </c>
      <c r="AF349" s="49" t="str">
        <f>MID(VLOOKUP($A349,Seqs!$A:$B,2,FALSE),VLOOKUP($A349,'SegEnds_NonXtal_Prot#'!$A:$AL,22,FALSE)+10,1)</f>
        <v>L</v>
      </c>
      <c r="AG349" s="28" t="str">
        <f>MID(VLOOKUP($A349,Seqs!$A:$B,2,FALSE),VLOOKUP($A349,'SegEnds_NonXtal_Prot#'!$A:$AL,28,FALSE)-4,1)</f>
        <v>P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417</v>
      </c>
      <c r="B350" s="2" t="str">
        <f>LOWER(VLOOKUP(A350,Xtal_Templ!A:B,2,FALSE))</f>
        <v>glp1r_human</v>
      </c>
      <c r="C350" s="2" t="str">
        <f>VLOOKUP(A350,Classification!A:D,2,FALSE)</f>
        <v>B2</v>
      </c>
      <c r="D350" s="2" t="str">
        <f>IF(ISERROR(MATCH(A350,'SegEnds_Xtal_Prot#'!B:B, 0)), "NoXtal", "Xtal")</f>
        <v>NoXtal</v>
      </c>
      <c r="H350" s="4"/>
      <c r="J350" s="106" t="s">
        <v>25</v>
      </c>
      <c r="T350" s="4" t="s">
        <v>12</v>
      </c>
      <c r="V350" s="28" t="str">
        <f>MID(VLOOKUP($A350,Seqs!$A:$B,2,FALSE),VLOOKUP($A350,'SegEnds_NonXtal_Prot#'!A:AL,10,FALSE),1)</f>
        <v>L</v>
      </c>
      <c r="W350" s="49" t="str">
        <f>MID(VLOOKUP($A350,Seqs!$A:$B,2,FALSE),VLOOKUP($A350,'SegEnds_NonXtal_Prot#'!A:AL,10,FALSE)+6,1)</f>
        <v>I</v>
      </c>
      <c r="X350" s="49" t="str">
        <f>MID(VLOOKUP($A350,Seqs!$A:$B,2,FALSE),VLOOKUP($A350,'SegEnds_NonXtal_Prot#'!A:AL,10,FALSE)+7,1)</f>
        <v>F</v>
      </c>
      <c r="Y350" s="49" t="str">
        <f>MID(VLOOKUP($A350,Seqs!$A:$B,2,FALSE),VLOOKUP($A350,'SegEnds_NonXtal_Prot#'!A:AL,10,FALSE)+8,1)</f>
        <v>L</v>
      </c>
      <c r="Z350" s="49" t="str">
        <f>MID(VLOOKUP($A350,Seqs!$A:$B,2,FALSE),VLOOKUP($A350,'SegEnds_NonXtal_Prot#'!A:AL,10,FALSE)+9,1)</f>
        <v>A</v>
      </c>
      <c r="AA350" s="49" t="str">
        <f>MID(VLOOKUP($A350,Seqs!$A:$B,2,FALSE),VLOOKUP($A350,'SegEnds_NonXtal_Prot#'!A:AL,10,FALSE)+10,1)</f>
        <v>G</v>
      </c>
      <c r="AB350" s="28" t="str">
        <f>MID(VLOOKUP($A350,Seqs!$A:$B,2,FALSE),VLOOKUP($A350,'SegEnds_NonXtal_Prot#'!$A:$AL,22,FALSE)+6,1)</f>
        <v>I</v>
      </c>
      <c r="AC350" s="49" t="str">
        <f>MID(VLOOKUP($A350,Seqs!$A:$B,2,FALSE),VLOOKUP($A350,'SegEnds_NonXtal_Prot#'!$A:$AL,22,FALSE)+7,1)</f>
        <v>V</v>
      </c>
      <c r="AD350" s="49" t="str">
        <f>MID(VLOOKUP($A350,Seqs!$A:$B,2,FALSE),VLOOKUP($A350,'SegEnds_NonXtal_Prot#'!$A:$AL,22,FALSE)+8,1)</f>
        <v>G</v>
      </c>
      <c r="AE350" s="49" t="str">
        <f>MID(VLOOKUP($A350,Seqs!$A:$B,2,FALSE),VLOOKUP($A350,'SegEnds_NonXtal_Prot#'!$A:$AL,22,FALSE)+9,1)</f>
        <v>V</v>
      </c>
      <c r="AF350" s="49" t="str">
        <f>MID(VLOOKUP($A350,Seqs!$A:$B,2,FALSE),VLOOKUP($A350,'SegEnds_NonXtal_Prot#'!$A:$AL,22,FALSE)+10,1)</f>
        <v>S</v>
      </c>
      <c r="AG350" s="28" t="str">
        <f>MID(VLOOKUP($A350,Seqs!$A:$B,2,FALSE),VLOOKUP($A350,'SegEnds_NonXtal_Prot#'!$A:$AL,28,FALSE)-4,1)</f>
        <v>P</v>
      </c>
      <c r="AH350" s="49" t="str">
        <f>MID(VLOOKUP($A350,Seqs!$A:$B,2,FALSE),VLOOKUP($A350,'SegEnds_NonXtal_Prot#'!$A:$AL,28,FALSE),1)</f>
        <v>I</v>
      </c>
    </row>
    <row r="351" spans="1:34" s="2" customFormat="1" x14ac:dyDescent="0.2">
      <c r="A351" s="2" t="s">
        <v>420</v>
      </c>
      <c r="B351" s="2" t="str">
        <f>LOWER(VLOOKUP(A351,Xtal_Templ!A:B,2,FALSE))</f>
        <v>crfr2_human</v>
      </c>
      <c r="C351" s="2" t="str">
        <f>VLOOKUP(A351,Classification!A:D,2,FALSE)</f>
        <v>B2</v>
      </c>
      <c r="D351" s="2" t="str">
        <f>IF(ISERROR(MATCH(A351,'SegEnds_Xtal_Prot#'!B:B, 0)), "NoXtal", "Xtal")</f>
        <v>NoXtal</v>
      </c>
      <c r="H351" s="4"/>
      <c r="J351" s="106" t="s">
        <v>25</v>
      </c>
      <c r="T351" s="4" t="s">
        <v>12</v>
      </c>
      <c r="V351" s="28" t="str">
        <f>MID(VLOOKUP($A351,Seqs!$A:$B,2,FALSE),VLOOKUP($A351,'SegEnds_NonXtal_Prot#'!A:AL,10,FALSE),1)</f>
        <v>L</v>
      </c>
      <c r="W351" s="49" t="str">
        <f>MID(VLOOKUP($A351,Seqs!$A:$B,2,FALSE),VLOOKUP($A351,'SegEnds_NonXtal_Prot#'!A:AL,10,FALSE)+6,1)</f>
        <v>L</v>
      </c>
      <c r="X351" s="49" t="str">
        <f>MID(VLOOKUP($A351,Seqs!$A:$B,2,FALSE),VLOOKUP($A351,'SegEnds_NonXtal_Prot#'!A:AL,10,FALSE)+7,1)</f>
        <v>F</v>
      </c>
      <c r="Y351" s="49" t="str">
        <f>MID(VLOOKUP($A351,Seqs!$A:$B,2,FALSE),VLOOKUP($A351,'SegEnds_NonXtal_Prot#'!A:AL,10,FALSE)+8,1)</f>
        <v>L</v>
      </c>
      <c r="Z351" s="49" t="str">
        <f>MID(VLOOKUP($A351,Seqs!$A:$B,2,FALSE),VLOOKUP($A351,'SegEnds_NonXtal_Prot#'!A:AL,10,FALSE)+9,1)</f>
        <v>L</v>
      </c>
      <c r="AA351" s="49" t="str">
        <f>MID(VLOOKUP($A351,Seqs!$A:$B,2,FALSE),VLOOKUP($A351,'SegEnds_NonXtal_Prot#'!A:AL,10,FALSE)+10,1)</f>
        <v>G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L</v>
      </c>
      <c r="AD351" s="49" t="str">
        <f>MID(VLOOKUP($A351,Seqs!$A:$B,2,FALSE),VLOOKUP($A351,'SegEnds_NonXtal_Prot#'!$A:$AL,22,FALSE)+8,1)</f>
        <v>G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A</v>
      </c>
      <c r="AG351" s="28" t="str">
        <f>MID(VLOOKUP($A351,Seqs!$A:$B,2,FALSE),VLOOKUP($A351,'SegEnds_NonXtal_Prot#'!$A:$AL,28,FALSE)-4,1)</f>
        <v>P</v>
      </c>
      <c r="AH351" s="49" t="str">
        <f>MID(VLOOKUP($A351,Seqs!$A:$B,2,FALSE),VLOOKUP($A351,'SegEnds_NonXtal_Prot#'!$A:$AL,28,FALSE),1)</f>
        <v>V</v>
      </c>
    </row>
    <row r="352" spans="1:34" s="2" customFormat="1" x14ac:dyDescent="0.2">
      <c r="A352" s="2" t="s">
        <v>106</v>
      </c>
      <c r="B352" s="2" t="str">
        <f>LOWER(VLOOKUP(A352,Xtal_Templ!A:B,2,FALSE))</f>
        <v>grm5_human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1324</v>
      </c>
      <c r="V352" s="28" t="str">
        <f>MID(VLOOKUP($A352,Seqs!$A:$B,2,FALSE),VLOOKUP($A352,'SegEnds_NonXtal_Prot#'!A:AL,10,FALSE),1)</f>
        <v>C</v>
      </c>
      <c r="W352" s="49" t="str">
        <f>MID(VLOOKUP($A352,Seqs!$A:$B,2,FALSE),VLOOKUP($A352,'SegEnds_NonXtal_Prot#'!A:AL,10,FALSE)+6,1)</f>
        <v>A</v>
      </c>
      <c r="X352" s="49" t="str">
        <f>MID(VLOOKUP($A352,Seqs!$A:$B,2,FALSE),VLOOKUP($A352,'SegEnds_NonXtal_Prot#'!A:AL,10,FALSE)+7,1)</f>
        <v>V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P</v>
      </c>
      <c r="AA352" s="49" t="str">
        <f>MID(VLOOKUP($A352,Seqs!$A:$B,2,FALSE),VLOOKUP($A352,'SegEnds_NonXtal_Prot#'!A:AL,10,FALSE)+10,1)</f>
        <v>L</v>
      </c>
      <c r="AB352" s="28" t="str">
        <f>MID(VLOOKUP($A352,Seqs!$A:$B,2,FALSE),VLOOKUP($A352,'SegEnds_NonXtal_Prot#'!$A:$AL,22,FALSE)+6,1)</f>
        <v>T</v>
      </c>
      <c r="AC352" s="49" t="str">
        <f>MID(VLOOKUP($A352,Seqs!$A:$B,2,FALSE),VLOOKUP($A352,'SegEnds_NonXtal_Prot#'!$A:$AL,22,FALSE)+7,1)</f>
        <v>L</v>
      </c>
      <c r="AD352" s="49" t="str">
        <f>MID(VLOOKUP($A352,Seqs!$A:$B,2,FALSE),VLOOKUP($A352,'SegEnds_NonXtal_Prot#'!$A:$AL,22,FALSE)+8,1)</f>
        <v>A</v>
      </c>
      <c r="AE352" s="49" t="str">
        <f>MID(VLOOKUP($A352,Seqs!$A:$B,2,FALSE),VLOOKUP($A352,'SegEnds_NonXtal_Prot#'!$A:$AL,22,FALSE)+9,1)</f>
        <v>I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108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1324</v>
      </c>
      <c r="V353" s="28" t="str">
        <f>MID(VLOOKUP($A353,Seqs!$A:$B,2,FALSE),VLOOKUP($A353,'SegEnds_NonXtal_Prot#'!A:AL,10,FALSE),1)</f>
        <v>S</v>
      </c>
      <c r="W353" s="49" t="str">
        <f>MID(VLOOKUP($A353,Seqs!$A:$B,2,FALSE),VLOOKUP($A353,'SegEnds_NonXtal_Prot#'!A:AL,10,FALSE)+6,1)</f>
        <v>S</v>
      </c>
      <c r="X353" s="49" t="str">
        <f>MID(VLOOKUP($A353,Seqs!$A:$B,2,FALSE),VLOOKUP($A353,'SegEnds_NonXtal_Prot#'!A:AL,10,FALSE)+7,1)</f>
        <v>A</v>
      </c>
      <c r="Y353" s="49" t="str">
        <f>MID(VLOOKUP($A353,Seqs!$A:$B,2,FALSE),VLOOKUP($A353,'SegEnds_NonXtal_Prot#'!A:AL,10,FALSE)+8,1)</f>
        <v>Y</v>
      </c>
      <c r="Z353" s="49" t="str">
        <f>MID(VLOOKUP($A353,Seqs!$A:$B,2,FALSE),VLOOKUP($A353,'SegEnds_NonXtal_Prot#'!A:AL,10,FALSE)+9,1)</f>
        <v>L</v>
      </c>
      <c r="AA353" s="49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L</v>
      </c>
      <c r="AC353" s="49" t="str">
        <f>MID(VLOOKUP($A353,Seqs!$A:$B,2,FALSE),VLOOKUP($A353,'SegEnds_NonXtal_Prot#'!$A:$AL,22,FALSE)+7,1)</f>
        <v>L</v>
      </c>
      <c r="AD353" s="49" t="str">
        <f>MID(VLOOKUP($A353,Seqs!$A:$B,2,FALSE),VLOOKUP($A353,'SegEnds_NonXtal_Prot#'!$A:$AL,22,FALSE)+8,1)</f>
        <v>M</v>
      </c>
      <c r="AE353" s="49" t="str">
        <f>MID(VLOOKUP($A353,Seqs!$A:$B,2,FALSE),VLOOKUP($A353,'SegEnds_NonXtal_Prot#'!$A:$AL,22,FALSE)+9,1)</f>
        <v>T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C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109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1324</v>
      </c>
      <c r="V354" s="28" t="str">
        <f>MID(VLOOKUP($A354,Seqs!$A:$B,2,FALSE),VLOOKUP($A354,'SegEnds_NonXtal_Prot#'!A:AL,10,FALSE),1)</f>
        <v>S</v>
      </c>
      <c r="W354" s="49" t="str">
        <f>MID(VLOOKUP($A354,Seqs!$A:$B,2,FALSE),VLOOKUP($A354,'SegEnds_NonXtal_Prot#'!A:AL,10,FALSE)+6,1)</f>
        <v>P</v>
      </c>
      <c r="X354" s="49" t="str">
        <f>MID(VLOOKUP($A354,Seqs!$A:$B,2,FALSE),VLOOKUP($A354,'SegEnds_NonXtal_Prot#'!A:AL,10,FALSE)+7,1)</f>
        <v>V</v>
      </c>
      <c r="Y354" s="49" t="str">
        <f>MID(VLOOKUP($A354,Seqs!$A:$B,2,FALSE),VLOOKUP($A354,'SegEnds_NonXtal_Prot#'!A:AL,10,FALSE)+8,1)</f>
        <v>V</v>
      </c>
      <c r="Z354" s="49" t="str">
        <f>MID(VLOOKUP($A354,Seqs!$A:$B,2,FALSE),VLOOKUP($A354,'SegEnds_NonXtal_Prot#'!A:AL,10,FALSE)+9,1)</f>
        <v>I</v>
      </c>
      <c r="AA354" s="49" t="str">
        <f>MID(VLOOKUP($A354,Seqs!$A:$B,2,FALSE),VLOOKUP($A354,'SegEnds_NonXtal_Prot#'!A:AL,10,FALSE)+10,1)</f>
        <v>L</v>
      </c>
      <c r="AB354" s="28" t="str">
        <f>MID(VLOOKUP($A354,Seqs!$A:$B,2,FALSE),VLOOKUP($A354,'SegEnds_NonXtal_Prot#'!$A:$AL,22,FALSE)+6,1)</f>
        <v>L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V</v>
      </c>
      <c r="AE354" s="49" t="str">
        <f>MID(VLOOKUP($A354,Seqs!$A:$B,2,FALSE),VLOOKUP($A354,'SegEnds_NonXtal_Prot#'!$A:$AL,22,FALSE)+9,1)</f>
        <v>I</v>
      </c>
      <c r="AF354" s="49" t="str">
        <f>MID(VLOOKUP($A354,Seqs!$A:$B,2,FALSE),VLOOKUP($A354,'SegEnds_NonXtal_Prot#'!$A:$AL,22,FALSE)+10,1)</f>
        <v>L</v>
      </c>
      <c r="AG354" s="28" t="str">
        <f>MID(VLOOKUP($A354,Seqs!$A:$B,2,FALSE),VLOOKUP($A354,'SegEnds_NonXtal_Prot#'!$A:$AL,28,FALSE)-4,1)</f>
        <v>A</v>
      </c>
      <c r="AH354" s="49" t="str">
        <f>MID(VLOOKUP($A354,Seqs!$A:$B,2,FALSE),VLOOKUP($A354,'SegEnds_NonXtal_Prot#'!$A:$AL,28,FALSE),1)</f>
        <v>F</v>
      </c>
    </row>
    <row r="355" spans="1:34" s="2" customFormat="1" x14ac:dyDescent="0.2">
      <c r="A355" s="2" t="s">
        <v>110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1324</v>
      </c>
      <c r="V355" s="28" t="str">
        <f>MID(VLOOKUP($A355,Seqs!$A:$B,2,FALSE),VLOOKUP($A355,'SegEnds_NonXtal_Prot#'!A:AL,10,FALSE),1)</f>
        <v>F</v>
      </c>
      <c r="W355" s="49" t="str">
        <f>MID(VLOOKUP($A355,Seqs!$A:$B,2,FALSE),VLOOKUP($A355,'SegEnds_NonXtal_Prot#'!A:AL,10,FALSE)+6,1)</f>
        <v>P</v>
      </c>
      <c r="X355" s="49" t="str">
        <f>MID(VLOOKUP($A355,Seqs!$A:$B,2,FALSE),VLOOKUP($A355,'SegEnds_NonXtal_Prot#'!A:AL,10,FALSE)+7,1)</f>
        <v>V</v>
      </c>
      <c r="Y355" s="49" t="str">
        <f>MID(VLOOKUP($A355,Seqs!$A:$B,2,FALSE),VLOOKUP($A355,'SegEnds_NonXtal_Prot#'!A:AL,10,FALSE)+8,1)</f>
        <v>F</v>
      </c>
      <c r="Z355" s="49" t="str">
        <f>MID(VLOOKUP($A355,Seqs!$A:$B,2,FALSE),VLOOKUP($A355,'SegEnds_NonXtal_Prot#'!A:AL,10,FALSE)+9,1)</f>
        <v>I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G</v>
      </c>
      <c r="AD355" s="49" t="str">
        <f>MID(VLOOKUP($A355,Seqs!$A:$B,2,FALSE),VLOOKUP($A355,'SegEnds_NonXtal_Prot#'!$A:$AL,22,FALSE)+8,1)</f>
        <v>L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A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111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1324</v>
      </c>
      <c r="V356" s="28" t="str">
        <f>MID(VLOOKUP($A356,Seqs!$A:$B,2,FALSE),VLOOKUP($A356,'SegEnds_NonXtal_Prot#'!A:AL,10,FALSE),1)</f>
        <v>T</v>
      </c>
      <c r="W356" s="49" t="str">
        <f>MID(VLOOKUP($A356,Seqs!$A:$B,2,FALSE),VLOOKUP($A356,'SegEnds_NonXtal_Prot#'!A:AL,10,FALSE)+6,1)</f>
        <v>L</v>
      </c>
      <c r="X356" s="49" t="str">
        <f>MID(VLOOKUP($A356,Seqs!$A:$B,2,FALSE),VLOOKUP($A356,'SegEnds_NonXtal_Prot#'!A:AL,10,FALSE)+7,1)</f>
        <v>T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A</v>
      </c>
      <c r="AA356" s="49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49" t="str">
        <f>MID(VLOOKUP($A356,Seqs!$A:$B,2,FALSE),VLOOKUP($A356,'SegEnds_NonXtal_Prot#'!$A:$AL,22,FALSE)+7,1)</f>
        <v>A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E</v>
      </c>
      <c r="AF356" s="49" t="str">
        <f>MID(VLOOKUP($A356,Seqs!$A:$B,2,FALSE),VLOOKUP($A356,'SegEnds_NonXtal_Prot#'!$A:$AL,22,FALSE)+10,1)</f>
        <v>W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112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1324</v>
      </c>
      <c r="V357" s="28" t="str">
        <f>MID(VLOOKUP($A357,Seqs!$A:$B,2,FALSE),VLOOKUP($A357,'SegEnds_NonXtal_Prot#'!A:AL,10,FALSE),1)</f>
        <v>T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V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C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N</v>
      </c>
      <c r="AD357" s="49" t="str">
        <f>MID(VLOOKUP($A357,Seqs!$A:$B,2,FALSE),VLOOKUP($A357,'SegEnds_NonXtal_Prot#'!$A:$AL,22,FALSE)+8,1)</f>
        <v>T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113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1324</v>
      </c>
      <c r="V358" s="28" t="str">
        <f>MID(VLOOKUP($A358,Seqs!$A:$B,2,FALSE),VLOOKUP($A358,'SegEnds_NonXtal_Prot#'!A:AL,10,FALSE),1)</f>
        <v>V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A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A</v>
      </c>
      <c r="AD358" s="49" t="str">
        <f>MID(VLOOKUP($A358,Seqs!$A:$B,2,FALSE),VLOOKUP($A358,'SegEnds_NonXtal_Prot#'!$A:$AL,22,FALSE)+8,1)</f>
        <v>T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Y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114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1324</v>
      </c>
      <c r="V359" s="28" t="str">
        <f>MID(VLOOKUP($A359,Seqs!$A:$B,2,FALSE),VLOOKUP($A359,'SegEnds_NonXtal_Prot#'!A:AL,10,FALSE),1)</f>
        <v>H</v>
      </c>
      <c r="W359" s="49" t="str">
        <f>MID(VLOOKUP($A359,Seqs!$A:$B,2,FALSE),VLOOKUP($A359,'SegEnds_NonXtal_Prot#'!A:AL,10,FALSE)+6,1)</f>
        <v>S</v>
      </c>
      <c r="X359" s="49" t="str">
        <f>MID(VLOOKUP($A359,Seqs!$A:$B,2,FALSE),VLOOKUP($A359,'SegEnds_NonXtal_Prot#'!A:AL,10,FALSE)+7,1)</f>
        <v>T</v>
      </c>
      <c r="Y359" s="49" t="str">
        <f>MID(VLOOKUP($A359,Seqs!$A:$B,2,FALSE),VLOOKUP($A359,'SegEnds_NonXtal_Prot#'!A:AL,10,FALSE)+8,1)</f>
        <v>S</v>
      </c>
      <c r="Z359" s="49" t="str">
        <f>MID(VLOOKUP($A359,Seqs!$A:$B,2,FALSE),VLOOKUP($A359,'SegEnds_NonXtal_Prot#'!A:AL,10,FALSE)+9,1)</f>
        <v>F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C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L</v>
      </c>
      <c r="AF359" s="49" t="str">
        <f>MID(VLOOKUP($A359,Seqs!$A:$B,2,FALSE),VLOOKUP($A359,'SegEnds_NonXtal_Prot#'!$A:$AL,22,FALSE)+10,1)</f>
        <v>W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40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Xtal</v>
      </c>
      <c r="H360" s="4"/>
      <c r="U360" s="2" t="s">
        <v>1324</v>
      </c>
      <c r="V360" s="28" t="str">
        <f>MID(VLOOKUP($A360,Seqs!$A:$B,2,FALSE),VLOOKUP($A360,'SegEnds_NonXtal_Prot#'!A:AL,10,FALSE),1)</f>
        <v>I</v>
      </c>
      <c r="W360" s="49" t="str">
        <f>MID(VLOOKUP($A360,Seqs!$A:$B,2,FALSE),VLOOKUP($A360,'SegEnds_NonXtal_Prot#'!A:AL,10,FALSE)+6,1)</f>
        <v>C</v>
      </c>
      <c r="X360" s="49" t="str">
        <f>MID(VLOOKUP($A360,Seqs!$A:$B,2,FALSE),VLOOKUP($A360,'SegEnds_NonXtal_Prot#'!A:AL,10,FALSE)+7,1)</f>
        <v>P</v>
      </c>
      <c r="Y360" s="49" t="str">
        <f>MID(VLOOKUP($A360,Seqs!$A:$B,2,FALSE),VLOOKUP($A360,'SegEnds_NonXtal_Prot#'!A:AL,10,FALSE)+8,1)</f>
        <v>F</v>
      </c>
      <c r="Z360" s="49" t="str">
        <f>MID(VLOOKUP($A360,Seqs!$A:$B,2,FALSE),VLOOKUP($A360,'SegEnds_NonXtal_Prot#'!A:AL,10,FALSE)+9,1)</f>
        <v>T</v>
      </c>
      <c r="AA360" s="49" t="str">
        <f>MID(VLOOKUP($A360,Seqs!$A:$B,2,FALSE),VLOOKUP($A360,'SegEnds_NonXtal_Prot#'!A:AL,10,FALSE)+10,1)</f>
        <v>L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V</v>
      </c>
      <c r="AD360" s="49" t="str">
        <f>MID(VLOOKUP($A360,Seqs!$A:$B,2,FALSE),VLOOKUP($A360,'SegEnds_NonXtal_Prot#'!$A:$AL,22,FALSE)+8,1)</f>
        <v>V</v>
      </c>
      <c r="AE360" s="49" t="str">
        <f>MID(VLOOKUP($A360,Seqs!$A:$B,2,FALSE),VLOOKUP($A360,'SegEnds_NonXtal_Prot#'!$A:$AL,22,FALSE)+9,1)</f>
        <v>T</v>
      </c>
      <c r="AF360" s="49" t="str">
        <f>MID(VLOOKUP($A360,Seqs!$A:$B,2,FALSE),VLOOKUP($A360,'SegEnds_NonXtal_Prot#'!$A:$AL,22,FALSE)+10,1)</f>
        <v>L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121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1324</v>
      </c>
      <c r="V361" s="28" t="str">
        <f>MID(VLOOKUP($A361,Seqs!$A:$B,2,FALSE),VLOOKUP($A361,'SegEnds_NonXtal_Prot#'!A:AL,10,FALSE),1)</f>
        <v>V</v>
      </c>
      <c r="W361" s="49" t="str">
        <f>MID(VLOOKUP($A361,Seqs!$A:$B,2,FALSE),VLOOKUP($A361,'SegEnds_NonXtal_Prot#'!A:AL,10,FALSE)+6,1)</f>
        <v>L</v>
      </c>
      <c r="X361" s="49" t="str">
        <f>MID(VLOOKUP($A361,Seqs!$A:$B,2,FALSE),VLOOKUP($A361,'SegEnds_NonXtal_Prot#'!A:AL,10,FALSE)+7,1)</f>
        <v>T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A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A</v>
      </c>
      <c r="AD361" s="49" t="str">
        <f>MID(VLOOKUP($A361,Seqs!$A:$B,2,FALSE),VLOOKUP($A361,'SegEnds_NonXtal_Prot#'!$A:$AL,22,FALSE)+8,1)</f>
        <v>I</v>
      </c>
      <c r="AE361" s="49" t="str">
        <f>MID(VLOOKUP($A361,Seqs!$A:$B,2,FALSE),VLOOKUP($A361,'SegEnds_NonXtal_Prot#'!$A:$AL,22,FALSE)+9,1)</f>
        <v>E</v>
      </c>
      <c r="AF361" s="49" t="str">
        <f>MID(VLOOKUP($A361,Seqs!$A:$B,2,FALSE),VLOOKUP($A361,'SegEnds_NonXtal_Prot#'!$A:$AL,22,FALSE)+10,1)</f>
        <v>Y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122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1324</v>
      </c>
      <c r="V362" s="28" t="str">
        <f>MID(VLOOKUP($A362,Seqs!$A:$B,2,FALSE),VLOOKUP($A362,'SegEnds_NonXtal_Prot#'!A:AL,10,FALSE),1)</f>
        <v>L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L</v>
      </c>
      <c r="Y362" s="49" t="str">
        <f>MID(VLOOKUP($A362,Seqs!$A:$B,2,FALSE),VLOOKUP($A362,'SegEnds_NonXtal_Prot#'!A:AL,10,FALSE)+8,1)</f>
        <v>Y</v>
      </c>
      <c r="Z362" s="49" t="str">
        <f>MID(VLOOKUP($A362,Seqs!$A:$B,2,FALSE),VLOOKUP($A362,'SegEnds_NonXtal_Prot#'!A:AL,10,FALSE)+9,1)</f>
        <v>G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C</v>
      </c>
      <c r="AD362" s="49" t="str">
        <f>MID(VLOOKUP($A362,Seqs!$A:$B,2,FALSE),VLOOKUP($A362,'SegEnds_NonXtal_Prot#'!$A:$AL,22,FALSE)+8,1)</f>
        <v>L</v>
      </c>
      <c r="AE362" s="49" t="str">
        <f>MID(VLOOKUP($A362,Seqs!$A:$B,2,FALSE),VLOOKUP($A362,'SegEnds_NonXtal_Prot#'!$A:$AL,22,FALSE)+9,1)</f>
        <v>T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123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1324</v>
      </c>
      <c r="V363" s="28" t="str">
        <f>MID(VLOOKUP($A363,Seqs!$A:$B,2,FALSE),VLOOKUP($A363,'SegEnds_NonXtal_Prot#'!A:AL,10,FALSE),1)</f>
        <v>L</v>
      </c>
      <c r="W363" s="49" t="str">
        <f>MID(VLOOKUP($A363,Seqs!$A:$B,2,FALSE),VLOOKUP($A363,'SegEnds_NonXtal_Prot#'!A:AL,10,FALSE)+6,1)</f>
        <v>V</v>
      </c>
      <c r="X363" s="49" t="str">
        <f>MID(VLOOKUP($A363,Seqs!$A:$B,2,FALSE),VLOOKUP($A363,'SegEnds_NonXtal_Prot#'!A:AL,10,FALSE)+7,1)</f>
        <v>V</v>
      </c>
      <c r="Y363" s="49" t="str">
        <f>MID(VLOOKUP($A363,Seqs!$A:$B,2,FALSE),VLOOKUP($A363,'SegEnds_NonXtal_Prot#'!A:AL,10,FALSE)+8,1)</f>
        <v>P</v>
      </c>
      <c r="Z363" s="49" t="str">
        <f>MID(VLOOKUP($A363,Seqs!$A:$B,2,FALSE),VLOOKUP($A363,'SegEnds_NonXtal_Prot#'!A:AL,10,FALSE)+9,1)</f>
        <v>V</v>
      </c>
      <c r="AA363" s="49" t="str">
        <f>MID(VLOOKUP($A363,Seqs!$A:$B,2,FALSE),VLOOKUP($A363,'SegEnds_NonXtal_Prot#'!A:AL,10,FALSE)+10,1)</f>
        <v>Y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I</v>
      </c>
      <c r="AF363" s="49" t="str">
        <f>MID(VLOOKUP($A363,Seqs!$A:$B,2,FALSE),VLOOKUP($A363,'SegEnds_NonXtal_Prot#'!$A:$AL,22,FALSE)+10,1)</f>
        <v>G</v>
      </c>
      <c r="AG363" s="28" t="str">
        <f>MID(VLOOKUP($A363,Seqs!$A:$B,2,FALSE),VLOOKUP($A363,'SegEnds_NonXtal_Prot#'!$A:$AL,28,FALSE)-4,1)</f>
        <v>L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124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1324</v>
      </c>
      <c r="V364" s="28" t="str">
        <f>MID(VLOOKUP($A364,Seqs!$A:$B,2,FALSE),VLOOKUP($A364,'SegEnds_NonXtal_Prot#'!A:AL,10,FALSE),1)</f>
        <v>L</v>
      </c>
      <c r="W364" s="49" t="str">
        <f>MID(VLOOKUP($A364,Seqs!$A:$B,2,FALSE),VLOOKUP($A364,'SegEnds_NonXtal_Prot#'!A:AL,10,FALSE)+6,1)</f>
        <v>S</v>
      </c>
      <c r="X364" s="49" t="str">
        <f>MID(VLOOKUP($A364,Seqs!$A:$B,2,FALSE),VLOOKUP($A364,'SegEnds_NonXtal_Prot#'!A:AL,10,FALSE)+7,1)</f>
        <v>V</v>
      </c>
      <c r="Y364" s="49" t="str">
        <f>MID(VLOOKUP($A364,Seqs!$A:$B,2,FALSE),VLOOKUP($A364,'SegEnds_NonXtal_Prot#'!A:AL,10,FALSE)+8,1)</f>
        <v>L</v>
      </c>
      <c r="Z364" s="49" t="str">
        <f>MID(VLOOKUP($A364,Seqs!$A:$B,2,FALSE),VLOOKUP($A364,'SegEnds_NonXtal_Prot#'!A:AL,10,FALSE)+9,1)</f>
        <v>L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L</v>
      </c>
      <c r="AC364" s="49" t="str">
        <f>MID(VLOOKUP($A364,Seqs!$A:$B,2,FALSE),VLOOKUP($A364,'SegEnds_NonXtal_Prot#'!$A:$AL,22,FALSE)+7,1)</f>
        <v>C</v>
      </c>
      <c r="AD364" s="49" t="str">
        <f>MID(VLOOKUP($A364,Seqs!$A:$B,2,FALSE),VLOOKUP($A364,'SegEnds_NonXtal_Prot#'!$A:$AL,22,FALSE)+8,1)</f>
        <v>T</v>
      </c>
      <c r="AE364" s="49" t="str">
        <f>MID(VLOOKUP($A364,Seqs!$A:$B,2,FALSE),VLOOKUP($A364,'SegEnds_NonXtal_Prot#'!$A:$AL,22,FALSE)+9,1)</f>
        <v>W</v>
      </c>
      <c r="AF364" s="49" t="str">
        <f>MID(VLOOKUP($A364,Seqs!$A:$B,2,FALSE),VLOOKUP($A364,'SegEnds_NonXtal_Prot#'!$A:$AL,22,FALSE)+10,1)</f>
        <v>Y</v>
      </c>
      <c r="AG364" s="28" t="str">
        <f>MID(VLOOKUP($A364,Seqs!$A:$B,2,FALSE),VLOOKUP($A364,'SegEnds_NonXtal_Prot#'!$A:$AL,28,FALSE)-4,1)</f>
        <v>T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105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1324</v>
      </c>
      <c r="V365" s="28" t="str">
        <f>MID(VLOOKUP($A365,Seqs!$A:$B,2,FALSE),VLOOKUP($A365,'SegEnds_NonXtal_Prot#'!A:AL,10,FALSE),1)</f>
        <v>L</v>
      </c>
      <c r="W365" s="49" t="str">
        <f>MID(VLOOKUP($A365,Seqs!$A:$B,2,FALSE),VLOOKUP($A365,'SegEnds_NonXtal_Prot#'!A:AL,10,FALSE)+6,1)</f>
        <v>S</v>
      </c>
      <c r="X365" s="49" t="str">
        <f>MID(VLOOKUP($A365,Seqs!$A:$B,2,FALSE),VLOOKUP($A365,'SegEnds_NonXtal_Prot#'!A:AL,10,FALSE)+7,1)</f>
        <v>S</v>
      </c>
      <c r="Y365" s="49" t="str">
        <f>MID(VLOOKUP($A365,Seqs!$A:$B,2,FALSE),VLOOKUP($A365,'SegEnds_NonXtal_Prot#'!A:AL,10,FALSE)+8,1)</f>
        <v>L</v>
      </c>
      <c r="Z365" s="49" t="str">
        <f>MID(VLOOKUP($A365,Seqs!$A:$B,2,FALSE),VLOOKUP($A365,'SegEnds_NonXtal_Prot#'!A:AL,10,FALSE)+9,1)</f>
        <v>F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I</v>
      </c>
      <c r="AC365" s="49" t="str">
        <f>MID(VLOOKUP($A365,Seqs!$A:$B,2,FALSE),VLOOKUP($A365,'SegEnds_NonXtal_Prot#'!$A:$AL,22,FALSE)+7,1)</f>
        <v>C</v>
      </c>
      <c r="AD365" s="49" t="str">
        <f>MID(VLOOKUP($A365,Seqs!$A:$B,2,FALSE),VLOOKUP($A365,'SegEnds_NonXtal_Prot#'!$A:$AL,22,FALSE)+8,1)</f>
        <v>V</v>
      </c>
      <c r="AE365" s="49" t="str">
        <f>MID(VLOOKUP($A365,Seqs!$A:$B,2,FALSE),VLOOKUP($A365,'SegEnds_NonXtal_Prot#'!$A:$AL,22,FALSE)+9,1)</f>
        <v>I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107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1324</v>
      </c>
      <c r="V366" s="28" t="str">
        <f>MID(VLOOKUP($A366,Seqs!$A:$B,2,FALSE),VLOOKUP($A366,'SegEnds_NonXtal_Prot#'!A:AL,10,FALSE),1)</f>
        <v>G</v>
      </c>
      <c r="W366" s="49" t="str">
        <f>MID(VLOOKUP($A366,Seqs!$A:$B,2,FALSE),VLOOKUP($A366,'SegEnds_NonXtal_Prot#'!A:AL,10,FALSE)+6,1)</f>
        <v>S</v>
      </c>
      <c r="X366" s="49" t="str">
        <f>MID(VLOOKUP($A366,Seqs!$A:$B,2,FALSE),VLOOKUP($A366,'SegEnds_NonXtal_Prot#'!A:AL,10,FALSE)+7,1)</f>
        <v>I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L</v>
      </c>
      <c r="AA366" s="49" t="str">
        <f>MID(VLOOKUP($A366,Seqs!$A:$B,2,FALSE),VLOOKUP($A366,'SegEnds_NonXtal_Prot#'!A:AL,10,FALSE)+10,1)</f>
        <v>F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L</v>
      </c>
      <c r="AD366" s="49" t="str">
        <f>MID(VLOOKUP($A366,Seqs!$A:$B,2,FALSE),VLOOKUP($A366,'SegEnds_NonXtal_Prot#'!$A:$AL,22,FALSE)+8,1)</f>
        <v>I</v>
      </c>
      <c r="AE366" s="49" t="str">
        <f>MID(VLOOKUP($A366,Seqs!$A:$B,2,FALSE),VLOOKUP($A366,'SegEnds_NonXtal_Prot#'!$A:$AL,22,FALSE)+9,1)</f>
        <v>C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115</v>
      </c>
      <c r="B367" s="2" t="str">
        <f>LOWER(VLOOKUP(A367,Xtal_Templ!A:B,2,FALSE))</f>
        <v>grm1_human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1324</v>
      </c>
      <c r="V367" s="28" t="str">
        <f>MID(VLOOKUP($A367,Seqs!$A:$B,2,FALSE),VLOOKUP($A367,'SegEnds_NonXtal_Prot#'!A:AL,10,FALSE),1)</f>
        <v>V</v>
      </c>
      <c r="W367" s="49" t="str">
        <f>MID(VLOOKUP($A367,Seqs!$A:$B,2,FALSE),VLOOKUP($A367,'SegEnds_NonXtal_Prot#'!A:AL,10,FALSE)+6,1)</f>
        <v>M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I</v>
      </c>
      <c r="AA367" s="49" t="str">
        <f>MID(VLOOKUP($A367,Seqs!$A:$B,2,FALSE),VLOOKUP($A367,'SegEnds_NonXtal_Prot#'!A:AL,10,FALSE)+10,1)</f>
        <v>F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V</v>
      </c>
      <c r="AD367" s="49" t="str">
        <f>MID(VLOOKUP($A367,Seqs!$A:$B,2,FALSE),VLOOKUP($A367,'SegEnds_NonXtal_Prot#'!$A:$AL,22,FALSE)+8,1)</f>
        <v>V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116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1324</v>
      </c>
      <c r="V368" s="28" t="str">
        <f>MID(VLOOKUP($A368,Seqs!$A:$B,2,FALSE),VLOOKUP($A368,'SegEnds_NonXtal_Prot#'!A:AL,10,FALSE),1)</f>
        <v>V</v>
      </c>
      <c r="W368" s="49" t="str">
        <f>MID(VLOOKUP($A368,Seqs!$A:$B,2,FALSE),VLOOKUP($A368,'SegEnds_NonXtal_Prot#'!A:AL,10,FALSE)+6,1)</f>
        <v>M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F</v>
      </c>
      <c r="AA368" s="49" t="str">
        <f>MID(VLOOKUP($A368,Seqs!$A:$B,2,FALSE),VLOOKUP($A368,'SegEnds_NonXtal_Prot#'!A:AL,10,FALSE)+10,1)</f>
        <v>F</v>
      </c>
      <c r="AB368" s="28" t="str">
        <f>MID(VLOOKUP($A368,Seqs!$A:$B,2,FALSE),VLOOKUP($A368,'SegEnds_NonXtal_Prot#'!$A:$AL,22,FALSE)+6,1)</f>
        <v>M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S</v>
      </c>
      <c r="AE368" s="49" t="str">
        <f>MID(VLOOKUP($A368,Seqs!$A:$B,2,FALSE),VLOOKUP($A368,'SegEnds_NonXtal_Prot#'!$A:$AL,22,FALSE)+9,1)</f>
        <v>V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117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1324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T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I</v>
      </c>
      <c r="AD369" s="49" t="str">
        <f>MID(VLOOKUP($A369,Seqs!$A:$B,2,FALSE),VLOOKUP($A369,'SegEnds_NonXtal_Prot#'!$A:$AL,22,FALSE)+8,1)</f>
        <v>C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41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Xtal</v>
      </c>
      <c r="H370" s="4"/>
      <c r="U370" s="2" t="s">
        <v>1324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C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C</v>
      </c>
      <c r="AA370" s="49" t="str">
        <f>MID(VLOOKUP($A370,Seqs!$A:$B,2,FALSE),VLOOKUP($A370,'SegEnds_NonXtal_Prot#'!A:AL,10,FALSE)+10,1)</f>
        <v>L</v>
      </c>
      <c r="AB370" s="28" t="str">
        <f>MID(VLOOKUP($A370,Seqs!$A:$B,2,FALSE),VLOOKUP($A370,'SegEnds_NonXtal_Prot#'!$A:$AL,22,FALSE)+6,1)</f>
        <v>I</v>
      </c>
      <c r="AC370" s="49" t="str">
        <f>MID(VLOOKUP($A370,Seqs!$A:$B,2,FALSE),VLOOKUP($A370,'SegEnds_NonXtal_Prot#'!$A:$AL,22,FALSE)+7,1)</f>
        <v>I</v>
      </c>
      <c r="AD370" s="49" t="str">
        <f>MID(VLOOKUP($A370,Seqs!$A:$B,2,FALSE),VLOOKUP($A370,'SegEnds_NonXtal_Prot#'!$A:$AL,22,FALSE)+8,1)</f>
        <v>V</v>
      </c>
      <c r="AE370" s="49" t="str">
        <f>MID(VLOOKUP($A370,Seqs!$A:$B,2,FALSE),VLOOKUP($A370,'SegEnds_NonXtal_Prot#'!$A:$AL,22,FALSE)+9,1)</f>
        <v>A</v>
      </c>
      <c r="AF370" s="49" t="str">
        <f>MID(VLOOKUP($A370,Seqs!$A:$B,2,FALSE),VLOOKUP($A370,'SegEnds_NonXtal_Prot#'!$A:$AL,22,FALSE)+10,1)</f>
        <v>L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118</v>
      </c>
      <c r="B371" s="2" t="str">
        <f>LOWER(VLOOKUP(A371,Xtal_Templ!A:B,2,FALSE))</f>
        <v>grm5_human</v>
      </c>
      <c r="C371" s="2" t="str">
        <f>VLOOKUP(A371,Classification!A:D,2,FALSE)</f>
        <v>C</v>
      </c>
      <c r="D371" s="2" t="str">
        <f>IF(ISERROR(MATCH(A371,'SegEnds_Xtal_Prot#'!B:B, 0)), "NoXtal", "Xtal")</f>
        <v>NoXtal</v>
      </c>
      <c r="H371" s="4"/>
      <c r="U371" s="2" t="s">
        <v>1324</v>
      </c>
      <c r="V371" s="28" t="str">
        <f>MID(VLOOKUP($A371,Seqs!$A:$B,2,FALSE),VLOOKUP($A371,'SegEnds_NonXtal_Prot#'!A:AL,10,FALSE),1)</f>
        <v>I</v>
      </c>
      <c r="W371" s="49" t="str">
        <f>MID(VLOOKUP($A371,Seqs!$A:$B,2,FALSE),VLOOKUP($A371,'SegEnds_NonXtal_Prot#'!A:AL,10,FALSE)+6,1)</f>
        <v>I</v>
      </c>
      <c r="X371" s="49" t="str">
        <f>MID(VLOOKUP($A371,Seqs!$A:$B,2,FALSE),VLOOKUP($A371,'SegEnds_NonXtal_Prot#'!A:AL,10,FALSE)+7,1)</f>
        <v>T</v>
      </c>
      <c r="Y371" s="49" t="str">
        <f>MID(VLOOKUP($A371,Seqs!$A:$B,2,FALSE),VLOOKUP($A371,'SegEnds_NonXtal_Prot#'!A:AL,10,FALSE)+8,1)</f>
        <v>F</v>
      </c>
      <c r="Z371" s="49" t="str">
        <f>MID(VLOOKUP($A371,Seqs!$A:$B,2,FALSE),VLOOKUP($A371,'SegEnds_NonXtal_Prot#'!A:AL,10,FALSE)+9,1)</f>
        <v>L</v>
      </c>
      <c r="AA371" s="49" t="str">
        <f>MID(VLOOKUP($A371,Seqs!$A:$B,2,FALSE),VLOOKUP($A371,'SegEnds_NonXtal_Prot#'!A:AL,10,FALSE)+10,1)</f>
        <v>M</v>
      </c>
      <c r="AB371" s="28" t="str">
        <f>MID(VLOOKUP($A371,Seqs!$A:$B,2,FALSE),VLOOKUP($A371,'SegEnds_NonXtal_Prot#'!$A:$AL,22,FALSE)+6,1)</f>
        <v>G</v>
      </c>
      <c r="AC371" s="49" t="str">
        <f>MID(VLOOKUP($A371,Seqs!$A:$B,2,FALSE),VLOOKUP($A371,'SegEnds_NonXtal_Prot#'!$A:$AL,22,FALSE)+7,1)</f>
        <v>M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A</v>
      </c>
      <c r="AF371" s="49" t="str">
        <f>MID(VLOOKUP($A371,Seqs!$A:$B,2,FALSE),VLOOKUP($A371,'SegEnds_NonXtal_Prot#'!$A:$AL,22,FALSE)+10,1)</f>
        <v>W</v>
      </c>
      <c r="AG371" s="28" t="str">
        <f>MID(VLOOKUP($A371,Seqs!$A:$B,2,FALSE),VLOOKUP($A371,'SegEnds_NonXtal_Prot#'!$A:$AL,28,FALSE)-4,1)</f>
        <v>Y</v>
      </c>
      <c r="AH371" s="49" t="str">
        <f>MID(VLOOKUP($A371,Seqs!$A:$B,2,FALSE),VLOOKUP($A371,'SegEnds_NonXtal_Prot#'!$A:$AL,28,FALSE),1)</f>
        <v>L</v>
      </c>
    </row>
    <row r="372" spans="1:34" s="2" customFormat="1" ht="17" customHeight="1" x14ac:dyDescent="0.2">
      <c r="A372" s="2" t="s">
        <v>119</v>
      </c>
      <c r="B372" s="2" t="str">
        <f>LOWER(VLOOKUP(A372,Xtal_Templ!A:B,2,FALSE))</f>
        <v>grm5_human</v>
      </c>
      <c r="C372" s="2" t="str">
        <f>VLOOKUP(A372,Classification!A:D,2,FALSE)</f>
        <v>C</v>
      </c>
      <c r="D372" s="2" t="str">
        <f>IF(ISERROR(MATCH(A372,'SegEnds_Xtal_Prot#'!B:B, 0)), "NoXtal", "Xtal")</f>
        <v>NoXtal</v>
      </c>
      <c r="H372" s="4"/>
      <c r="U372" s="2" t="s">
        <v>1324</v>
      </c>
      <c r="V372" s="28" t="str">
        <f>MID(VLOOKUP($A372,Seqs!$A:$B,2,FALSE),VLOOKUP($A372,'SegEnds_NonXtal_Prot#'!A:AL,10,FALSE),1)</f>
        <v>I</v>
      </c>
      <c r="W372" s="49" t="str">
        <f>MID(VLOOKUP($A372,Seqs!$A:$B,2,FALSE),VLOOKUP($A372,'SegEnds_NonXtal_Prot#'!A:AL,10,FALSE)+6,1)</f>
        <v>I</v>
      </c>
      <c r="X372" s="49" t="str">
        <f>MID(VLOOKUP($A372,Seqs!$A:$B,2,FALSE),VLOOKUP($A372,'SegEnds_NonXtal_Prot#'!A:AL,10,FALSE)+7,1)</f>
        <v>T</v>
      </c>
      <c r="Y372" s="49" t="str">
        <f>MID(VLOOKUP($A372,Seqs!$A:$B,2,FALSE),VLOOKUP($A372,'SegEnds_NonXtal_Prot#'!A:AL,10,FALSE)+8,1)</f>
        <v>F</v>
      </c>
      <c r="Z372" s="49" t="str">
        <f>MID(VLOOKUP($A372,Seqs!$A:$B,2,FALSE),VLOOKUP($A372,'SegEnds_NonXtal_Prot#'!A:AL,10,FALSE)+9,1)</f>
        <v>L</v>
      </c>
      <c r="AA372" s="49" t="str">
        <f>MID(VLOOKUP($A372,Seqs!$A:$B,2,FALSE),VLOOKUP($A372,'SegEnds_NonXtal_Prot#'!A:AL,10,FALSE)+10,1)</f>
        <v>M</v>
      </c>
      <c r="AB372" s="28" t="str">
        <f>MID(VLOOKUP($A372,Seqs!$A:$B,2,FALSE),VLOOKUP($A372,'SegEnds_NonXtal_Prot#'!$A:$AL,22,FALSE)+6,1)</f>
        <v>G</v>
      </c>
      <c r="AC372" s="49" t="str">
        <f>MID(VLOOKUP($A372,Seqs!$A:$B,2,FALSE),VLOOKUP($A372,'SegEnds_NonXtal_Prot#'!$A:$AL,22,FALSE)+7,1)</f>
        <v>V</v>
      </c>
      <c r="AD372" s="49" t="str">
        <f>MID(VLOOKUP($A372,Seqs!$A:$B,2,FALSE),VLOOKUP($A372,'SegEnds_NonXtal_Prot#'!$A:$AL,22,FALSE)+8,1)</f>
        <v>F</v>
      </c>
      <c r="AE372" s="49" t="str">
        <f>MID(VLOOKUP($A372,Seqs!$A:$B,2,FALSE),VLOOKUP($A372,'SegEnds_NonXtal_Prot#'!$A:$AL,22,FALSE)+9,1)</f>
        <v>I</v>
      </c>
      <c r="AF372" s="49" t="str">
        <f>MID(VLOOKUP($A372,Seqs!$A:$B,2,FALSE),VLOOKUP($A372,'SegEnds_NonXtal_Prot#'!$A:$AL,22,FALSE)+10,1)</f>
        <v>W</v>
      </c>
      <c r="AG372" s="28" t="str">
        <f>MID(VLOOKUP($A372,Seqs!$A:$B,2,FALSE),VLOOKUP($A372,'SegEnds_NonXtal_Prot#'!$A:$AL,28,FALSE)-4,1)</f>
        <v>Y</v>
      </c>
      <c r="AH372" s="49" t="str">
        <f>MID(VLOOKUP($A372,Seqs!$A:$B,2,FALSE),VLOOKUP($A372,'SegEnds_NonXtal_Prot#'!$A:$AL,28,FALSE),1)</f>
        <v>L</v>
      </c>
    </row>
    <row r="373" spans="1:34" s="2" customFormat="1" x14ac:dyDescent="0.2">
      <c r="A373" s="2" t="s">
        <v>120</v>
      </c>
      <c r="B373" s="2" t="str">
        <f>LOWER(VLOOKUP(A373,Xtal_Templ!A:B,2,FALSE))</f>
        <v>grm5_human</v>
      </c>
      <c r="C373" s="2" t="str">
        <f>VLOOKUP(A373,Classification!A:D,2,FALSE)</f>
        <v>C</v>
      </c>
      <c r="D373" s="2" t="str">
        <f>IF(ISERROR(MATCH(A373,'SegEnds_Xtal_Prot#'!B:B, 0)), "NoXtal", "Xtal")</f>
        <v>NoXtal</v>
      </c>
      <c r="H373" s="4"/>
      <c r="U373" s="2" t="s">
        <v>1324</v>
      </c>
      <c r="V373" s="28" t="str">
        <f>MID(VLOOKUP($A373,Seqs!$A:$B,2,FALSE),VLOOKUP($A373,'SegEnds_NonXtal_Prot#'!A:AL,10,FALSE),1)</f>
        <v>I</v>
      </c>
      <c r="W373" s="49" t="str">
        <f>MID(VLOOKUP($A373,Seqs!$A:$B,2,FALSE),VLOOKUP($A373,'SegEnds_NonXtal_Prot#'!A:AL,10,FALSE)+6,1)</f>
        <v>I</v>
      </c>
      <c r="X373" s="49" t="str">
        <f>MID(VLOOKUP($A373,Seqs!$A:$B,2,FALSE),VLOOKUP($A373,'SegEnds_NonXtal_Prot#'!A:AL,10,FALSE)+7,1)</f>
        <v>T</v>
      </c>
      <c r="Y373" s="49" t="str">
        <f>MID(VLOOKUP($A373,Seqs!$A:$B,2,FALSE),VLOOKUP($A373,'SegEnds_NonXtal_Prot#'!A:AL,10,FALSE)+8,1)</f>
        <v>F</v>
      </c>
      <c r="Z373" s="49" t="str">
        <f>MID(VLOOKUP($A373,Seqs!$A:$B,2,FALSE),VLOOKUP($A373,'SegEnds_NonXtal_Prot#'!A:AL,10,FALSE)+9,1)</f>
        <v>L</v>
      </c>
      <c r="AA373" s="49" t="str">
        <f>MID(VLOOKUP($A373,Seqs!$A:$B,2,FALSE),VLOOKUP($A373,'SegEnds_NonXtal_Prot#'!A:AL,10,FALSE)+10,1)</f>
        <v>M</v>
      </c>
      <c r="AB373" s="28" t="str">
        <f>MID(VLOOKUP($A373,Seqs!$A:$B,2,FALSE),VLOOKUP($A373,'SegEnds_NonXtal_Prot#'!$A:$AL,22,FALSE)+6,1)</f>
        <v>G</v>
      </c>
      <c r="AC373" s="49" t="str">
        <f>MID(VLOOKUP($A373,Seqs!$A:$B,2,FALSE),VLOOKUP($A373,'SegEnds_NonXtal_Prot#'!$A:$AL,22,FALSE)+7,1)</f>
        <v>V</v>
      </c>
      <c r="AD373" s="49" t="str">
        <f>MID(VLOOKUP($A373,Seqs!$A:$B,2,FALSE),VLOOKUP($A373,'SegEnds_NonXtal_Prot#'!$A:$AL,22,FALSE)+8,1)</f>
        <v>F</v>
      </c>
      <c r="AE373" s="49" t="str">
        <f>MID(VLOOKUP($A373,Seqs!$A:$B,2,FALSE),VLOOKUP($A373,'SegEnds_NonXtal_Prot#'!$A:$AL,22,FALSE)+9,1)</f>
        <v>V</v>
      </c>
      <c r="AF373" s="49" t="str">
        <f>MID(VLOOKUP($A373,Seqs!$A:$B,2,FALSE),VLOOKUP($A373,'SegEnds_NonXtal_Prot#'!$A:$AL,22,FALSE)+10,1)</f>
        <v>W</v>
      </c>
      <c r="AG373" s="28" t="str">
        <f>MID(VLOOKUP($A373,Seqs!$A:$B,2,FALSE),VLOOKUP($A373,'SegEnds_NonXtal_Prot#'!$A:$AL,28,FALSE)-4,1)</f>
        <v>Y</v>
      </c>
      <c r="AH373" s="49" t="str">
        <f>MID(VLOOKUP($A373,Seqs!$A:$B,2,FALSE),VLOOKUP($A373,'SegEnds_NonXtal_Prot#'!$A:$AL,28,FALSE),1)</f>
        <v>L</v>
      </c>
    </row>
    <row r="374" spans="1:34" s="2" customFormat="1" x14ac:dyDescent="0.2">
      <c r="A374" s="2" t="s">
        <v>446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1323</v>
      </c>
      <c r="V374" s="28" t="str">
        <f>MID(VLOOKUP($A374,Seqs!$A:$B,2,FALSE),VLOOKUP($A374,'SegEnds_NonXtal_Prot#'!A:AL,10,FALSE),1)</f>
        <v>G</v>
      </c>
      <c r="W374" s="49" t="str">
        <f>MID(VLOOKUP($A374,Seqs!$A:$B,2,FALSE),VLOOKUP($A374,'SegEnds_NonXtal_Prot#'!A:AL,10,FALSE)+6,1)</f>
        <v>A</v>
      </c>
      <c r="X374" s="49" t="str">
        <f>MID(VLOOKUP($A374,Seqs!$A:$B,2,FALSE),VLOOKUP($A374,'SegEnds_NonXtal_Prot#'!A:AL,10,FALSE)+7,1)</f>
        <v>V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T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447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1323</v>
      </c>
      <c r="V375" s="28" t="str">
        <f>MID(VLOOKUP($A375,Seqs!$A:$B,2,FALSE),VLOOKUP($A375,'SegEnds_NonXtal_Prot#'!A:AL,10,FALSE),1)</f>
        <v>M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V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L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448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1323</v>
      </c>
      <c r="V376" s="28" t="str">
        <f>MID(VLOOKUP($A376,Seqs!$A:$B,2,FALSE),VLOOKUP($A376,'SegEnds_NonXtal_Prot#'!A:AL,10,FALSE),1)</f>
        <v>G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V</v>
      </c>
      <c r="Y376" s="49" t="str">
        <f>MID(VLOOKUP($A376,Seqs!$A:$B,2,FALSE),VLOOKUP($A376,'SegEnds_NonXtal_Prot#'!A:AL,10,FALSE)+8,1)</f>
        <v>A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I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T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449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1323</v>
      </c>
      <c r="V377" s="28" t="str">
        <f>MID(VLOOKUP($A377,Seqs!$A:$B,2,FALSE),VLOOKUP($A377,'SegEnds_NonXtal_Prot#'!A:AL,10,FALSE),1)</f>
        <v>V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L</v>
      </c>
      <c r="Y377" s="49" t="str">
        <f>MID(VLOOKUP($A377,Seqs!$A:$B,2,FALSE),VLOOKUP($A377,'SegEnds_NonXtal_Prot#'!A:AL,10,FALSE)+8,1)</f>
        <v>I</v>
      </c>
      <c r="Z377" s="49" t="str">
        <f>MID(VLOOKUP($A377,Seqs!$A:$B,2,FALSE),VLOOKUP($A377,'SegEnds_NonXtal_Prot#'!A:AL,10,FALSE)+9,1)</f>
        <v>F</v>
      </c>
      <c r="AA377" s="49" t="str">
        <f>MID(VLOOKUP($A377,Seqs!$A:$B,2,FALSE),VLOOKUP($A377,'SegEnds_NonXtal_Prot#'!A:AL,10,FALSE)+10,1)</f>
        <v>F</v>
      </c>
      <c r="AB377" s="28" t="str">
        <f>MID(VLOOKUP($A377,Seqs!$A:$B,2,FALSE),VLOOKUP($A377,'SegEnds_NonXtal_Prot#'!$A:$AL,22,FALSE)+6,1)</f>
        <v>L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I</v>
      </c>
      <c r="AF377" s="49" t="str">
        <f>MID(VLOOKUP($A377,Seqs!$A:$B,2,FALSE),VLOOKUP($A377,'SegEnds_NonXtal_Prot#'!$A:$AL,22,FALSE)+10,1)</f>
        <v>L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450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Xtal</v>
      </c>
      <c r="H378" s="4"/>
      <c r="P378" s="2" t="s">
        <v>1323</v>
      </c>
      <c r="V378" s="28" t="str">
        <f>MID(VLOOKUP($A378,Seqs!$A:$B,2,FALSE),VLOOKUP($A378,'SegEnds_NonXtal_Prot#'!A:AL,10,FALSE),1)</f>
        <v>M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I</v>
      </c>
      <c r="Y378" s="49" t="str">
        <f>MID(VLOOKUP($A378,Seqs!$A:$B,2,FALSE),VLOOKUP($A378,'SegEnds_NonXtal_Prot#'!A:AL,10,FALSE)+8,1)</f>
        <v>A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I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V</v>
      </c>
      <c r="AF378" s="49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451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1323</v>
      </c>
      <c r="V379" s="28" t="str">
        <f>MID(VLOOKUP($A379,Seqs!$A:$B,2,FALSE),VLOOKUP($A379,'SegEnds_NonXtal_Prot#'!A:AL,10,FALSE),1)</f>
        <v>A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G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S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T</v>
      </c>
      <c r="AF379" s="49" t="str">
        <f>MID(VLOOKUP($A379,Seqs!$A:$B,2,FALSE),VLOOKUP($A379,'SegEnds_NonXtal_Prot#'!$A:$AL,22,FALSE)+10,1)</f>
        <v>A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452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NoXtal</v>
      </c>
      <c r="H380" s="4"/>
      <c r="P380" s="2" t="s">
        <v>1323</v>
      </c>
      <c r="V380" s="28" t="str">
        <f>MID(VLOOKUP($A380,Seqs!$A:$B,2,FALSE),VLOOKUP($A380,'SegEnds_NonXtal_Prot#'!A:AL,10,FALSE),1)</f>
        <v>V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L</v>
      </c>
      <c r="Y380" s="49" t="str">
        <f>MID(VLOOKUP($A380,Seqs!$A:$B,2,FALSE),VLOOKUP($A380,'SegEnds_NonXtal_Prot#'!A:AL,10,FALSE)+8,1)</f>
        <v>M</v>
      </c>
      <c r="Z380" s="49" t="str">
        <f>MID(VLOOKUP($A380,Seqs!$A:$B,2,FALSE),VLOOKUP($A380,'SegEnds_NonXtal_Prot#'!A:AL,10,FALSE)+9,1)</f>
        <v>Y</v>
      </c>
      <c r="AA380" s="49" t="str">
        <f>MID(VLOOKUP($A380,Seqs!$A:$B,2,FALSE),VLOOKUP($A380,'SegEnds_NonXtal_Prot#'!A:AL,10,FALSE)+10,1)</f>
        <v>F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M</v>
      </c>
      <c r="AF380" s="49" t="str">
        <f>MID(VLOOKUP($A380,Seqs!$A:$B,2,FALSE),VLOOKUP($A380,'SegEnds_NonXtal_Prot#'!$A:$AL,22,FALSE)+10,1)</f>
        <v>L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C</v>
      </c>
    </row>
    <row r="381" spans="1:34" s="2" customFormat="1" x14ac:dyDescent="0.2">
      <c r="A381" s="2" t="s">
        <v>453</v>
      </c>
      <c r="B381" s="2" t="str">
        <f>LOWER(VLOOKUP(A381,Xtal_Templ!A:B,2,FALSE))</f>
        <v>fzd4_human</v>
      </c>
      <c r="C381" s="2" t="str">
        <f>VLOOKUP(A381,Classification!A:D,2,FALSE)</f>
        <v>F</v>
      </c>
      <c r="D381" s="2" t="str">
        <f>IF(ISERROR(MATCH(A381,'SegEnds_Xtal_Prot#'!B:B, 0)), "NoXtal", "Xtal")</f>
        <v>NoXtal</v>
      </c>
      <c r="H381" s="4"/>
      <c r="P381" s="2" t="s">
        <v>1323</v>
      </c>
      <c r="V381" s="28" t="str">
        <f>MID(VLOOKUP($A381,Seqs!$A:$B,2,FALSE),VLOOKUP($A381,'SegEnds_NonXtal_Prot#'!A:AL,10,FALSE),1)</f>
        <v>G</v>
      </c>
      <c r="W381" s="49" t="str">
        <f>MID(VLOOKUP($A381,Seqs!$A:$B,2,FALSE),VLOOKUP($A381,'SegEnds_NonXtal_Prot#'!A:AL,10,FALSE)+6,1)</f>
        <v>A</v>
      </c>
      <c r="X381" s="49" t="str">
        <f>MID(VLOOKUP($A381,Seqs!$A:$B,2,FALSE),VLOOKUP($A381,'SegEnds_NonXtal_Prot#'!A:AL,10,FALSE)+7,1)</f>
        <v>V</v>
      </c>
      <c r="Y381" s="49" t="str">
        <f>MID(VLOOKUP($A381,Seqs!$A:$B,2,FALSE),VLOOKUP($A381,'SegEnds_NonXtal_Prot#'!A:AL,10,FALSE)+8,1)</f>
        <v>A</v>
      </c>
      <c r="Z381" s="49" t="str">
        <f>MID(VLOOKUP($A381,Seqs!$A:$B,2,FALSE),VLOOKUP($A381,'SegEnds_NonXtal_Prot#'!A:AL,10,FALSE)+9,1)</f>
        <v>H</v>
      </c>
      <c r="AA381" s="49" t="str">
        <f>MID(VLOOKUP($A381,Seqs!$A:$B,2,FALSE),VLOOKUP($A381,'SegEnds_NonXtal_Prot#'!A:AL,10,FALSE)+10,1)</f>
        <v>V</v>
      </c>
      <c r="AB381" s="28" t="str">
        <f>MID(VLOOKUP($A381,Seqs!$A:$B,2,FALSE),VLOOKUP($A381,'SegEnds_NonXtal_Prot#'!$A:$AL,22,FALSE)+6,1)</f>
        <v>K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I</v>
      </c>
      <c r="AE381" s="49" t="str">
        <f>MID(VLOOKUP($A381,Seqs!$A:$B,2,FALSE),VLOOKUP($A381,'SegEnds_NonXtal_Prot#'!$A:$AL,22,FALSE)+9,1)</f>
        <v>T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Y</v>
      </c>
    </row>
    <row r="382" spans="1:34" s="2" customFormat="1" x14ac:dyDescent="0.2">
      <c r="A382" s="2" t="s">
        <v>454</v>
      </c>
      <c r="B382" s="2" t="str">
        <f>LOWER(VLOOKUP(A382,Xtal_Templ!A:B,2,FALSE))</f>
        <v>fzd4_human</v>
      </c>
      <c r="C382" s="2" t="str">
        <f>VLOOKUP(A382,Classification!A:D,2,FALSE)</f>
        <v>F</v>
      </c>
      <c r="D382" s="2" t="str">
        <f>IF(ISERROR(MATCH(A382,'SegEnds_Xtal_Prot#'!B:B, 0)), "NoXtal", "Xtal")</f>
        <v>NoXtal</v>
      </c>
      <c r="H382" s="4"/>
      <c r="P382" s="2" t="s">
        <v>1323</v>
      </c>
      <c r="V382" s="28" t="str">
        <f>MID(VLOOKUP($A382,Seqs!$A:$B,2,FALSE),VLOOKUP($A382,'SegEnds_NonXtal_Prot#'!A:AL,10,FALSE),1)</f>
        <v>A</v>
      </c>
      <c r="W382" s="49" t="str">
        <f>MID(VLOOKUP($A382,Seqs!$A:$B,2,FALSE),VLOOKUP($A382,'SegEnds_NonXtal_Prot#'!A:AL,10,FALSE)+6,1)</f>
        <v>S</v>
      </c>
      <c r="X382" s="49" t="str">
        <f>MID(VLOOKUP($A382,Seqs!$A:$B,2,FALSE),VLOOKUP($A382,'SegEnds_NonXtal_Prot#'!A:AL,10,FALSE)+7,1)</f>
        <v>V</v>
      </c>
      <c r="Y382" s="49" t="str">
        <f>MID(VLOOKUP($A382,Seqs!$A:$B,2,FALSE),VLOOKUP($A382,'SegEnds_NonXtal_Prot#'!A:AL,10,FALSE)+8,1)</f>
        <v>G</v>
      </c>
      <c r="Z382" s="49" t="str">
        <f>MID(VLOOKUP($A382,Seqs!$A:$B,2,FALSE),VLOOKUP($A382,'SegEnds_NonXtal_Prot#'!A:AL,10,FALSE)+9,1)</f>
        <v>Y</v>
      </c>
      <c r="AA382" s="49" t="str">
        <f>MID(VLOOKUP($A382,Seqs!$A:$B,2,FALSE),VLOOKUP($A382,'SegEnds_NonXtal_Prot#'!A:AL,10,FALSE)+10,1)</f>
        <v>L</v>
      </c>
      <c r="AB382" s="28" t="str">
        <f>MID(VLOOKUP($A382,Seqs!$A:$B,2,FALSE),VLOOKUP($A382,'SegEnds_NonXtal_Prot#'!$A:$AL,22,FALSE)+6,1)</f>
        <v>K</v>
      </c>
      <c r="AC382" s="49" t="str">
        <f>MID(VLOOKUP($A382,Seqs!$A:$B,2,FALSE),VLOOKUP($A382,'SegEnds_NonXtal_Prot#'!$A:$AL,22,FALSE)+7,1)</f>
        <v>S</v>
      </c>
      <c r="AD382" s="49" t="str">
        <f>MID(VLOOKUP($A382,Seqs!$A:$B,2,FALSE),VLOOKUP($A382,'SegEnds_NonXtal_Prot#'!$A:$AL,22,FALSE)+8,1)</f>
        <v>I</v>
      </c>
      <c r="AE382" s="49" t="str">
        <f>MID(VLOOKUP($A382,Seqs!$A:$B,2,FALSE),VLOOKUP($A382,'SegEnds_NonXtal_Prot#'!$A:$AL,22,FALSE)+9,1)</f>
        <v>A</v>
      </c>
      <c r="AF382" s="49" t="str">
        <f>MID(VLOOKUP($A382,Seqs!$A:$B,2,FALSE),VLOOKUP($A382,'SegEnds_NonXtal_Prot#'!$A:$AL,22,FALSE)+10,1)</f>
        <v>V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Y</v>
      </c>
    </row>
    <row r="383" spans="1:34" s="2" customFormat="1" x14ac:dyDescent="0.2">
      <c r="A383" s="2" t="s">
        <v>455</v>
      </c>
      <c r="B383" s="2" t="str">
        <f>LOWER(VLOOKUP(A383,Xtal_Templ!A:B,2,FALSE))</f>
        <v>fzd4_human</v>
      </c>
      <c r="C383" s="2" t="str">
        <f>VLOOKUP(A383,Classification!A:D,2,FALSE)</f>
        <v>F</v>
      </c>
      <c r="D383" s="2" t="str">
        <f>IF(ISERROR(MATCH(A383,'SegEnds_Xtal_Prot#'!B:B, 0)), "NoXtal", "Xtal")</f>
        <v>NoXtal</v>
      </c>
      <c r="H383" s="4"/>
      <c r="P383" s="2" t="s">
        <v>1323</v>
      </c>
      <c r="V383" s="28" t="str">
        <f>MID(VLOOKUP($A383,Seqs!$A:$B,2,FALSE),VLOOKUP($A383,'SegEnds_NonXtal_Prot#'!A:AL,10,FALSE),1)</f>
        <v>M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L</v>
      </c>
      <c r="Y383" s="49" t="str">
        <f>MID(VLOOKUP($A383,Seqs!$A:$B,2,FALSE),VLOOKUP($A383,'SegEnds_NonXtal_Prot#'!A:AL,10,FALSE)+8,1)</f>
        <v>A</v>
      </c>
      <c r="Z383" s="49" t="str">
        <f>MID(VLOOKUP($A383,Seqs!$A:$B,2,FALSE),VLOOKUP($A383,'SegEnds_NonXtal_Prot#'!A:AL,10,FALSE)+9,1)</f>
        <v>F</v>
      </c>
      <c r="AA383" s="49" t="str">
        <f>MID(VLOOKUP($A383,Seqs!$A:$B,2,FALSE),VLOOKUP($A383,'SegEnds_NonXtal_Prot#'!A:AL,10,FALSE)+10,1)</f>
        <v>L</v>
      </c>
      <c r="AB383" s="28" t="str">
        <f>MID(VLOOKUP($A383,Seqs!$A:$B,2,FALSE),VLOOKUP($A383,'SegEnds_NonXtal_Prot#'!$A:$AL,22,FALSE)+6,1)</f>
        <v>K</v>
      </c>
      <c r="AC383" s="49" t="str">
        <f>MID(VLOOKUP($A383,Seqs!$A:$B,2,FALSE),VLOOKUP($A383,'SegEnds_NonXtal_Prot#'!$A:$AL,22,FALSE)+7,1)</f>
        <v>T</v>
      </c>
      <c r="AD383" s="49" t="str">
        <f>MID(VLOOKUP($A383,Seqs!$A:$B,2,FALSE),VLOOKUP($A383,'SegEnds_NonXtal_Prot#'!$A:$AL,22,FALSE)+8,1)</f>
        <v>I</v>
      </c>
      <c r="AE383" s="49" t="str">
        <f>MID(VLOOKUP($A383,Seqs!$A:$B,2,FALSE),VLOOKUP($A383,'SegEnds_NonXtal_Prot#'!$A:$AL,22,FALSE)+9,1)</f>
        <v>V</v>
      </c>
      <c r="AF383" s="49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Y</v>
      </c>
    </row>
    <row r="384" spans="1:34" s="2" customFormat="1" x14ac:dyDescent="0.2">
      <c r="A384" s="2" t="s">
        <v>33</v>
      </c>
      <c r="B384" s="2" t="str">
        <f>LOWER(VLOOKUP(A384,Xtal_Templ!A:B,2,FALSE))</f>
        <v>smo_human</v>
      </c>
      <c r="C384" s="2" t="str">
        <f>VLOOKUP(A384,Classification!A:D,2,FALSE)</f>
        <v>F</v>
      </c>
      <c r="D384" s="2" t="str">
        <f>IF(ISERROR(MATCH(A384,'SegEnds_Xtal_Prot#'!B:B, 0)), "NoXtal", "Xtal")</f>
        <v>Xtal</v>
      </c>
      <c r="H384" s="4"/>
      <c r="P384" s="2" t="s">
        <v>1323</v>
      </c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S</v>
      </c>
      <c r="X384" s="49" t="str">
        <f>MID(VLOOKUP($A384,Seqs!$A:$B,2,FALSE),VLOOKUP($A384,'SegEnds_NonXtal_Prot#'!A:AL,10,FALSE)+7,1)</f>
        <v>I</v>
      </c>
      <c r="Y384" s="49" t="str">
        <f>MID(VLOOKUP($A384,Seqs!$A:$B,2,FALSE),VLOOKUP($A384,'SegEnds_NonXtal_Prot#'!A:AL,10,FALSE)+8,1)</f>
        <v>G</v>
      </c>
      <c r="Z384" s="49" t="str">
        <f>MID(VLOOKUP($A384,Seqs!$A:$B,2,FALSE),VLOOKUP($A384,'SegEnds_NonXtal_Prot#'!A:AL,10,FALSE)+9,1)</f>
        <v>W</v>
      </c>
      <c r="AA384" s="49" t="str">
        <f>MID(VLOOKUP($A384,Seqs!$A:$B,2,FALSE),VLOOKUP($A384,'SegEnds_NonXtal_Prot#'!A:AL,10,FALSE)+10,1)</f>
        <v>L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T</v>
      </c>
      <c r="AD384" s="49" t="str">
        <f>MID(VLOOKUP($A384,Seqs!$A:$B,2,FALSE),VLOOKUP($A384,'SegEnds_NonXtal_Prot#'!$A:$AL,22,FALSE)+8,1)</f>
        <v>V</v>
      </c>
      <c r="AE384" s="49" t="str">
        <f>MID(VLOOKUP($A384,Seqs!$A:$B,2,FALSE),VLOOKUP($A384,'SegEnds_NonXtal_Prot#'!$A:$AL,22,FALSE)+9,1)</f>
        <v>A</v>
      </c>
      <c r="AF384" s="49" t="str">
        <f>MID(VLOOKUP($A384,Seqs!$A:$B,2,FALSE),VLOOKUP($A384,'SegEnds_NonXtal_Prot#'!$A:$AL,22,FALSE)+10,1)</f>
        <v>I</v>
      </c>
      <c r="AG384" s="28" t="str">
        <f>MID(VLOOKUP($A384,Seqs!$A:$B,2,FALSE),VLOOKUP($A384,'SegEnds_NonXtal_Prot#'!$A:$AL,28,FALSE)-4,1)</f>
        <v>P</v>
      </c>
      <c r="AH384" s="49" t="str">
        <f>MID(VLOOKUP($A384,Seqs!$A:$B,2,FALSE),VLOOKUP($A384,'SegEnds_NonXtal_Prot#'!$A:$AL,28,FALSE),1)</f>
        <v>V</v>
      </c>
    </row>
    <row r="385" spans="1:34" s="2" customFormat="1" x14ac:dyDescent="0.2">
      <c r="A385" s="2" t="s">
        <v>1594</v>
      </c>
      <c r="B385" s="2" t="str">
        <f>LOWER(VLOOKUP(A385,Xtal_Templ!A:B,2,FALSE))</f>
        <v>smo_mouse</v>
      </c>
      <c r="C385" s="2" t="str">
        <f>VLOOKUP(A385,Classification!A:D,2,FALSE)</f>
        <v>F</v>
      </c>
      <c r="D385" s="2" t="str">
        <f>IF(ISERROR(MATCH(A385,'SegEnds_Xtal_Prot#'!B:B, 0)), "NoXtal", "Xtal")</f>
        <v>Xtal</v>
      </c>
      <c r="H385" s="4"/>
      <c r="P385" s="2" t="s">
        <v>1323</v>
      </c>
      <c r="V385" s="28" t="str">
        <f>MID(VLOOKUP($A385,Seqs!$A:$B,2,FALSE),VLOOKUP($A385,'SegEnds_NonXtal_Prot#'!A:AL,10,FALSE),1)</f>
        <v>A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I</v>
      </c>
      <c r="Y385" s="49" t="str">
        <f>MID(VLOOKUP($A385,Seqs!$A:$B,2,FALSE),VLOOKUP($A385,'SegEnds_NonXtal_Prot#'!A:AL,10,FALSE)+8,1)</f>
        <v>G</v>
      </c>
      <c r="Z385" s="49" t="str">
        <f>MID(VLOOKUP($A385,Seqs!$A:$B,2,FALSE),VLOOKUP($A385,'SegEnds_NonXtal_Prot#'!A:AL,10,FALSE)+9,1)</f>
        <v>W</v>
      </c>
      <c r="AA385" s="49" t="str">
        <f>MID(VLOOKUP($A385,Seqs!$A:$B,2,FALSE),VLOOKUP($A385,'SegEnds_NonXtal_Prot#'!A:AL,10,FALSE)+10,1)</f>
        <v>L</v>
      </c>
      <c r="AB385" s="28" t="str">
        <f>MID(VLOOKUP($A385,Seqs!$A:$B,2,FALSE),VLOOKUP($A385,'SegEnds_NonXtal_Prot#'!$A:$AL,22,FALSE)+6,1)</f>
        <v>L</v>
      </c>
      <c r="AC385" s="49" t="str">
        <f>MID(VLOOKUP($A385,Seqs!$A:$B,2,FALSE),VLOOKUP($A385,'SegEnds_NonXtal_Prot#'!$A:$AL,22,FALSE)+7,1)</f>
        <v>T</v>
      </c>
      <c r="AD385" s="49" t="str">
        <f>MID(VLOOKUP($A385,Seqs!$A:$B,2,FALSE),VLOOKUP($A385,'SegEnds_NonXtal_Prot#'!$A:$AL,22,FALSE)+8,1)</f>
        <v>V</v>
      </c>
      <c r="AE385" s="49" t="str">
        <f>MID(VLOOKUP($A385,Seqs!$A:$B,2,FALSE),VLOOKUP($A385,'SegEnds_NonXtal_Prot#'!$A:$AL,22,FALSE)+9,1)</f>
        <v>A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P</v>
      </c>
      <c r="AH385" s="49" t="str">
        <f>MID(VLOOKUP($A385,Seqs!$A:$B,2,FALSE),VLOOKUP($A385,'SegEnds_NonXtal_Prot#'!$A:$AL,28,FALSE),1)</f>
        <v>V</v>
      </c>
    </row>
    <row r="386" spans="1:34" s="2" customFormat="1" x14ac:dyDescent="0.2">
      <c r="A386" s="2" t="s">
        <v>1495</v>
      </c>
      <c r="B386" s="2" t="str">
        <f>LOWER(VLOOKUP(A386,Xtal_Templ!A:B,2,FALSE))</f>
        <v>q98sw5_xenla</v>
      </c>
      <c r="C386" s="2" t="str">
        <f>VLOOKUP(A386,Classification!A:D,2,FALSE)</f>
        <v>F</v>
      </c>
      <c r="D386" s="2" t="str">
        <f>IF(ISERROR(MATCH(A386,'SegEnds_Xtal_Prot#'!B:B, 0)), "NoXtal", "Xtal")</f>
        <v>Xtal</v>
      </c>
      <c r="H386" s="4"/>
      <c r="P386" s="2" t="s">
        <v>1323</v>
      </c>
      <c r="V386" s="28" t="str">
        <f>MID(VLOOKUP($A386,Seqs!$A:$B,2,FALSE),VLOOKUP($A386,'SegEnds_NonXtal_Prot#'!A:AL,10,FALSE),1)</f>
        <v>A</v>
      </c>
      <c r="W386" s="49" t="str">
        <f>MID(VLOOKUP($A386,Seqs!$A:$B,2,FALSE),VLOOKUP($A386,'SegEnds_NonXtal_Prot#'!A:AL,10,FALSE)+6,1)</f>
        <v>S</v>
      </c>
      <c r="X386" s="49" t="str">
        <f>MID(VLOOKUP($A386,Seqs!$A:$B,2,FALSE),VLOOKUP($A386,'SegEnds_NonXtal_Prot#'!A:AL,10,FALSE)+7,1)</f>
        <v>I</v>
      </c>
      <c r="Y386" s="49" t="str">
        <f>MID(VLOOKUP($A386,Seqs!$A:$B,2,FALSE),VLOOKUP($A386,'SegEnds_NonXtal_Prot#'!A:AL,10,FALSE)+8,1)</f>
        <v>G</v>
      </c>
      <c r="Z386" s="49" t="str">
        <f>MID(VLOOKUP($A386,Seqs!$A:$B,2,FALSE),VLOOKUP($A386,'SegEnds_NonXtal_Prot#'!A:AL,10,FALSE)+9,1)</f>
        <v>W</v>
      </c>
      <c r="AA386" s="49" t="str">
        <f>MID(VLOOKUP($A386,Seqs!$A:$B,2,FALSE),VLOOKUP($A386,'SegEnds_NonXtal_Prot#'!A:AL,10,FALSE)+10,1)</f>
        <v>L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T</v>
      </c>
      <c r="AD386" s="49" t="str">
        <f>MID(VLOOKUP($A386,Seqs!$A:$B,2,FALSE),VLOOKUP($A386,'SegEnds_NonXtal_Prot#'!$A:$AL,22,FALSE)+8,1)</f>
        <v>V</v>
      </c>
      <c r="AE386" s="49" t="str">
        <f>MID(VLOOKUP($A386,Seqs!$A:$B,2,FALSE),VLOOKUP($A386,'SegEnds_NonXtal_Prot#'!$A:$AL,22,FALSE)+9,1)</f>
        <v>A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P</v>
      </c>
      <c r="AH386" s="49" t="str">
        <f>MID(VLOOKUP($A386,Seqs!$A:$B,2,FALSE),VLOOKUP($A386,'SegEnds_NonXtal_Prot#'!$A:$AL,28,FALSE),1)</f>
        <v>V</v>
      </c>
    </row>
    <row r="387" spans="1:34" s="2" customFormat="1" x14ac:dyDescent="0.2">
      <c r="A387" s="2" t="s">
        <v>485</v>
      </c>
      <c r="B387" s="2" t="str">
        <f>LOWER(VLOOKUP(A387,Xtal_Templ!A:B,2,FALSE))</f>
        <v>aa2ar_human</v>
      </c>
      <c r="C387" s="2" t="str">
        <f>VLOOKUP(A387,Classification!A:D,2,FALSE)</f>
        <v>O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D</v>
      </c>
      <c r="W387" s="49" t="str">
        <f>MID(VLOOKUP($A387,Seqs!$A:$B,2,FALSE),VLOOKUP($A387,'SegEnds_NonXtal_Prot#'!A:AL,10,FALSE)+6,1)</f>
        <v>G</v>
      </c>
      <c r="X387" s="49" t="str">
        <f>MID(VLOOKUP($A387,Seqs!$A:$B,2,FALSE),VLOOKUP($A387,'SegEnds_NonXtal_Prot#'!A:AL,10,FALSE)+7,1)</f>
        <v>M</v>
      </c>
      <c r="Y387" s="49" t="str">
        <f>MID(VLOOKUP($A387,Seqs!$A:$B,2,FALSE),VLOOKUP($A387,'SegEnds_NonXtal_Prot#'!A:AL,10,FALSE)+8,1)</f>
        <v>V</v>
      </c>
      <c r="Z387" s="49" t="str">
        <f>MID(VLOOKUP($A387,Seqs!$A:$B,2,FALSE),VLOOKUP($A387,'SegEnds_NonXtal_Prot#'!A:AL,10,FALSE)+9,1)</f>
        <v>I</v>
      </c>
      <c r="AA387" s="49" t="str">
        <f>MID(VLOOKUP($A387,Seqs!$A:$B,2,FALSE),VLOOKUP($A387,'SegEnds_NonXtal_Prot#'!A:AL,10,FALSE)+10,1)</f>
        <v>R</v>
      </c>
      <c r="AB387" s="28" t="str">
        <f>MID(VLOOKUP($A387,Seqs!$A:$B,2,FALSE),VLOOKUP($A387,'SegEnds_NonXtal_Prot#'!$A:$AL,22,FALSE)+6,1)</f>
        <v>L</v>
      </c>
      <c r="AC387" s="49" t="str">
        <f>MID(VLOOKUP($A387,Seqs!$A:$B,2,FALSE),VLOOKUP($A387,'SegEnds_NonXtal_Prot#'!$A:$AL,22,FALSE)+7,1)</f>
        <v>C</v>
      </c>
      <c r="AD387" s="49" t="str">
        <f>MID(VLOOKUP($A387,Seqs!$A:$B,2,FALSE),VLOOKUP($A387,'SegEnds_NonXtal_Prot#'!$A:$AL,22,FALSE)+8,1)</f>
        <v>V</v>
      </c>
      <c r="AE387" s="49" t="str">
        <f>MID(VLOOKUP($A387,Seqs!$A:$B,2,FALSE),VLOOKUP($A387,'SegEnds_NonXtal_Prot#'!$A:$AL,22,FALSE)+9,1)</f>
        <v>E</v>
      </c>
      <c r="AF387" s="49" t="str">
        <f>MID(VLOOKUP($A387,Seqs!$A:$B,2,FALSE),VLOOKUP($A387,'SegEnds_NonXtal_Prot#'!$A:$AL,22,FALSE)+10,1)</f>
        <v>G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481</v>
      </c>
      <c r="B388" s="2" t="str">
        <f>LOWER(VLOOKUP(A388,Xtal_Templ!A:B,2,FALSE))</f>
        <v>fpr2_human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A</v>
      </c>
      <c r="W388" s="49" t="str">
        <f>MID(VLOOKUP($A388,Seqs!$A:$B,2,FALSE),VLOOKUP($A388,'SegEnds_NonXtal_Prot#'!A:AL,10,FALSE)+6,1)</f>
        <v>F</v>
      </c>
      <c r="X388" s="49" t="str">
        <f>MID(VLOOKUP($A388,Seqs!$A:$B,2,FALSE),VLOOKUP($A388,'SegEnds_NonXtal_Prot#'!A:AL,10,FALSE)+7,1)</f>
        <v>S</v>
      </c>
      <c r="Y388" s="49" t="str">
        <f>MID(VLOOKUP($A388,Seqs!$A:$B,2,FALSE),VLOOKUP($A388,'SegEnds_NonXtal_Prot#'!A:AL,10,FALSE)+8,1)</f>
        <v>F</v>
      </c>
      <c r="Z388" s="49" t="str">
        <f>MID(VLOOKUP($A388,Seqs!$A:$B,2,FALSE),VLOOKUP($A388,'SegEnds_NonXtal_Prot#'!A:AL,10,FALSE)+9,1)</f>
        <v>Y</v>
      </c>
      <c r="AA388" s="49" t="str">
        <f>MID(VLOOKUP($A388,Seqs!$A:$B,2,FALSE),VLOOKUP($A388,'SegEnds_NonXtal_Prot#'!A:AL,10,FALSE)+10,1)</f>
        <v>F</v>
      </c>
      <c r="AB388" s="28" t="str">
        <f>MID(VLOOKUP($A388,Seqs!$A:$B,2,FALSE),VLOOKUP($A388,'SegEnds_NonXtal_Prot#'!$A:$AL,22,FALSE)+6,1)</f>
        <v>A</v>
      </c>
      <c r="AC388" s="49" t="str">
        <f>MID(VLOOKUP($A388,Seqs!$A:$B,2,FALSE),VLOOKUP($A388,'SegEnds_NonXtal_Prot#'!$A:$AL,22,FALSE)+7,1)</f>
        <v>A</v>
      </c>
      <c r="AD388" s="49" t="str">
        <f>MID(VLOOKUP($A388,Seqs!$A:$B,2,FALSE),VLOOKUP($A388,'SegEnds_NonXtal_Prot#'!$A:$AL,22,FALSE)+8,1)</f>
        <v>C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C</v>
      </c>
      <c r="AG388" s="28" t="str">
        <f>MID(VLOOKUP($A388,Seqs!$A:$B,2,FALSE),VLOOKUP($A388,'SegEnds_NonXtal_Prot#'!$A:$AL,28,FALSE)-4,1)</f>
        <v>L</v>
      </c>
      <c r="AH388" s="49" t="str">
        <f>MID(VLOOKUP($A388,Seqs!$A:$B,2,FALSE),VLOOKUP($A388,'SegEnds_NonXtal_Prot#'!$A:$AL,28,FALSE),1)</f>
        <v>L</v>
      </c>
    </row>
    <row r="389" spans="1:34" s="2" customFormat="1" x14ac:dyDescent="0.2">
      <c r="A389" s="2" t="s">
        <v>484</v>
      </c>
      <c r="B389" s="2" t="str">
        <f>LOWER(VLOOKUP(A389,Xtal_Templ!A:B,2,FALSE))</f>
        <v>pe2r4_human</v>
      </c>
      <c r="C389" s="2" t="str">
        <f>VLOOKUP(A389,Classification!A:D,2,FALSE)</f>
        <v>O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A</v>
      </c>
      <c r="W389" s="49" t="str">
        <f>MID(VLOOKUP($A389,Seqs!$A:$B,2,FALSE),VLOOKUP($A389,'SegEnds_NonXtal_Prot#'!A:AL,10,FALSE)+6,1)</f>
        <v>M</v>
      </c>
      <c r="X389" s="49" t="str">
        <f>MID(VLOOKUP($A389,Seqs!$A:$B,2,FALSE),VLOOKUP($A389,'SegEnds_NonXtal_Prot#'!A:AL,10,FALSE)+7,1)</f>
        <v>T</v>
      </c>
      <c r="Y389" s="49" t="str">
        <f>MID(VLOOKUP($A389,Seqs!$A:$B,2,FALSE),VLOOKUP($A389,'SegEnds_NonXtal_Prot#'!A:AL,10,FALSE)+8,1)</f>
        <v>V</v>
      </c>
      <c r="Z389" s="49" t="str">
        <f>MID(VLOOKUP($A389,Seqs!$A:$B,2,FALSE),VLOOKUP($A389,'SegEnds_NonXtal_Prot#'!A:AL,10,FALSE)+9,1)</f>
        <v>S</v>
      </c>
      <c r="AA389" s="49" t="str">
        <f>MID(VLOOKUP($A389,Seqs!$A:$B,2,FALSE),VLOOKUP($A389,'SegEnds_NonXtal_Prot#'!A:AL,10,FALSE)+10,1)</f>
        <v>T</v>
      </c>
      <c r="AB389" s="28" t="str">
        <f>MID(VLOOKUP($A389,Seqs!$A:$B,2,FALSE),VLOOKUP($A389,'SegEnds_NonXtal_Prot#'!$A:$AL,22,FALSE)+6,1)</f>
        <v>L</v>
      </c>
      <c r="AC389" s="49" t="str">
        <f>MID(VLOOKUP($A389,Seqs!$A:$B,2,FALSE),VLOOKUP($A389,'SegEnds_NonXtal_Prot#'!$A:$AL,22,FALSE)+7,1)</f>
        <v>S</v>
      </c>
      <c r="AD389" s="49" t="str">
        <f>MID(VLOOKUP($A389,Seqs!$A:$B,2,FALSE),VLOOKUP($A389,'SegEnds_NonXtal_Prot#'!$A:$AL,22,FALSE)+8,1)</f>
        <v>A</v>
      </c>
      <c r="AE389" s="49" t="str">
        <f>MID(VLOOKUP($A389,Seqs!$A:$B,2,FALSE),VLOOKUP($A389,'SegEnds_NonXtal_Prot#'!$A:$AL,22,FALSE)+9,1)</f>
        <v>E</v>
      </c>
      <c r="AF389" s="49" t="str">
        <f>MID(VLOOKUP($A389,Seqs!$A:$B,2,FALSE),VLOOKUP($A389,'SegEnds_NonXtal_Prot#'!$A:$AL,22,FALSE)+10,1)</f>
        <v>D</v>
      </c>
      <c r="AG389" s="28" t="str">
        <f>MID(VLOOKUP($A389,Seqs!$A:$B,2,FALSE),VLOOKUP($A389,'SegEnds_NonXtal_Prot#'!$A:$AL,28,FALSE)-4,1)</f>
        <v>F</v>
      </c>
      <c r="AH389" s="49" t="str">
        <f>MID(VLOOKUP($A389,Seqs!$A:$B,2,FALSE),VLOOKUP($A389,'SegEnds_NonXtal_Prot#'!$A:$AL,28,FALSE),1)</f>
        <v>S</v>
      </c>
    </row>
    <row r="390" spans="1:34" s="2" customFormat="1" x14ac:dyDescent="0.2">
      <c r="A390" s="2" t="s">
        <v>486</v>
      </c>
      <c r="B390" s="2" t="str">
        <f>LOWER(VLOOKUP(A390,Xtal_Templ!A:B,2,FALSE))</f>
        <v>5ht2c_human</v>
      </c>
      <c r="C390" s="2" t="str">
        <f>VLOOKUP(A390,Classification!A:D,2,FALSE)</f>
        <v>O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D</v>
      </c>
      <c r="W390" s="49" t="str">
        <f>MID(VLOOKUP($A390,Seqs!$A:$B,2,FALSE),VLOOKUP($A390,'SegEnds_NonXtal_Prot#'!A:AL,10,FALSE)+6,1)</f>
        <v>S</v>
      </c>
      <c r="X390" s="49" t="str">
        <f>MID(VLOOKUP($A390,Seqs!$A:$B,2,FALSE),VLOOKUP($A390,'SegEnds_NonXtal_Prot#'!A:AL,10,FALSE)+7,1)</f>
        <v>Y</v>
      </c>
      <c r="Y390" s="49" t="str">
        <f>MID(VLOOKUP($A390,Seqs!$A:$B,2,FALSE),VLOOKUP($A390,'SegEnds_NonXtal_Prot#'!A:AL,10,FALSE)+8,1)</f>
        <v>F</v>
      </c>
      <c r="Z390" s="49" t="str">
        <f>MID(VLOOKUP($A390,Seqs!$A:$B,2,FALSE),VLOOKUP($A390,'SegEnds_NonXtal_Prot#'!A:AL,10,FALSE)+9,1)</f>
        <v>Y</v>
      </c>
      <c r="AA390" s="49" t="str">
        <f>MID(VLOOKUP($A390,Seqs!$A:$B,2,FALSE),VLOOKUP($A390,'SegEnds_NonXtal_Prot#'!A:AL,10,FALSE)+10,1)</f>
        <v>G</v>
      </c>
      <c r="AB390" s="28" t="str">
        <f>MID(VLOOKUP($A390,Seqs!$A:$B,2,FALSE),VLOOKUP($A390,'SegEnds_NonXtal_Prot#'!$A:$AL,22,FALSE)+6,1)</f>
        <v>A</v>
      </c>
      <c r="AC390" s="49" t="str">
        <f>MID(VLOOKUP($A390,Seqs!$A:$B,2,FALSE),VLOOKUP($A390,'SegEnds_NonXtal_Prot#'!$A:$AL,22,FALSE)+7,1)</f>
        <v>L</v>
      </c>
      <c r="AD390" s="49" t="str">
        <f>MID(VLOOKUP($A390,Seqs!$A:$B,2,FALSE),VLOOKUP($A390,'SegEnds_NonXtal_Prot#'!$A:$AL,22,FALSE)+8,1)</f>
        <v>K</v>
      </c>
      <c r="AE390" s="49" t="str">
        <f>MID(VLOOKUP($A390,Seqs!$A:$B,2,FALSE),VLOOKUP($A390,'SegEnds_NonXtal_Prot#'!$A:$AL,22,FALSE)+9,1)</f>
        <v>K</v>
      </c>
      <c r="AF390" s="49" t="str">
        <f>MID(VLOOKUP($A390,Seqs!$A:$B,2,FALSE),VLOOKUP($A390,'SegEnds_NonXtal_Prot#'!$A:$AL,22,FALSE)+10,1)</f>
        <v>I</v>
      </c>
      <c r="AG390" s="28" t="str">
        <f>MID(VLOOKUP($A390,Seqs!$A:$B,2,FALSE),VLOOKUP($A390,'SegEnds_NonXtal_Prot#'!$A:$AL,28,FALSE)-4,1)</f>
        <v>D</v>
      </c>
      <c r="AH390" s="49" t="str">
        <f>MID(VLOOKUP($A390,Seqs!$A:$B,2,FALSE),VLOOKUP($A390,'SegEnds_NonXtal_Prot#'!$A:$AL,28,FALSE),1)</f>
        <v>K</v>
      </c>
    </row>
    <row r="391" spans="1:34" s="2" customFormat="1" x14ac:dyDescent="0.2">
      <c r="A391" s="2" t="s">
        <v>482</v>
      </c>
      <c r="B391" s="2" t="str">
        <f>LOWER(VLOOKUP(A391,Xtal_Templ!A:B,2,FALSE))</f>
        <v>ste2_yeast</v>
      </c>
      <c r="C391" s="2" t="str">
        <f>VLOOKUP(A391,Classification!A:D,2,FALSE)</f>
        <v>O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W</v>
      </c>
      <c r="W391" s="49" t="str">
        <f>MID(VLOOKUP($A391,Seqs!$A:$B,2,FALSE),VLOOKUP($A391,'SegEnds_NonXtal_Prot#'!A:AL,10,FALSE)+6,1)</f>
        <v>K</v>
      </c>
      <c r="X391" s="49" t="str">
        <f>MID(VLOOKUP($A391,Seqs!$A:$B,2,FALSE),VLOOKUP($A391,'SegEnds_NonXtal_Prot#'!A:AL,10,FALSE)+7,1)</f>
        <v>R</v>
      </c>
      <c r="Y391" s="49" t="str">
        <f>MID(VLOOKUP($A391,Seqs!$A:$B,2,FALSE),VLOOKUP($A391,'SegEnds_NonXtal_Prot#'!A:AL,10,FALSE)+8,1)</f>
        <v>R</v>
      </c>
      <c r="Z391" s="49" t="str">
        <f>MID(VLOOKUP($A391,Seqs!$A:$B,2,FALSE),VLOOKUP($A391,'SegEnds_NonXtal_Prot#'!A:AL,10,FALSE)+9,1)</f>
        <v>N</v>
      </c>
      <c r="AA391" s="49" t="str">
        <f>MID(VLOOKUP($A391,Seqs!$A:$B,2,FALSE),VLOOKUP($A391,'SegEnds_NonXtal_Prot#'!A:AL,10,FALSE)+10,1)</f>
        <v>D</v>
      </c>
      <c r="AB391" s="28" t="str">
        <f>MID(VLOOKUP($A391,Seqs!$A:$B,2,FALSE),VLOOKUP($A391,'SegEnds_NonXtal_Prot#'!$A:$AL,22,FALSE)+6,1)</f>
        <v>Y</v>
      </c>
      <c r="AC391" s="49" t="str">
        <f>MID(VLOOKUP($A391,Seqs!$A:$B,2,FALSE),VLOOKUP($A391,'SegEnds_NonXtal_Prot#'!$A:$AL,22,FALSE)+7,1)</f>
        <v>G</v>
      </c>
      <c r="AD391" s="49" t="str">
        <f>MID(VLOOKUP($A391,Seqs!$A:$B,2,FALSE),VLOOKUP($A391,'SegEnds_NonXtal_Prot#'!$A:$AL,22,FALSE)+8,1)</f>
        <v>L</v>
      </c>
      <c r="AE391" s="49" t="str">
        <f>MID(VLOOKUP($A391,Seqs!$A:$B,2,FALSE),VLOOKUP($A391,'SegEnds_NonXtal_Prot#'!$A:$AL,22,FALSE)+9,1)</f>
        <v>W</v>
      </c>
      <c r="AF391" s="49" t="str">
        <f>MID(VLOOKUP($A391,Seqs!$A:$B,2,FALSE),VLOOKUP($A391,'SegEnds_NonXtal_Prot#'!$A:$AL,22,FALSE)+10,1)</f>
        <v>K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472</v>
      </c>
      <c r="B392" s="2" t="str">
        <f>LOWER(VLOOKUP(A392,Xtal_Templ!A:B,2,FALSE))</f>
        <v>oprk_human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V</v>
      </c>
      <c r="Y392" s="49" t="str">
        <f>MID(VLOOKUP($A392,Seqs!$A:$B,2,FALSE),VLOOKUP($A392,'SegEnds_NonXtal_Prot#'!A:AL,10,FALSE)+8,1)</f>
        <v>M</v>
      </c>
      <c r="Z392" s="49" t="str">
        <f>MID(VLOOKUP($A392,Seqs!$A:$B,2,FALSE),VLOOKUP($A392,'SegEnds_NonXtal_Prot#'!A:AL,10,FALSE)+9,1)</f>
        <v>G</v>
      </c>
      <c r="AA392" s="49" t="str">
        <f>MID(VLOOKUP($A392,Seqs!$A:$B,2,FALSE),VLOOKUP($A392,'SegEnds_NonXtal_Prot#'!A:AL,10,FALSE)+10,1)</f>
        <v>K</v>
      </c>
      <c r="AB392" s="28" t="str">
        <f>MID(VLOOKUP($A392,Seqs!$A:$B,2,FALSE),VLOOKUP($A392,'SegEnds_NonXtal_Prot#'!$A:$AL,22,FALSE)+6,1)</f>
        <v>S</v>
      </c>
      <c r="AC392" s="49" t="str">
        <f>MID(VLOOKUP($A392,Seqs!$A:$B,2,FALSE),VLOOKUP($A392,'SegEnds_NonXtal_Prot#'!$A:$AL,22,FALSE)+7,1)</f>
        <v>F</v>
      </c>
      <c r="AD392" s="49" t="str">
        <f>MID(VLOOKUP($A392,Seqs!$A:$B,2,FALSE),VLOOKUP($A392,'SegEnds_NonXtal_Prot#'!$A:$AL,22,FALSE)+8,1)</f>
        <v>T</v>
      </c>
      <c r="AE392" s="49" t="str">
        <f>MID(VLOOKUP($A392,Seqs!$A:$B,2,FALSE),VLOOKUP($A392,'SegEnds_NonXtal_Prot#'!$A:$AL,22,FALSE)+9,1)</f>
        <v>T</v>
      </c>
      <c r="AF392" s="49" t="str">
        <f>MID(VLOOKUP($A392,Seqs!$A:$B,2,FALSE),VLOOKUP($A392,'SegEnds_NonXtal_Prot#'!$A:$AL,22,FALSE)+10,1)</f>
        <v>I</v>
      </c>
      <c r="AG392" s="28" t="str">
        <f>MID(VLOOKUP($A392,Seqs!$A:$B,2,FALSE),VLOOKUP($A392,'SegEnds_NonXtal_Prot#'!$A:$AL,28,FALSE)-4,1)</f>
        <v>T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457</v>
      </c>
      <c r="B393" s="2" t="str">
        <f>LOWER(VLOOKUP(A393,Xtal_Templ!A:B,2,FALSE))</f>
        <v>5ht2a_human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E</v>
      </c>
      <c r="X393" s="49" t="str">
        <f>MID(VLOOKUP($A393,Seqs!$A:$B,2,FALSE),VLOOKUP($A393,'SegEnds_NonXtal_Prot#'!A:AL,10,FALSE)+7,1)</f>
        <v>I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V</v>
      </c>
      <c r="AA393" s="49" t="str">
        <f>MID(VLOOKUP($A393,Seqs!$A:$B,2,FALSE),VLOOKUP($A393,'SegEnds_NonXtal_Prot#'!A:AL,10,FALSE)+10,1)</f>
        <v>S</v>
      </c>
      <c r="AB393" s="28" t="str">
        <f>MID(VLOOKUP($A393,Seqs!$A:$B,2,FALSE),VLOOKUP($A393,'SegEnds_NonXtal_Prot#'!$A:$AL,22,FALSE)+6,1)</f>
        <v>F</v>
      </c>
      <c r="AC393" s="49" t="str">
        <f>MID(VLOOKUP($A393,Seqs!$A:$B,2,FALSE),VLOOKUP($A393,'SegEnds_NonXtal_Prot#'!$A:$AL,22,FALSE)+7,1)</f>
        <v>L</v>
      </c>
      <c r="AD393" s="49" t="str">
        <f>MID(VLOOKUP($A393,Seqs!$A:$B,2,FALSE),VLOOKUP($A393,'SegEnds_NonXtal_Prot#'!$A:$AL,22,FALSE)+8,1)</f>
        <v>N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I</v>
      </c>
      <c r="AG393" s="28" t="str">
        <f>MID(VLOOKUP($A393,Seqs!$A:$B,2,FALSE),VLOOKUP($A393,'SegEnds_NonXtal_Prot#'!$A:$AL,28,FALSE)-4,1)</f>
        <v>F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476</v>
      </c>
      <c r="B394" s="2" t="str">
        <f>LOWER(VLOOKUP(A394,Xtal_Templ!A:B,2,FALSE))</f>
        <v>5ht1b_human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L</v>
      </c>
      <c r="X394" s="49" t="str">
        <f>MID(VLOOKUP($A394,Seqs!$A:$B,2,FALSE),VLOOKUP($A394,'SegEnds_NonXtal_Prot#'!A:AL,10,FALSE)+7,1)</f>
        <v>F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F</v>
      </c>
      <c r="AD394" s="49" t="str">
        <f>MID(VLOOKUP($A394,Seqs!$A:$B,2,FALSE),VLOOKUP($A394,'SegEnds_NonXtal_Prot#'!$A:$AL,22,FALSE)+8,1)</f>
        <v>T</v>
      </c>
      <c r="AE394" s="49" t="str">
        <f>MID(VLOOKUP($A394,Seqs!$A:$B,2,FALSE),VLOOKUP($A394,'SegEnds_NonXtal_Prot#'!$A:$AL,22,FALSE)+9,1)</f>
        <v>T</v>
      </c>
      <c r="AF394" s="49" t="str">
        <f>MID(VLOOKUP($A394,Seqs!$A:$B,2,FALSE),VLOOKUP($A394,'SegEnds_NonXtal_Prot#'!$A:$AL,22,FALSE)+10,1)</f>
        <v>C</v>
      </c>
      <c r="AG394" s="28" t="str">
        <f>MID(VLOOKUP($A394,Seqs!$A:$B,2,FALSE),VLOOKUP($A394,'SegEnds_NonXtal_Prot#'!$A:$AL,28,FALSE)-4,1)</f>
        <v>S</v>
      </c>
      <c r="AH394" s="49" t="str">
        <f>MID(VLOOKUP($A394,Seqs!$A:$B,2,FALSE),VLOOKUP($A394,'SegEnds_NonXtal_Prot#'!$A:$AL,28,FALSE),1)</f>
        <v>Q</v>
      </c>
    </row>
    <row r="395" spans="1:34" s="2" customFormat="1" x14ac:dyDescent="0.2">
      <c r="A395" s="2" t="s">
        <v>465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M</v>
      </c>
      <c r="Y395" s="49" t="str">
        <f>MID(VLOOKUP($A395,Seqs!$A:$B,2,FALSE),VLOOKUP($A395,'SegEnds_NonXtal_Prot#'!A:AL,10,FALSE)+8,1)</f>
        <v>M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E</v>
      </c>
      <c r="AB395" s="28" t="str">
        <f>MID(VLOOKUP($A395,Seqs!$A:$B,2,FALSE),VLOOKUP($A395,'SegEnds_NonXtal_Prot#'!$A:$AL,22,FALSE)+6,1)</f>
        <v>F</v>
      </c>
      <c r="AC395" s="49" t="str">
        <f>MID(VLOOKUP($A395,Seqs!$A:$B,2,FALSE),VLOOKUP($A395,'SegEnds_NonXtal_Prot#'!$A:$AL,22,FALSE)+7,1)</f>
        <v>S</v>
      </c>
      <c r="AD395" s="49" t="str">
        <f>MID(VLOOKUP($A395,Seqs!$A:$B,2,FALSE),VLOOKUP($A395,'SegEnds_NonXtal_Prot#'!$A:$AL,22,FALSE)+8,1)</f>
        <v>H</v>
      </c>
      <c r="AE395" s="49" t="str">
        <f>MID(VLOOKUP($A395,Seqs!$A:$B,2,FALSE),VLOOKUP($A395,'SegEnds_NonXtal_Prot#'!$A:$AL,22,FALSE)+9,1)</f>
        <v>S</v>
      </c>
      <c r="AF395" s="49" t="str">
        <f>MID(VLOOKUP($A395,Seqs!$A:$B,2,FALSE),VLOOKUP($A395,'SegEnds_NonXtal_Prot#'!$A:$AL,22,FALSE)+10,1)</f>
        <v>M</v>
      </c>
      <c r="AG395" s="28" t="str">
        <f>MID(VLOOKUP($A395,Seqs!$A:$B,2,FALSE),VLOOKUP($A395,'SegEnds_NonXtal_Prot#'!$A:$AL,28,FALSE)-4,1)</f>
        <v>G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460</v>
      </c>
      <c r="B396" s="2" t="str">
        <f>LOWER(VLOOKUP(A396,Xtal_Templ!A:B,2,FALSE))</f>
        <v>5ht2c_human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M</v>
      </c>
      <c r="Y396" s="49" t="str">
        <f>MID(VLOOKUP($A396,Seqs!$A:$B,2,FALSE),VLOOKUP($A396,'SegEnds_NonXtal_Prot#'!A:AL,10,FALSE)+8,1)</f>
        <v>L</v>
      </c>
      <c r="Z396" s="49" t="str">
        <f>MID(VLOOKUP($A396,Seqs!$A:$B,2,FALSE),VLOOKUP($A396,'SegEnds_NonXtal_Prot#'!A:AL,10,FALSE)+9,1)</f>
        <v>F</v>
      </c>
      <c r="AA396" s="49" t="str">
        <f>MID(VLOOKUP($A396,Seqs!$A:$B,2,FALSE),VLOOKUP($A396,'SegEnds_NonXtal_Prot#'!A:AL,10,FALSE)+10,1)</f>
        <v>L</v>
      </c>
      <c r="AB396" s="28" t="str">
        <f>MID(VLOOKUP($A396,Seqs!$A:$B,2,FALSE),VLOOKUP($A396,'SegEnds_NonXtal_Prot#'!$A:$AL,22,FALSE)+6,1)</f>
        <v>I</v>
      </c>
      <c r="AC396" s="49" t="str">
        <f>MID(VLOOKUP($A396,Seqs!$A:$B,2,FALSE),VLOOKUP($A396,'SegEnds_NonXtal_Prot#'!$A:$AL,22,FALSE)+7,1)</f>
        <v>C</v>
      </c>
      <c r="AD396" s="49" t="str">
        <f>MID(VLOOKUP($A396,Seqs!$A:$B,2,FALSE),VLOOKUP($A396,'SegEnds_NonXtal_Prot#'!$A:$AL,22,FALSE)+8,1)</f>
        <v>N</v>
      </c>
      <c r="AE396" s="49" t="str">
        <f>MID(VLOOKUP($A396,Seqs!$A:$B,2,FALSE),VLOOKUP($A396,'SegEnds_NonXtal_Prot#'!$A:$AL,22,FALSE)+9,1)</f>
        <v>L</v>
      </c>
      <c r="AF396" s="49" t="str">
        <f>MID(VLOOKUP($A396,Seqs!$A:$B,2,FALSE),VLOOKUP($A396,'SegEnds_NonXtal_Prot#'!$A:$AL,22,FALSE)+10,1)</f>
        <v>A</v>
      </c>
      <c r="AG396" s="28" t="str">
        <f>MID(VLOOKUP($A396,Seqs!$A:$B,2,FALSE),VLOOKUP($A396,'SegEnds_NonXtal_Prot#'!$A:$AL,28,FALSE)-4,1)</f>
        <v>A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461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L</v>
      </c>
      <c r="AA397" s="49" t="str">
        <f>MID(VLOOKUP($A397,Seqs!$A:$B,2,FALSE),VLOOKUP($A397,'SegEnds_NonXtal_Prot#'!A:AL,10,FALSE)+10,1)</f>
        <v>H</v>
      </c>
      <c r="AB397" s="28" t="str">
        <f>MID(VLOOKUP($A397,Seqs!$A:$B,2,FALSE),VLOOKUP($A397,'SegEnds_NonXtal_Prot#'!$A:$AL,22,FALSE)+6,1)</f>
        <v>V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H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V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462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463</v>
      </c>
      <c r="B399" s="2" t="str">
        <f>LOWER(VLOOKUP(A399,Xtal_Templ!A:B,2,FALSE))</f>
        <v>agtr1_human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Q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G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464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L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F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S</v>
      </c>
      <c r="AB400" s="28" t="str">
        <f>MID(VLOOKUP($A400,Seqs!$A:$B,2,FALSE),VLOOKUP($A400,'SegEnds_NonXtal_Prot#'!$A:$AL,22,FALSE)+6,1)</f>
        <v>C</v>
      </c>
      <c r="AC400" s="49" t="str">
        <f>MID(VLOOKUP($A400,Seqs!$A:$B,2,FALSE),VLOOKUP($A400,'SegEnds_NonXtal_Prot#'!$A:$AL,22,FALSE)+7,1)</f>
        <v>I</v>
      </c>
      <c r="AD400" s="49" t="str">
        <f>MID(VLOOKUP($A400,Seqs!$A:$B,2,FALSE),VLOOKUP($A400,'SegEnds_NonXtal_Prot#'!$A:$AL,22,FALSE)+8,1)</f>
        <v>C</v>
      </c>
      <c r="AE400" s="49" t="str">
        <f>MID(VLOOKUP($A400,Seqs!$A:$B,2,FALSE),VLOOKUP($A400,'SegEnds_NonXtal_Prot#'!$A:$AL,22,FALSE)+9,1)</f>
        <v>T</v>
      </c>
      <c r="AF400" s="49" t="str">
        <f>MID(VLOOKUP($A400,Seqs!$A:$B,2,FALSE),VLOOKUP($A400,'SegEnds_NonXtal_Prot#'!$A:$AL,22,FALSE)+10,1)</f>
        <v>V</v>
      </c>
      <c r="AG400" s="28" t="str">
        <f>MID(VLOOKUP($A400,Seqs!$A:$B,2,FALSE),VLOOKUP($A400,'SegEnds_NonXtal_Prot#'!$A:$AL,28,FALSE)-4,1)</f>
        <v>W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467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V</v>
      </c>
      <c r="X401" s="49" t="str">
        <f>MID(VLOOKUP($A401,Seqs!$A:$B,2,FALSE),VLOOKUP($A401,'SegEnds_NonXtal_Prot#'!A:AL,10,FALSE)+7,1)</f>
        <v>G</v>
      </c>
      <c r="Y401" s="49" t="str">
        <f>MID(VLOOKUP($A401,Seqs!$A:$B,2,FALSE),VLOOKUP($A401,'SegEnds_NonXtal_Prot#'!A:AL,10,FALSE)+8,1)</f>
        <v>T</v>
      </c>
      <c r="Z401" s="49" t="str">
        <f>MID(VLOOKUP($A401,Seqs!$A:$B,2,FALSE),VLOOKUP($A401,'SegEnds_NonXtal_Prot#'!A:AL,10,FALSE)+9,1)</f>
        <v>V</v>
      </c>
      <c r="AA401" s="49" t="str">
        <f>MID(VLOOKUP($A401,Seqs!$A:$B,2,FALSE),VLOOKUP($A401,'SegEnds_NonXtal_Prot#'!A:AL,10,FALSE)+10,1)</f>
        <v>H</v>
      </c>
      <c r="AB401" s="28" t="str">
        <f>MID(VLOOKUP($A401,Seqs!$A:$B,2,FALSE),VLOOKUP($A401,'SegEnds_NonXtal_Prot#'!$A:$AL,22,FALSE)+6,1)</f>
        <v>F</v>
      </c>
      <c r="AC401" s="49" t="str">
        <f>MID(VLOOKUP($A401,Seqs!$A:$B,2,FALSE),VLOOKUP($A401,'SegEnds_NonXtal_Prot#'!$A:$AL,22,FALSE)+7,1)</f>
        <v>I</v>
      </c>
      <c r="AD401" s="49" t="str">
        <f>MID(VLOOKUP($A401,Seqs!$A:$B,2,FALSE),VLOOKUP($A401,'SegEnds_NonXtal_Prot#'!$A:$AL,22,FALSE)+8,1)</f>
        <v>I</v>
      </c>
      <c r="AE401" s="49" t="str">
        <f>MID(VLOOKUP($A401,Seqs!$A:$B,2,FALSE),VLOOKUP($A401,'SegEnds_NonXtal_Prot#'!$A:$AL,22,FALSE)+9,1)</f>
        <v>T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I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468</v>
      </c>
      <c r="B402" s="2" t="str">
        <f>LOWER(VLOOKUP(A402,Xtal_Templ!A:B,2,FALSE))</f>
        <v>hrh1_human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T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F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I</v>
      </c>
      <c r="AC402" s="49" t="str">
        <f>MID(VLOOKUP($A402,Seqs!$A:$B,2,FALSE),VLOOKUP($A402,'SegEnds_NonXtal_Prot#'!$A:$AL,22,FALSE)+7,1)</f>
        <v>F</v>
      </c>
      <c r="AD402" s="49" t="str">
        <f>MID(VLOOKUP($A402,Seqs!$A:$B,2,FALSE),VLOOKUP($A402,'SegEnds_NonXtal_Prot#'!$A:$AL,22,FALSE)+8,1)</f>
        <v>D</v>
      </c>
      <c r="AE402" s="49" t="str">
        <f>MID(VLOOKUP($A402,Seqs!$A:$B,2,FALSE),VLOOKUP($A402,'SegEnds_NonXtal_Prot#'!$A:$AL,22,FALSE)+9,1)</f>
        <v>S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T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469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L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N</v>
      </c>
      <c r="AB403" s="28" t="str">
        <f>MID(VLOOKUP($A403,Seqs!$A:$B,2,FALSE),VLOOKUP($A403,'SegEnds_NonXtal_Prot#'!$A:$AL,22,FALSE)+6,1)</f>
        <v>A</v>
      </c>
      <c r="AC403" s="49" t="str">
        <f>MID(VLOOKUP($A403,Seqs!$A:$B,2,FALSE),VLOOKUP($A403,'SegEnds_NonXtal_Prot#'!$A:$AL,22,FALSE)+7,1)</f>
        <v>C</v>
      </c>
      <c r="AD403" s="49" t="str">
        <f>MID(VLOOKUP($A403,Seqs!$A:$B,2,FALSE),VLOOKUP($A403,'SegEnds_NonXtal_Prot#'!$A:$AL,22,FALSE)+8,1)</f>
        <v>H</v>
      </c>
      <c r="AE403" s="49" t="str">
        <f>MID(VLOOKUP($A403,Seqs!$A:$B,2,FALSE),VLOOKUP($A403,'SegEnds_NonXtal_Prot#'!$A:$AL,22,FALSE)+9,1)</f>
        <v>L</v>
      </c>
      <c r="AF403" s="49" t="str">
        <f>MID(VLOOKUP($A403,Seqs!$A:$B,2,FALSE),VLOOKUP($A403,'SegEnds_NonXtal_Prot#'!$A:$AL,22,FALSE)+10,1)</f>
        <v>F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929</v>
      </c>
      <c r="B404" s="2" t="str">
        <f>LOWER(VLOOKUP(A404,Xtal_Templ!A:B,2,FALSE))</f>
        <v>5ht2c_human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L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A</v>
      </c>
      <c r="AC404" s="49" t="str">
        <f>MID(VLOOKUP($A404,Seqs!$A:$B,2,FALSE),VLOOKUP($A404,'SegEnds_NonXtal_Prot#'!$A:$AL,22,FALSE)+7,1)</f>
        <v>C</v>
      </c>
      <c r="AD404" s="49" t="str">
        <f>MID(VLOOKUP($A404,Seqs!$A:$B,2,FALSE),VLOOKUP($A404,'SegEnds_NonXtal_Prot#'!$A:$AL,22,FALSE)+8,1)</f>
        <v>H</v>
      </c>
      <c r="AE404" s="49" t="str">
        <f>MID(VLOOKUP($A404,Seqs!$A:$B,2,FALSE),VLOOKUP($A404,'SegEnds_NonXtal_Prot#'!$A:$AL,22,FALSE)+9,1)</f>
        <v>L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A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470</v>
      </c>
      <c r="B405" s="2" t="str">
        <f>LOWER(VLOOKUP(A405,Xtal_Templ!A:B,2,FALSE))</f>
        <v>5ht2c_human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L</v>
      </c>
      <c r="Y405" s="49" t="str">
        <f>MID(VLOOKUP($A405,Seqs!$A:$B,2,FALSE),VLOOKUP($A405,'SegEnds_NonXtal_Prot#'!A:AL,10,FALSE)+8,1)</f>
        <v>V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N</v>
      </c>
      <c r="AB405" s="28" t="str">
        <f>MID(VLOOKUP($A405,Seqs!$A:$B,2,FALSE),VLOOKUP($A405,'SegEnds_NonXtal_Prot#'!$A:$AL,22,FALSE)+6,1)</f>
        <v>V</v>
      </c>
      <c r="AC405" s="49" t="str">
        <f>MID(VLOOKUP($A405,Seqs!$A:$B,2,FALSE),VLOOKUP($A405,'SegEnds_NonXtal_Prot#'!$A:$AL,22,FALSE)+7,1)</f>
        <v>C</v>
      </c>
      <c r="AD405" s="49" t="str">
        <f>MID(VLOOKUP($A405,Seqs!$A:$B,2,FALSE),VLOOKUP($A405,'SegEnds_NonXtal_Prot#'!$A:$AL,22,FALSE)+8,1)</f>
        <v>H</v>
      </c>
      <c r="AE405" s="49" t="str">
        <f>MID(VLOOKUP($A405,Seqs!$A:$B,2,FALSE),VLOOKUP($A405,'SegEnds_NonXtal_Prot#'!$A:$AL,22,FALSE)+9,1)</f>
        <v>L</v>
      </c>
      <c r="AF405" s="49" t="str">
        <f>MID(VLOOKUP($A405,Seqs!$A:$B,2,FALSE),VLOOKUP($A405,'SegEnds_NonXtal_Prot#'!$A:$AL,22,FALSE)+10,1)</f>
        <v>F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471</v>
      </c>
      <c r="B406" s="2" t="str">
        <f>LOWER(VLOOKUP(A406,Xtal_Templ!A:B,2,FALSE))</f>
        <v>drd2_human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A</v>
      </c>
      <c r="X406" s="49" t="str">
        <f>MID(VLOOKUP($A406,Seqs!$A:$B,2,FALSE),VLOOKUP($A406,'SegEnds_NonXtal_Prot#'!A:AL,10,FALSE)+7,1)</f>
        <v>L</v>
      </c>
      <c r="Y406" s="49" t="str">
        <f>MID(VLOOKUP($A406,Seqs!$A:$B,2,FALSE),VLOOKUP($A406,'SegEnds_NonXtal_Prot#'!A:AL,10,FALSE)+8,1)</f>
        <v>L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V</v>
      </c>
      <c r="AC406" s="49" t="str">
        <f>MID(VLOOKUP($A406,Seqs!$A:$B,2,FALSE),VLOOKUP($A406,'SegEnds_NonXtal_Prot#'!$A:$AL,22,FALSE)+7,1)</f>
        <v>C</v>
      </c>
      <c r="AD406" s="49" t="str">
        <f>MID(VLOOKUP($A406,Seqs!$A:$B,2,FALSE),VLOOKUP($A406,'SegEnds_NonXtal_Prot#'!$A:$AL,22,FALSE)+8,1)</f>
        <v>H</v>
      </c>
      <c r="AE406" s="49" t="str">
        <f>MID(VLOOKUP($A406,Seqs!$A:$B,2,FALSE),VLOOKUP($A406,'SegEnds_NonXtal_Prot#'!$A:$AL,22,FALSE)+9,1)</f>
        <v>L</v>
      </c>
      <c r="AF406" s="49" t="str">
        <f>MID(VLOOKUP($A406,Seqs!$A:$B,2,FALSE),VLOOKUP($A406,'SegEnds_NonXtal_Prot#'!$A:$AL,22,FALSE)+10,1)</f>
        <v>L</v>
      </c>
      <c r="AG406" s="28" t="str">
        <f>MID(VLOOKUP($A406,Seqs!$A:$B,2,FALSE),VLOOKUP($A406,'SegEnds_NonXtal_Prot#'!$A:$AL,28,FALSE)-4,1)</f>
        <v>W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475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I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L</v>
      </c>
      <c r="Z407" s="49" t="str">
        <f>MID(VLOOKUP($A407,Seqs!$A:$B,2,FALSE),VLOOKUP($A407,'SegEnds_NonXtal_Prot#'!A:AL,10,FALSE)+9,1)</f>
        <v>T</v>
      </c>
      <c r="AA407" s="49" t="str">
        <f>MID(VLOOKUP($A407,Seqs!$A:$B,2,FALSE),VLOOKUP($A407,'SegEnds_NonXtal_Prot#'!A:AL,10,FALSE)+10,1)</f>
        <v>D</v>
      </c>
      <c r="AB407" s="28" t="str">
        <f>MID(VLOOKUP($A407,Seqs!$A:$B,2,FALSE),VLOOKUP($A407,'SegEnds_NonXtal_Prot#'!$A:$AL,22,FALSE)+6,1)</f>
        <v>C</v>
      </c>
      <c r="AC407" s="49" t="str">
        <f>MID(VLOOKUP($A407,Seqs!$A:$B,2,FALSE),VLOOKUP($A407,'SegEnds_NonXtal_Prot#'!$A:$AL,22,FALSE)+7,1)</f>
        <v>G</v>
      </c>
      <c r="AD407" s="49" t="str">
        <f>MID(VLOOKUP($A407,Seqs!$A:$B,2,FALSE),VLOOKUP($A407,'SegEnds_NonXtal_Prot#'!$A:$AL,22,FALSE)+8,1)</f>
        <v>S</v>
      </c>
      <c r="AE407" s="49" t="str">
        <f>MID(VLOOKUP($A407,Seqs!$A:$B,2,FALSE),VLOOKUP($A407,'SegEnds_NonXtal_Prot#'!$A:$AL,22,FALSE)+9,1)</f>
        <v>T</v>
      </c>
      <c r="AF407" s="49" t="str">
        <f>MID(VLOOKUP($A407,Seqs!$A:$B,2,FALSE),VLOOKUP($A407,'SegEnds_NonXtal_Prot#'!$A:$AL,22,FALSE)+10,1)</f>
        <v>A</v>
      </c>
      <c r="AG407" s="28" t="str">
        <f>MID(VLOOKUP($A407,Seqs!$A:$B,2,FALSE),VLOOKUP($A407,'SegEnds_NonXtal_Prot#'!$A:$AL,28,FALSE)-4,1)</f>
        <v>W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478</v>
      </c>
      <c r="B408" s="2" t="str">
        <f>LOWER(VLOOKUP(A408,Xtal_Templ!A:B,2,FALSE))</f>
        <v>drd2_human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V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L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V</v>
      </c>
      <c r="AC408" s="49" t="str">
        <f>MID(VLOOKUP($A408,Seqs!$A:$B,2,FALSE),VLOOKUP($A408,'SegEnds_NonXtal_Prot#'!$A:$AL,22,FALSE)+7,1)</f>
        <v>F</v>
      </c>
      <c r="AD408" s="49" t="str">
        <f>MID(VLOOKUP($A408,Seqs!$A:$B,2,FALSE),VLOOKUP($A408,'SegEnds_NonXtal_Prot#'!$A:$AL,22,FALSE)+8,1)</f>
        <v>I</v>
      </c>
      <c r="AE408" s="49" t="str">
        <f>MID(VLOOKUP($A408,Seqs!$A:$B,2,FALSE),VLOOKUP($A408,'SegEnds_NonXtal_Prot#'!$A:$AL,22,FALSE)+9,1)</f>
        <v>S</v>
      </c>
      <c r="AF408" s="49" t="str">
        <f>MID(VLOOKUP($A408,Seqs!$A:$B,2,FALSE),VLOOKUP($A408,'SegEnds_NonXtal_Prot#'!$A:$AL,22,FALSE)+10,1)</f>
        <v>L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479</v>
      </c>
      <c r="B409" s="2" t="str">
        <f>LOWER(VLOOKUP(A409,Xtal_Templ!A:B,2,FALSE))</f>
        <v>drd2_human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V</v>
      </c>
      <c r="X409" s="49" t="str">
        <f>MID(VLOOKUP($A409,Seqs!$A:$B,2,FALSE),VLOOKUP($A409,'SegEnds_NonXtal_Prot#'!A:AL,10,FALSE)+7,1)</f>
        <v>M</v>
      </c>
      <c r="Y409" s="49" t="str">
        <f>MID(VLOOKUP($A409,Seqs!$A:$B,2,FALSE),VLOOKUP($A409,'SegEnds_NonXtal_Prot#'!A:AL,10,FALSE)+8,1)</f>
        <v>V</v>
      </c>
      <c r="Z409" s="49" t="str">
        <f>MID(VLOOKUP($A409,Seqs!$A:$B,2,FALSE),VLOOKUP($A409,'SegEnds_NonXtal_Prot#'!A:AL,10,FALSE)+9,1)</f>
        <v>V</v>
      </c>
      <c r="AA409" s="49" t="str">
        <f>MID(VLOOKUP($A409,Seqs!$A:$B,2,FALSE),VLOOKUP($A409,'SegEnds_NonXtal_Prot#'!A:AL,10,FALSE)+10,1)</f>
        <v>N</v>
      </c>
      <c r="AB409" s="28" t="str">
        <f>MID(VLOOKUP($A409,Seqs!$A:$B,2,FALSE),VLOOKUP($A409,'SegEnds_NonXtal_Prot#'!$A:$AL,22,FALSE)+6,1)</f>
        <v>L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V</v>
      </c>
      <c r="AE409" s="49" t="str">
        <f>MID(VLOOKUP($A409,Seqs!$A:$B,2,FALSE),VLOOKUP($A409,'SegEnds_NonXtal_Prot#'!$A:$AL,22,FALSE)+9,1)</f>
        <v>S</v>
      </c>
      <c r="AF409" s="49" t="str">
        <f>MID(VLOOKUP($A409,Seqs!$A:$B,2,FALSE),VLOOKUP($A409,'SegEnds_NonXtal_Prot#'!$A:$AL,22,FALSE)+10,1)</f>
        <v>L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480</v>
      </c>
      <c r="B410" s="2" t="str">
        <f>LOWER(VLOOKUP(A410,Xtal_Templ!A:B,2,FALSE))</f>
        <v>agtr1_human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V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S</v>
      </c>
      <c r="Z410" s="49" t="str">
        <f>MID(VLOOKUP($A410,Seqs!$A:$B,2,FALSE),VLOOKUP($A410,'SegEnds_NonXtal_Prot#'!A:AL,10,FALSE)+9,1)</f>
        <v>L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I</v>
      </c>
      <c r="AD410" s="49" t="str">
        <f>MID(VLOOKUP($A410,Seqs!$A:$B,2,FALSE),VLOOKUP($A410,'SegEnds_NonXtal_Prot#'!$A:$AL,22,FALSE)+8,1)</f>
        <v>I</v>
      </c>
      <c r="AE410" s="49" t="str">
        <f>MID(VLOOKUP($A410,Seqs!$A:$B,2,FALSE),VLOOKUP($A410,'SegEnds_NonXtal_Prot#'!$A:$AL,22,FALSE)+9,1)</f>
        <v>S</v>
      </c>
      <c r="AF410" s="49" t="str">
        <f>MID(VLOOKUP($A410,Seqs!$A:$B,2,FALSE),VLOOKUP($A410,'SegEnds_NonXtal_Prot#'!$A:$AL,22,FALSE)+10,1)</f>
        <v>V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466</v>
      </c>
      <c r="B411" s="2" t="str">
        <f>LOWER(VLOOKUP(A411,Xtal_Templ!A:B,2,FALSE))</f>
        <v>5ht2a_human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W</v>
      </c>
      <c r="X411" s="49" t="str">
        <f>MID(VLOOKUP($A411,Seqs!$A:$B,2,FALSE),VLOOKUP($A411,'SegEnds_NonXtal_Prot#'!A:AL,10,FALSE)+7,1)</f>
        <v>M</v>
      </c>
      <c r="Y411" s="49" t="str">
        <f>MID(VLOOKUP($A411,Seqs!$A:$B,2,FALSE),VLOOKUP($A411,'SegEnds_NonXtal_Prot#'!A:AL,10,FALSE)+8,1)</f>
        <v>M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E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S</v>
      </c>
      <c r="AD411" s="49" t="str">
        <f>MID(VLOOKUP($A411,Seqs!$A:$B,2,FALSE),VLOOKUP($A411,'SegEnds_NonXtal_Prot#'!$A:$AL,22,FALSE)+8,1)</f>
        <v>F</v>
      </c>
      <c r="AE411" s="49" t="str">
        <f>MID(VLOOKUP($A411,Seqs!$A:$B,2,FALSE),VLOOKUP($A411,'SegEnds_NonXtal_Prot#'!$A:$AL,22,FALSE)+9,1)</f>
        <v>S</v>
      </c>
      <c r="AF411" s="49" t="str">
        <f>MID(VLOOKUP($A411,Seqs!$A:$B,2,FALSE),VLOOKUP($A411,'SegEnds_NonXtal_Prot#'!$A:$AL,22,FALSE)+10,1)</f>
        <v>F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474</v>
      </c>
      <c r="B412" s="2" t="str">
        <f>LOWER(VLOOKUP(A412,Xtal_Templ!A:B,2,FALSE))</f>
        <v>cxcr4_human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F</v>
      </c>
      <c r="X412" s="49" t="str">
        <f>MID(VLOOKUP($A412,Seqs!$A:$B,2,FALSE),VLOOKUP($A412,'SegEnds_NonXtal_Prot#'!A:AL,10,FALSE)+7,1)</f>
        <v>I</v>
      </c>
      <c r="Y412" s="49" t="str">
        <f>MID(VLOOKUP($A412,Seqs!$A:$B,2,FALSE),VLOOKUP($A412,'SegEnds_NonXtal_Prot#'!A:AL,10,FALSE)+8,1)</f>
        <v>F</v>
      </c>
      <c r="Z412" s="49" t="str">
        <f>MID(VLOOKUP($A412,Seqs!$A:$B,2,FALSE),VLOOKUP($A412,'SegEnds_NonXtal_Prot#'!A:AL,10,FALSE)+9,1)</f>
        <v>Y</v>
      </c>
      <c r="AA412" s="49" t="str">
        <f>MID(VLOOKUP($A412,Seqs!$A:$B,2,FALSE),VLOOKUP($A412,'SegEnds_NonXtal_Prot#'!A:AL,10,FALSE)+10,1)</f>
        <v>V</v>
      </c>
      <c r="AB412" s="28" t="str">
        <f>MID(VLOOKUP($A412,Seqs!$A:$B,2,FALSE),VLOOKUP($A412,'SegEnds_NonXtal_Prot#'!$A:$AL,22,FALSE)+6,1)</f>
        <v>S</v>
      </c>
      <c r="AC412" s="49" t="str">
        <f>MID(VLOOKUP($A412,Seqs!$A:$B,2,FALSE),VLOOKUP($A412,'SegEnds_NonXtal_Prot#'!$A:$AL,22,FALSE)+7,1)</f>
        <v>M</v>
      </c>
      <c r="AD412" s="49" t="str">
        <f>MID(VLOOKUP($A412,Seqs!$A:$B,2,FALSE),VLOOKUP($A412,'SegEnds_NonXtal_Prot#'!$A:$AL,22,FALSE)+8,1)</f>
        <v>I</v>
      </c>
      <c r="AE412" s="49" t="str">
        <f>MID(VLOOKUP($A412,Seqs!$A:$B,2,FALSE),VLOOKUP($A412,'SegEnds_NonXtal_Prot#'!$A:$AL,22,FALSE)+9,1)</f>
        <v>C</v>
      </c>
      <c r="AF412" s="49" t="str">
        <f>MID(VLOOKUP($A412,Seqs!$A:$B,2,FALSE),VLOOKUP($A412,'SegEnds_NonXtal_Prot#'!$A:$AL,22,FALSE)+10,1)</f>
        <v>V</v>
      </c>
      <c r="AG412" s="28" t="str">
        <f>MID(VLOOKUP($A412,Seqs!$A:$B,2,FALSE),VLOOKUP($A412,'SegEnds_NonXtal_Prot#'!$A:$AL,28,FALSE)-4,1)</f>
        <v>E</v>
      </c>
      <c r="AH412" s="49" t="str">
        <f>MID(VLOOKUP($A412,Seqs!$A:$B,2,FALSE),VLOOKUP($A412,'SegEnds_NonXtal_Prot#'!$A:$AL,28,FALSE),1)</f>
        <v>P</v>
      </c>
    </row>
    <row r="413" spans="1:34" s="2" customFormat="1" x14ac:dyDescent="0.2">
      <c r="A413" s="2" t="s">
        <v>459</v>
      </c>
      <c r="B413" s="2" t="str">
        <f>LOWER(VLOOKUP(A413,Xtal_Templ!A:B,2,FALSE))</f>
        <v>pd2r2_human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A</v>
      </c>
      <c r="X413" s="49" t="str">
        <f>MID(VLOOKUP($A413,Seqs!$A:$B,2,FALSE),VLOOKUP($A413,'SegEnds_NonXtal_Prot#'!A:AL,10,FALSE)+7,1)</f>
        <v>S</v>
      </c>
      <c r="Y413" s="49" t="str">
        <f>MID(VLOOKUP($A413,Seqs!$A:$B,2,FALSE),VLOOKUP($A413,'SegEnds_NonXtal_Prot#'!A:AL,10,FALSE)+8,1)</f>
        <v>M</v>
      </c>
      <c r="Z413" s="49" t="str">
        <f>MID(VLOOKUP($A413,Seqs!$A:$B,2,FALSE),VLOOKUP($A413,'SegEnds_NonXtal_Prot#'!A:AL,10,FALSE)+9,1)</f>
        <v>L</v>
      </c>
      <c r="AA413" s="49" t="str">
        <f>MID(VLOOKUP($A413,Seqs!$A:$B,2,FALSE),VLOOKUP($A413,'SegEnds_NonXtal_Prot#'!A:AL,10,FALSE)+10,1)</f>
        <v>N</v>
      </c>
      <c r="AB413" s="28" t="str">
        <f>MID(VLOOKUP($A413,Seqs!$A:$B,2,FALSE),VLOOKUP($A413,'SegEnds_NonXtal_Prot#'!$A:$AL,22,FALSE)+6,1)</f>
        <v>C</v>
      </c>
      <c r="AC413" s="49" t="str">
        <f>MID(VLOOKUP($A413,Seqs!$A:$B,2,FALSE),VLOOKUP($A413,'SegEnds_NonXtal_Prot#'!$A:$AL,22,FALSE)+7,1)</f>
        <v>V</v>
      </c>
      <c r="AD413" s="49" t="str">
        <f>MID(VLOOKUP($A413,Seqs!$A:$B,2,FALSE),VLOOKUP($A413,'SegEnds_NonXtal_Prot#'!$A:$AL,22,FALSE)+8,1)</f>
        <v>T</v>
      </c>
      <c r="AE413" s="49" t="str">
        <f>MID(VLOOKUP($A413,Seqs!$A:$B,2,FALSE),VLOOKUP($A413,'SegEnds_NonXtal_Prot#'!$A:$AL,22,FALSE)+9,1)</f>
        <v>I</v>
      </c>
      <c r="AF413" s="49" t="str">
        <f>MID(VLOOKUP($A413,Seqs!$A:$B,2,FALSE),VLOOKUP($A413,'SegEnds_NonXtal_Prot#'!$A:$AL,22,FALSE)+10,1)</f>
        <v>I</v>
      </c>
      <c r="AG413" s="28" t="str">
        <f>MID(VLOOKUP($A413,Seqs!$A:$B,2,FALSE),VLOOKUP($A413,'SegEnds_NonXtal_Prot#'!$A:$AL,28,FALSE)-4,1)</f>
        <v>A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A414" s="2" t="s">
        <v>458</v>
      </c>
      <c r="B414" s="2" t="str">
        <f>LOWER(VLOOKUP(A414,Xtal_Templ!A:B,2,FALSE))</f>
        <v>5ht2c_human</v>
      </c>
      <c r="C414" s="2" t="str">
        <f>VLOOKUP(A414,Classification!A:D,2,FALSE)</f>
        <v>T</v>
      </c>
      <c r="D414" s="2" t="str">
        <f>IF(ISERROR(MATCH(A414,'SegEnds_Xtal_Prot#'!B:B, 0)), "NoXtal", "Xtal")</f>
        <v>NoXtal</v>
      </c>
      <c r="H414" s="4"/>
      <c r="V414" s="28" t="str">
        <f>MID(VLOOKUP($A414,Seqs!$A:$B,2,FALSE),VLOOKUP($A414,'SegEnds_NonXtal_Prot#'!A:AL,10,FALSE),1)</f>
        <v>R</v>
      </c>
      <c r="W414" s="49" t="str">
        <f>MID(VLOOKUP($A414,Seqs!$A:$B,2,FALSE),VLOOKUP($A414,'SegEnds_NonXtal_Prot#'!A:AL,10,FALSE)+6,1)</f>
        <v>L</v>
      </c>
      <c r="X414" s="49" t="str">
        <f>MID(VLOOKUP($A414,Seqs!$A:$B,2,FALSE),VLOOKUP($A414,'SegEnds_NonXtal_Prot#'!A:AL,10,FALSE)+7,1)</f>
        <v>I</v>
      </c>
      <c r="Y414" s="49" t="str">
        <f>MID(VLOOKUP($A414,Seqs!$A:$B,2,FALSE),VLOOKUP($A414,'SegEnds_NonXtal_Prot#'!A:AL,10,FALSE)+8,1)</f>
        <v>F</v>
      </c>
      <c r="Z414" s="49" t="str">
        <f>MID(VLOOKUP($A414,Seqs!$A:$B,2,FALSE),VLOOKUP($A414,'SegEnds_NonXtal_Prot#'!A:AL,10,FALSE)+9,1)</f>
        <v>G</v>
      </c>
      <c r="AA414" s="49" t="str">
        <f>MID(VLOOKUP($A414,Seqs!$A:$B,2,FALSE),VLOOKUP($A414,'SegEnds_NonXtal_Prot#'!A:AL,10,FALSE)+10,1)</f>
        <v>S</v>
      </c>
      <c r="AB414" s="28" t="str">
        <f>MID(VLOOKUP($A414,Seqs!$A:$B,2,FALSE),VLOOKUP($A414,'SegEnds_NonXtal_Prot#'!$A:$AL,22,FALSE)+6,1)</f>
        <v>F</v>
      </c>
      <c r="AC414" s="49" t="str">
        <f>MID(VLOOKUP($A414,Seqs!$A:$B,2,FALSE),VLOOKUP($A414,'SegEnds_NonXtal_Prot#'!$A:$AL,22,FALSE)+7,1)</f>
        <v>L</v>
      </c>
      <c r="AD414" s="49" t="str">
        <f>MID(VLOOKUP($A414,Seqs!$A:$B,2,FALSE),VLOOKUP($A414,'SegEnds_NonXtal_Prot#'!$A:$AL,22,FALSE)+8,1)</f>
        <v>N</v>
      </c>
      <c r="AE414" s="49" t="str">
        <f>MID(VLOOKUP($A414,Seqs!$A:$B,2,FALSE),VLOOKUP($A414,'SegEnds_NonXtal_Prot#'!$A:$AL,22,FALSE)+9,1)</f>
        <v>I</v>
      </c>
      <c r="AF414" s="49" t="str">
        <f>MID(VLOOKUP($A414,Seqs!$A:$B,2,FALSE),VLOOKUP($A414,'SegEnds_NonXtal_Prot#'!$A:$AL,22,FALSE)+10,1)</f>
        <v>A</v>
      </c>
      <c r="AG414" s="28" t="str">
        <f>MID(VLOOKUP($A414,Seqs!$A:$B,2,FALSE),VLOOKUP($A414,'SegEnds_NonXtal_Prot#'!$A:$AL,28,FALSE)-4,1)</f>
        <v>F</v>
      </c>
      <c r="AH414" s="49" t="str">
        <f>MID(VLOOKUP($A414,Seqs!$A:$B,2,FALSE),VLOOKUP($A414,'SegEnds_NonXtal_Prot#'!$A:$AL,28,FALSE),1)</f>
        <v>P</v>
      </c>
    </row>
    <row r="415" spans="1:34" s="2" customFormat="1" x14ac:dyDescent="0.2">
      <c r="A415" s="2" t="s">
        <v>456</v>
      </c>
      <c r="B415" s="2" t="str">
        <f>LOWER(VLOOKUP(A415,Xtal_Templ!A:B,2,FALSE))</f>
        <v>drd2_human</v>
      </c>
      <c r="C415" s="2" t="str">
        <f>VLOOKUP(A415,Classification!A:D,2,FALSE)</f>
        <v>T</v>
      </c>
      <c r="D415" s="2" t="str">
        <f>IF(ISERROR(MATCH(A415,'SegEnds_Xtal_Prot#'!B:B, 0)), "NoXtal", "Xtal")</f>
        <v>NoXtal</v>
      </c>
      <c r="H415" s="4"/>
      <c r="V415" s="28" t="str">
        <f>MID(VLOOKUP($A415,Seqs!$A:$B,2,FALSE),VLOOKUP($A415,'SegEnds_NonXtal_Prot#'!A:AL,10,FALSE),1)</f>
        <v>R</v>
      </c>
      <c r="W415" s="49" t="str">
        <f>MID(VLOOKUP($A415,Seqs!$A:$B,2,FALSE),VLOOKUP($A415,'SegEnds_NonXtal_Prot#'!A:AL,10,FALSE)+6,1)</f>
        <v>I</v>
      </c>
      <c r="X415" s="49" t="str">
        <f>MID(VLOOKUP($A415,Seqs!$A:$B,2,FALSE),VLOOKUP($A415,'SegEnds_NonXtal_Prot#'!A:AL,10,FALSE)+7,1)</f>
        <v>I</v>
      </c>
      <c r="Y415" s="49" t="str">
        <f>MID(VLOOKUP($A415,Seqs!$A:$B,2,FALSE),VLOOKUP($A415,'SegEnds_NonXtal_Prot#'!A:AL,10,FALSE)+8,1)</f>
        <v>I</v>
      </c>
      <c r="Z415" s="49" t="str">
        <f>MID(VLOOKUP($A415,Seqs!$A:$B,2,FALSE),VLOOKUP($A415,'SegEnds_NonXtal_Prot#'!A:AL,10,FALSE)+9,1)</f>
        <v>T</v>
      </c>
      <c r="AA415" s="49" t="str">
        <f>MID(VLOOKUP($A415,Seqs!$A:$B,2,FALSE),VLOOKUP($A415,'SegEnds_NonXtal_Prot#'!A:AL,10,FALSE)+10,1)</f>
        <v>D</v>
      </c>
      <c r="AB415" s="28" t="str">
        <f>MID(VLOOKUP($A415,Seqs!$A:$B,2,FALSE),VLOOKUP($A415,'SegEnds_NonXtal_Prot#'!$A:$AL,22,FALSE)+6,1)</f>
        <v>L</v>
      </c>
      <c r="AC415" s="49" t="str">
        <f>MID(VLOOKUP($A415,Seqs!$A:$B,2,FALSE),VLOOKUP($A415,'SegEnds_NonXtal_Prot#'!$A:$AL,22,FALSE)+7,1)</f>
        <v>L</v>
      </c>
      <c r="AD415" s="49" t="str">
        <f>MID(VLOOKUP($A415,Seqs!$A:$B,2,FALSE),VLOOKUP($A415,'SegEnds_NonXtal_Prot#'!$A:$AL,22,FALSE)+8,1)</f>
        <v>N</v>
      </c>
      <c r="AE415" s="49" t="str">
        <f>MID(VLOOKUP($A415,Seqs!$A:$B,2,FALSE),VLOOKUP($A415,'SegEnds_NonXtal_Prot#'!$A:$AL,22,FALSE)+9,1)</f>
        <v>F</v>
      </c>
      <c r="AF415" s="49" t="str">
        <f>MID(VLOOKUP($A415,Seqs!$A:$B,2,FALSE),VLOOKUP($A415,'SegEnds_NonXtal_Prot#'!$A:$AL,22,FALSE)+10,1)</f>
        <v>A</v>
      </c>
      <c r="AG415" s="28" t="str">
        <f>MID(VLOOKUP($A415,Seqs!$A:$B,2,FALSE),VLOOKUP($A415,'SegEnds_NonXtal_Prot#'!$A:$AL,28,FALSE)-4,1)</f>
        <v>G</v>
      </c>
      <c r="AH415" s="49" t="str">
        <f>MID(VLOOKUP($A415,Seqs!$A:$B,2,FALSE),VLOOKUP($A415,'SegEnds_NonXtal_Prot#'!$A:$AL,28,FALSE),1)</f>
        <v>F</v>
      </c>
    </row>
    <row r="416" spans="1:34" s="2" customFormat="1" x14ac:dyDescent="0.2">
      <c r="A416" s="2" t="s">
        <v>477</v>
      </c>
      <c r="B416" s="2" t="str">
        <f>LOWER(VLOOKUP(A416,Xtal_Templ!A:B,2,FALSE))</f>
        <v>hrh1_human</v>
      </c>
      <c r="C416" s="2" t="str">
        <f>VLOOKUP(A416,Classification!A:D,2,FALSE)</f>
        <v>T</v>
      </c>
      <c r="D416" s="2" t="str">
        <f>IF(ISERROR(MATCH(A416,'SegEnds_Xtal_Prot#'!B:B, 0)), "NoXtal", "Xtal")</f>
        <v>NoXtal</v>
      </c>
      <c r="H416" s="4"/>
      <c r="V416" s="28" t="str">
        <f>MID(VLOOKUP($A416,Seqs!$A:$B,2,FALSE),VLOOKUP($A416,'SegEnds_NonXtal_Prot#'!A:AL,10,FALSE),1)</f>
        <v>R</v>
      </c>
      <c r="W416" s="49" t="str">
        <f>MID(VLOOKUP($A416,Seqs!$A:$B,2,FALSE),VLOOKUP($A416,'SegEnds_NonXtal_Prot#'!A:AL,10,FALSE)+6,1)</f>
        <v>L</v>
      </c>
      <c r="X416" s="49" t="str">
        <f>MID(VLOOKUP($A416,Seqs!$A:$B,2,FALSE),VLOOKUP($A416,'SegEnds_NonXtal_Prot#'!A:AL,10,FALSE)+7,1)</f>
        <v>I</v>
      </c>
      <c r="Y416" s="49" t="str">
        <f>MID(VLOOKUP($A416,Seqs!$A:$B,2,FALSE),VLOOKUP($A416,'SegEnds_NonXtal_Prot#'!A:AL,10,FALSE)+8,1)</f>
        <v>I</v>
      </c>
      <c r="Z416" s="49" t="str">
        <f>MID(VLOOKUP($A416,Seqs!$A:$B,2,FALSE),VLOOKUP($A416,'SegEnds_NonXtal_Prot#'!A:AL,10,FALSE)+9,1)</f>
        <v>L</v>
      </c>
      <c r="AA416" s="49" t="str">
        <f>MID(VLOOKUP($A416,Seqs!$A:$B,2,FALSE),VLOOKUP($A416,'SegEnds_NonXtal_Prot#'!A:AL,10,FALSE)+10,1)</f>
        <v>D</v>
      </c>
      <c r="AB416" s="28" t="str">
        <f>MID(VLOOKUP($A416,Seqs!$A:$B,2,FALSE),VLOOKUP($A416,'SegEnds_NonXtal_Prot#'!$A:$AL,22,FALSE)+6,1)</f>
        <v>L</v>
      </c>
      <c r="AC416" s="49" t="str">
        <f>MID(VLOOKUP($A416,Seqs!$A:$B,2,FALSE),VLOOKUP($A416,'SegEnds_NonXtal_Prot#'!$A:$AL,22,FALSE)+7,1)</f>
        <v>L</v>
      </c>
      <c r="AD416" s="49" t="str">
        <f>MID(VLOOKUP($A416,Seqs!$A:$B,2,FALSE),VLOOKUP($A416,'SegEnds_NonXtal_Prot#'!$A:$AL,22,FALSE)+8,1)</f>
        <v>L</v>
      </c>
      <c r="AE416" s="49" t="str">
        <f>MID(VLOOKUP($A416,Seqs!$A:$B,2,FALSE),VLOOKUP($A416,'SegEnds_NonXtal_Prot#'!$A:$AL,22,FALSE)+9,1)</f>
        <v>T</v>
      </c>
      <c r="AF416" s="49" t="str">
        <f>MID(VLOOKUP($A416,Seqs!$A:$B,2,FALSE),VLOOKUP($A416,'SegEnds_NonXtal_Prot#'!$A:$AL,22,FALSE)+10,1)</f>
        <v>V</v>
      </c>
      <c r="AG416" s="28" t="str">
        <f>MID(VLOOKUP($A416,Seqs!$A:$B,2,FALSE),VLOOKUP($A416,'SegEnds_NonXtal_Prot#'!$A:$AL,28,FALSE)-4,1)</f>
        <v>G</v>
      </c>
      <c r="AH416" s="49" t="str">
        <f>MID(VLOOKUP($A416,Seqs!$A:$B,2,FALSE),VLOOKUP($A416,'SegEnds_NonXtal_Prot#'!$A:$AL,28,FALSE),1)</f>
        <v>P</v>
      </c>
    </row>
    <row r="417" spans="8:33" s="2" customFormat="1" x14ac:dyDescent="0.2">
      <c r="H417" s="4"/>
      <c r="V417" s="28"/>
      <c r="W417" s="49"/>
      <c r="X417" s="49"/>
      <c r="Y417" s="49"/>
      <c r="Z417" s="49"/>
      <c r="AA417" s="49"/>
      <c r="AB417" s="28"/>
      <c r="AC417" s="49"/>
      <c r="AD417" s="49"/>
      <c r="AE417" s="49"/>
      <c r="AG417" s="16"/>
    </row>
    <row r="418" spans="8:33" s="2" customFormat="1" x14ac:dyDescent="0.2">
      <c r="H418" s="4"/>
      <c r="V418" s="28"/>
      <c r="W418" s="49"/>
      <c r="X418" s="49"/>
      <c r="Y418" s="49"/>
      <c r="Z418" s="49"/>
      <c r="AA418" s="49"/>
      <c r="AB418" s="28"/>
      <c r="AC418" s="49"/>
      <c r="AD418" s="49"/>
      <c r="AE418" s="49"/>
      <c r="AG418" s="16"/>
    </row>
    <row r="419" spans="8:33" s="2" customFormat="1" x14ac:dyDescent="0.2">
      <c r="H419" s="4"/>
      <c r="V419" s="28"/>
      <c r="W419" s="49"/>
      <c r="X419" s="49"/>
      <c r="Y419" s="49"/>
      <c r="Z419" s="49"/>
      <c r="AA419" s="49"/>
      <c r="AB419" s="28"/>
      <c r="AC419" s="49"/>
      <c r="AD419" s="49"/>
      <c r="AE419" s="49"/>
      <c r="AG419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6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8"/>
  <sheetViews>
    <sheetView workbookViewId="0">
      <pane ySplit="1" topLeftCell="A122" activePane="bottomLeft" state="frozenSplit"/>
      <selection pane="bottomLeft" activeCell="B146" sqref="B14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1156</v>
      </c>
      <c r="C1" s="21" t="s">
        <v>1226</v>
      </c>
      <c r="D1" s="21" t="s">
        <v>1204</v>
      </c>
      <c r="E1" s="21" t="s">
        <v>931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929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877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878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879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880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881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882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876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866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867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868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869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870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871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872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873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874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875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1495</v>
      </c>
      <c r="B44" s="120" t="s">
        <v>1496</v>
      </c>
      <c r="C44" t="s">
        <v>1493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849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853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844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845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846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847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848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850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851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852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854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855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856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857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858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859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860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861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862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863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864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865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1176</v>
      </c>
      <c r="B67" t="s">
        <v>811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1177</v>
      </c>
      <c r="B68" t="s">
        <v>812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1178</v>
      </c>
      <c r="B69" t="s">
        <v>813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814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1179</v>
      </c>
      <c r="B71" t="s">
        <v>815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1180</v>
      </c>
      <c r="B72" t="s">
        <v>816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817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818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819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1181</v>
      </c>
      <c r="B76" t="s">
        <v>820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1182</v>
      </c>
      <c r="B77" t="s">
        <v>821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1183</v>
      </c>
      <c r="B78" t="s">
        <v>822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1184</v>
      </c>
      <c r="B79" t="s">
        <v>823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1185</v>
      </c>
      <c r="B80" t="s">
        <v>824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1186</v>
      </c>
      <c r="B81" t="s">
        <v>825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826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1187</v>
      </c>
      <c r="B83" t="s">
        <v>827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1188</v>
      </c>
      <c r="B84" t="s">
        <v>828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1189</v>
      </c>
      <c r="B85" t="s">
        <v>829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1190</v>
      </c>
      <c r="B86" t="s">
        <v>830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1191</v>
      </c>
      <c r="B87" t="s">
        <v>831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1192</v>
      </c>
      <c r="B88" t="s">
        <v>832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1193</v>
      </c>
      <c r="B89" t="s">
        <v>833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1194</v>
      </c>
      <c r="B90" t="s">
        <v>834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1195</v>
      </c>
      <c r="B91" t="s">
        <v>835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1196</v>
      </c>
      <c r="B92" t="s">
        <v>836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1413</v>
      </c>
      <c r="B93" t="s">
        <v>837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1197</v>
      </c>
      <c r="B94" t="s">
        <v>838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1198</v>
      </c>
      <c r="B95" t="s">
        <v>839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1199</v>
      </c>
      <c r="B96" t="s">
        <v>840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1200</v>
      </c>
      <c r="B97" t="s">
        <v>841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1201</v>
      </c>
      <c r="B98" t="s">
        <v>842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843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1326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1402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1590</v>
      </c>
      <c r="C112" t="str">
        <f>IF(ISERROR(MATCH(A112,'SegEnds_Xtal_Prot#'!B:B, 0)), "NoXtal", "Xtal")</f>
        <v>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809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810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1420</v>
      </c>
      <c r="B115" t="s">
        <v>1419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911</v>
      </c>
      <c r="B116" t="s">
        <v>912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915</v>
      </c>
      <c r="B117" t="s">
        <v>916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917</v>
      </c>
      <c r="B118" t="s">
        <v>918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909</v>
      </c>
      <c r="B119" t="s">
        <v>910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913</v>
      </c>
      <c r="B120" t="s">
        <v>914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921</v>
      </c>
      <c r="B121" t="s">
        <v>922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919</v>
      </c>
      <c r="B122" t="s">
        <v>920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1440</v>
      </c>
      <c r="B123" t="s">
        <v>1441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1507</v>
      </c>
      <c r="B124" t="s">
        <v>1508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1451</v>
      </c>
      <c r="B125" t="s">
        <v>1453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923</v>
      </c>
      <c r="B126" t="s">
        <v>924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1173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1174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1175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1171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1172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1594</v>
      </c>
      <c r="B414" t="s">
        <v>1596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1597</v>
      </c>
      <c r="B415" t="s">
        <v>1599</v>
      </c>
      <c r="C415" t="str">
        <f>IF(ISERROR(MATCH(A415,'SegEnds_Xtal_Prot#'!B:B, 0)), "NoXtal", "Xtal")</f>
        <v>Xtal</v>
      </c>
      <c r="D415" t="str">
        <f t="shared" ref="D415:D416" si="8">MID(A415,FIND("_",A415)+1,LEN(A415)-FIND("_",A415))</f>
        <v>rat</v>
      </c>
      <c r="E415" t="str">
        <f>VLOOKUP(A415,Classification!A:B,2,FALSE)</f>
        <v>A</v>
      </c>
    </row>
    <row r="416" spans="1:5" x14ac:dyDescent="0.2">
      <c r="A416" t="s">
        <v>1637</v>
      </c>
      <c r="B416" t="s">
        <v>1638</v>
      </c>
      <c r="C416" t="str">
        <f>IF(ISERROR(MATCH(A416,'SegEnds_Xtal_Prot#'!B:B, 0)), "NoXtal", "Xtal")</f>
        <v>NoXtal</v>
      </c>
      <c r="D416" t="str">
        <f t="shared" si="8"/>
        <v>human</v>
      </c>
      <c r="E416" t="str">
        <f>VLOOKUP(A416,Classification!A:B,2,FALSE)</f>
        <v>A</v>
      </c>
    </row>
    <row r="417" spans="1:5" x14ac:dyDescent="0.2">
      <c r="A417" t="s">
        <v>1640</v>
      </c>
      <c r="B417" t="s">
        <v>1641</v>
      </c>
      <c r="C417" t="str">
        <f>IF(ISERROR(MATCH(A417,'SegEnds_Xtal_Prot#'!B:B, 0)), "NoXtal", "Xtal")</f>
        <v>NoXtal</v>
      </c>
      <c r="D417" t="str">
        <f t="shared" ref="D417" si="9">MID(A417,FIND("_",A417)+1,LEN(A417)-FIND("_",A417))</f>
        <v>human</v>
      </c>
      <c r="E417" t="str">
        <f>VLOOKUP(A417,Classification!A:B,2,FALSE)</f>
        <v>A</v>
      </c>
    </row>
    <row r="418" spans="1:5" x14ac:dyDescent="0.2">
      <c r="A418" t="s">
        <v>1642</v>
      </c>
      <c r="B418" t="s">
        <v>1643</v>
      </c>
      <c r="C418" t="str">
        <f>IF(ISERROR(MATCH(A418,'SegEnds_Xtal_Prot#'!B:B, 0)), "NoXtal", "Xtal")</f>
        <v>NoXtal</v>
      </c>
      <c r="D418" t="str">
        <f t="shared" ref="D418" si="10">MID(A418,FIND("_",A418)+1,LEN(A418)-FIND("_",A418))</f>
        <v>human</v>
      </c>
      <c r="E418" t="str">
        <f>VLOOKUP(A418,Classification!A:B,2,FALSE)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1225</v>
      </c>
      <c r="C1" s="31" t="s">
        <v>1226</v>
      </c>
      <c r="D1" s="30" t="s">
        <v>99</v>
      </c>
      <c r="E1" s="26" t="s">
        <v>1224</v>
      </c>
      <c r="F1" s="26" t="s">
        <v>3</v>
      </c>
      <c r="G1" s="30" t="s">
        <v>1208</v>
      </c>
      <c r="H1" s="30" t="s">
        <v>4</v>
      </c>
      <c r="I1" s="30" t="s">
        <v>1210</v>
      </c>
      <c r="J1" s="30" t="s">
        <v>6</v>
      </c>
      <c r="K1" s="30" t="s">
        <v>1209</v>
      </c>
      <c r="L1" s="30" t="s">
        <v>7</v>
      </c>
      <c r="M1" s="30" t="s">
        <v>1211</v>
      </c>
      <c r="N1" s="30" t="s">
        <v>8</v>
      </c>
      <c r="O1" s="30" t="s">
        <v>10</v>
      </c>
      <c r="P1" s="30" t="s">
        <v>11</v>
      </c>
      <c r="Q1" s="30" t="s">
        <v>1207</v>
      </c>
      <c r="R1" s="26" t="s">
        <v>1060</v>
      </c>
      <c r="S1" s="8" t="s">
        <v>1077</v>
      </c>
      <c r="T1" s="8" t="s">
        <v>1062</v>
      </c>
      <c r="U1" s="8" t="s">
        <v>1079</v>
      </c>
      <c r="V1" s="8" t="s">
        <v>1064</v>
      </c>
      <c r="W1" s="8" t="s">
        <v>1092</v>
      </c>
      <c r="X1" s="8" t="s">
        <v>1066</v>
      </c>
      <c r="Y1" s="8" t="s">
        <v>1095</v>
      </c>
      <c r="Z1" s="8" t="s">
        <v>1068</v>
      </c>
      <c r="AA1" s="8" t="s">
        <v>1070</v>
      </c>
      <c r="AB1" s="8" t="s">
        <v>1072</v>
      </c>
      <c r="AC1" s="8" t="s">
        <v>1074</v>
      </c>
      <c r="AD1" s="26" t="s">
        <v>1061</v>
      </c>
      <c r="AE1" s="8" t="s">
        <v>1078</v>
      </c>
      <c r="AF1" s="8" t="s">
        <v>1063</v>
      </c>
      <c r="AG1" s="8" t="s">
        <v>1080</v>
      </c>
      <c r="AH1" s="8" t="s">
        <v>1065</v>
      </c>
      <c r="AI1" s="8" t="s">
        <v>1093</v>
      </c>
      <c r="AJ1" s="8" t="s">
        <v>1067</v>
      </c>
      <c r="AK1" s="8" t="s">
        <v>1096</v>
      </c>
      <c r="AL1" s="8" t="s">
        <v>1069</v>
      </c>
      <c r="AM1" s="8" t="s">
        <v>1071</v>
      </c>
      <c r="AN1" s="8" t="s">
        <v>1073</v>
      </c>
      <c r="AO1" s="8" t="s">
        <v>1075</v>
      </c>
      <c r="AP1" s="26" t="s">
        <v>1212</v>
      </c>
      <c r="AQ1" s="30" t="s">
        <v>1213</v>
      </c>
      <c r="AR1" s="30" t="s">
        <v>1214</v>
      </c>
      <c r="AS1" s="30" t="s">
        <v>1215</v>
      </c>
      <c r="AT1" s="30" t="s">
        <v>1216</v>
      </c>
      <c r="AU1" s="30" t="s">
        <v>1217</v>
      </c>
      <c r="AV1" s="30" t="s">
        <v>1218</v>
      </c>
      <c r="AW1" s="30" t="s">
        <v>1219</v>
      </c>
      <c r="AX1" s="30" t="s">
        <v>1220</v>
      </c>
      <c r="AY1" s="30" t="s">
        <v>1221</v>
      </c>
      <c r="AZ1" s="30" t="s">
        <v>1222</v>
      </c>
      <c r="BA1" s="30" t="s">
        <v>1223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FIVKVLPPVLGLEFIFGLLGNGLALWIFCFHKSSRIFLFNLAVADFLLIICLPFLMDNYVRGDIPCRLMLFMLAMNRQGSIIFLTVVAVDRYFRVVHSNRTAAIISCLLWGITIGLTVHLLKKKICHTFQWHEAMFLLEFFLPLGIILFCSARIIWSLRQRHAKIKRAITFIMVVAIVFVICFLPSVVVRIRIFWLLHTNCEVYRSVDLAFFITLSFTYMNSMLDPVVYYFSSPSFPNFFSTLIN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89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29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WRTFDSVVFYLTLIVGLGGPVGNGLVLWNLGFRGPFSIYLLHLAAADFLFLSCRVGFSVAQDTLYFVLTFLWFAVGLWLLAAFSVERCLSDLFPRHASAVLCALVWTPTLPAVPLPANACCPRYHVASVTWFLVLARVAWTAGVVLFVWVTCCSRPRLYGIVLGALLLLFFCGLPSVFYWSLQPLLPVFSPLATLLACVNSSSKPLIYSGLGRQPGKREPLRSVLR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WRTFDSVVFYLTLIVGLGGPVGNGLVLWNLGFR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8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32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'SegEnds_NonXtal_Prot#'!A200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'SegEnds_NonXtal_Prot#'!A248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'SegEnds_NonXtal_Prot#'!A254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'SegEnds_NonXtal_Prot#'!A265</f>
        <v>ackr3_human</v>
      </c>
      <c r="B27" s="1" t="str">
        <f t="shared" si="0"/>
        <v>SVLLYTLSFIYIFIFVIGMIANSVVVWVNIQAYDTHCYILNLAIADLWVVLTIPVWVVSLVQGELTCKVTHLIFSINLFGSIFFLTCMSVDRYLSITYKKMVRRVVCILVWLLAFCVSLPDTYYLEWLIGMELVSVVLGFAVPFSIIAVFYFLLARAISASKHSSRKIIFSYVVVFLVCWLPYHVAVLLDIFSILHTCRLEHALFTALHVTQCLSLVHCCVNPVLYSFINRNYRYELMKAFI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EWLIGMELVSVVLGFAVPFSIIAVFYFLLARAISAS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207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331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35</v>
      </c>
      <c r="AY27" s="4">
        <f t="shared" si="22"/>
        <v>34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'SegEnds_NonXtal_Prot#'!A279</f>
        <v>gpr75_human</v>
      </c>
      <c r="B28" s="1" t="str">
        <f t="shared" si="0"/>
        <v>DLIHTATLVTCTFLLAVIFCLGSYGNFIVFLSFFDPTNFDFMILNLSFCDLFICGVTAPMFTFVLFFSSIPDAFCFTFHLTSSGFIIMSLKTVAVIALHRLRMVLGSFPCTVLLTLLLWATSFTLATLATLKTKGKAILSLYVVDFTFCVAVVSVSYIMIAQTLRKNAQVRKCPPNLSTAKDSKAVVTCVIIVLSVLVCCLPLGISLVQVVLSLYQFELFGFTLIFFKSGLNPFIYSRSAGLRRKVLWCLQ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DLIHTATLVTCTFLLAVIFCLGSYGNFIVFLSFFDP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</v>
      </c>
      <c r="Q28" s="4" t="str">
        <f t="shared" si="12"/>
        <v>SAGLRRKVLWCLQ</v>
      </c>
      <c r="R28" s="5">
        <f>VLOOKUP($A28,'SegEnds_NonXtal_Prot#'!$A:$AL,3,FALSE)</f>
        <v>35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378</v>
      </c>
      <c r="AO28" s="5">
        <f>VLOOKUP($A28,'SegEnds_NonXtal_Prot#'!$A:$AL,38,FALSE)</f>
        <v>392</v>
      </c>
      <c r="AP28" s="5">
        <f t="shared" si="13"/>
        <v>35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24</v>
      </c>
      <c r="BA28" s="4">
        <f t="shared" si="24"/>
        <v>12</v>
      </c>
    </row>
    <row r="29" spans="1:53" x14ac:dyDescent="0.2">
      <c r="A29" s="1" t="str">
        <f>'SegEnds_NonXtal_Prot#'!A296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'SegEnds_NonXtal_Prot#'!A325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'SegEnds_NonXtal_Prot#'!A331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'SegEnds_NonXtal_Prot#'!A351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'SegEnds_NonXtal_Prot#'!A362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'SegEnds_NonXtal_Prot#'!A370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'SegEnds_NonXtal_Prot#'!A374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'SegEnds_NonXtal_Prot#'!A392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'SegEnds_NonXtal_Prot#'!A401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'SegEnds_NonXtal_Prot#'!A407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TLNKYVVIIAYALVFLLSLLGNSLVMLVILYSSVTDVYLLNLALADLLFALTLPIWAASKVNGTFLCKVVSLLKEVNFYSGILLLACISVDRYLAIVHKRHLVKFVCLGCWGLSMNLSLPFFLFRKWRMVLRILPHTFGFIVPLFVMLFCYGFTLRTLFKAKHRAMRVIFAVVLIFLLCWLPYNLVLLADTLMRTQSCERRNNIGRALDATEILGFLHSCLNPIIYAFIGQNFRHGFLKILA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GQNFRHGFLKILA</v>
      </c>
      <c r="R46" s="5">
        <f>VLOOKUP($A46,'SegEnds_NonXtal_Prot#'!$A:$AL,3,FALSE)</f>
        <v>36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197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321</v>
      </c>
      <c r="AP46" s="5">
        <f t="shared" si="13"/>
        <v>31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35</v>
      </c>
      <c r="AY46" s="4">
        <f t="shared" si="22"/>
        <v>34</v>
      </c>
      <c r="AZ46" s="4">
        <f t="shared" si="23"/>
        <v>32</v>
      </c>
      <c r="BA46" s="4">
        <f t="shared" si="24"/>
        <v>12</v>
      </c>
    </row>
    <row r="47" spans="1:53" x14ac:dyDescent="0.2">
      <c r="A47" s="1" t="str">
        <f>'SegEnds_NonXtal_Prot#'!A11</f>
        <v>cxcr2_human</v>
      </c>
      <c r="B47" s="1" t="str">
        <f t="shared" si="0"/>
        <v>EINKYFVVIIYALVFLLSLLGNSLVMLVILYSSVTDVYLLNLALADLLFALTLPIWAASKVNGTFLCKVVSLLKEVNFYSGILLLACISVDRYLAIVHKRYLVKFICLSIWGLSLLLALPVLLFRNWRMLLRILPQSFGFIVPLLIMLFCYGFTLRTLFKAKHRAMRVIFAVVLIFLLCWLPYNLVLLADTLMRTQTCERRNHIDRALDATEILGILHSCLNPLIYAFIGQKFRHGLLKILA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</v>
      </c>
      <c r="R47" s="5">
        <f>VLOOKUP($A47,'SegEnds_NonXtal_Prot#'!$A:$AL,3,FALSE)</f>
        <v>45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330</v>
      </c>
      <c r="AP47" s="5">
        <f t="shared" si="13"/>
        <v>31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12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SSLEDLVATGTIGTLLSAMGVVGVVGNAYTLVVTCRSASMYVYVVNLALADLLYLLSIPFIVATYVTGDVGCRVLFGLDFLTMHASIFTLTVMSSERYAAVLRPKGYRKLLALGTWLLALLLTLPVMLAMWGPRAHRAYLTLLFATSIAGPGLLIGLLYARLARAYRRSQRASPGARALRLVLGIVLLFWACFLPFWLWQLLAQYHAPLAPRTARIVNYLTTCLTYGNSCANPFLYTLLTRNYRDHLRGRVR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APLAPRTARIVNYLTTCLTYGNSCANPFLYTLL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286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32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SGHLLQDCVQSFPCCQN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RYETVEMVFIATVTGSLSLVTVVGNILVMLSIKVNTVNNYFLFSLACADLIIGAFSMNLYTVYIIKGGAVVCDLWLALDYVVSNASVMNLLIISFDRYFCVTKTTKMAGLMIAAAWVLSFVLWAPAILFWQFVVGNPAVTFGTAIAAFYLPVVIMTVLYIHISLASRSRVHKHRPERQMAARERKVTRTIFAILLAFILTWTPYNVMVLVNTFCPDTVWSIGYWLCYVNSTINPACYALCNATFKKTFRHLLLCQ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TVNNYFLFSLACADLIIGAFSMNLYTVYIIKG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NATFKKTFRHLLLCQ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96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471</v>
      </c>
      <c r="AP88" s="5">
        <f t="shared" si="38"/>
        <v>34</v>
      </c>
      <c r="AQ88" s="4">
        <f t="shared" si="39"/>
        <v>3</v>
      </c>
      <c r="AR88" s="4">
        <f t="shared" si="40"/>
        <v>31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14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HNYIFVMIPTLYSIIFVVGIFGNSLVVIVIYFYTVASVFLLNLALADLCFLLTLPLWAVYTAMEGNYLCKIASASVSFNLYASVFLLTCLSIDRYLAIVHTMLVAKVTCIIIWLLAGLASLPAIIHRLPIGLGLTKNILGFLFPFLIILTSYTLIWKALKKAQKNKPRNDDIFKIIMAIVLFFFFSWIPHQIFTFLDVLIQLGDCRIADIVDTAMPITICIAYFNNCLNPLFYGFLGKKFKRYFLQLLKYI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TVASVFLLNLALADLCFLLTLPLWAVYTAME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91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WDLLHRVLPTFIISICFFGLLGNLFVLLVFLLPNVAEIYLANLAASDLVFVLGLPFWAENIWNQGALLCRVINGVIKANLFISIFLVVAISQDRYRVLVHRRRQARVTCVLIWVVGGLLSIPTFLLRWHFARIVELNILGFLLPLAAIVFFNYHILASLRTRTRCGGRKDSKTTALILTLVVAFLVCWAPYHFFAFLEFLFQVQGCFWEDFIDLGLQLANFFAFTNSSLNPVIYVFVGRLFRTKVWELYKQC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NVAEIYLANLAASDLVFVLGLPFWAENIWNQ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100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30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PLEARVTRIFLVVVYSIVCFLGILGNGLVIIIATFKMTVNMVWFLNLAVADFLFNVFLPIHITYAAMDGTAMCKISNFLLIHNMFTSVFLLTIISSDRCISVLLSVRLAYMACMVIWVLAFFLSSPSLVFRTHSQMDPVGYSRHMVVTVTRFLCGFLVPVLIITACYLTIVCKLQRNTKKPFKIIVTIIITFFLCWCPYHTLNLLELHHAMPGSVFSLGLPLATALAIANSCMNPILYVFMGQDFKKFKVALF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PLEARVTRIFLVVVYSIVCFLGILGNGLVIIIATFKM</v>
      </c>
      <c r="G118" s="4" t="str">
        <f t="shared" si="27"/>
        <v/>
      </c>
      <c r="H118" s="4" t="str">
        <f t="shared" si="28"/>
        <v>TVNMVWFLNLAVADFLFNVFLPIHITYAAMD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THSQMDPVGYSRHMVVTVTRFLCGFLVPVLIITACYLTIVCKLQRN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</v>
      </c>
      <c r="R118" s="5">
        <f>VLOOKUP($A118,'SegEnds_NonXtal_Prot#'!$A:$AL,3,FALSE)</f>
        <v>33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205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69</v>
      </c>
      <c r="AE118" s="5" t="str">
        <f>VLOOKUP($A118,'SegEnds_NonXtal_Prot#'!$A:$AL,8,FALSE)</f>
        <v>-</v>
      </c>
      <c r="AF118" s="5">
        <f>VLOOKUP($A118,'SegEnds_NonXtal_Prot#'!$A:$AL,11,FALSE)</f>
        <v>102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331</v>
      </c>
      <c r="AP118" s="5">
        <f t="shared" si="38"/>
        <v>36</v>
      </c>
      <c r="AQ118" s="4" t="str">
        <f t="shared" si="39"/>
        <v>-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45</v>
      </c>
      <c r="AY118" s="4">
        <f t="shared" si="47"/>
        <v>31</v>
      </c>
      <c r="AZ118" s="4">
        <f t="shared" si="48"/>
        <v>31</v>
      </c>
      <c r="BA118" s="4">
        <f t="shared" si="49"/>
        <v>11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238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33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210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35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'SegEnds_NonXtal_Prot#'!A106</f>
        <v>fpr1_human</v>
      </c>
      <c r="B135" s="1" t="str">
        <f t="shared" si="50"/>
        <v>SAGYLFLDIITYLVFAVTFVLGVLGNGLVIWVAGFRMTVTTISYLNLAVADFCFTSTLPFFMVRKAMGGWFLCKFVFTIVDINLFGSVFLIALIALDRCVCVLHTVSLAKKVIIGPWVMALLLTLPVIIRVDPKERINVAVAMLTVRGIIRFIIGFSAPMSIVAVSYGLIATKIHKQSSRPLRVLSFVAAAFFLCWSPYQVVALIATVRYKEIGIAVDVTSALAFFNSCLNPMLYVFMGQDFRERLIHAL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SAGYLFLDIITYLVFAVTFVLGVLGNGLVIWVAGFRM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DPKERINVAVAMLTVRGIIRFIIGFSAPMSIVAVSYGLIATKIHKQ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</v>
      </c>
      <c r="R135" s="5">
        <f>VLOOKUP($A135,'SegEnds_NonXtal_Prot#'!$A:$AL,3,FALSE)</f>
        <v>19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186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55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316</v>
      </c>
      <c r="AP135" s="5">
        <f t="shared" si="63"/>
        <v>36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45</v>
      </c>
      <c r="AY135" s="4">
        <f t="shared" si="72"/>
        <v>31</v>
      </c>
      <c r="AZ135" s="4">
        <f t="shared" si="73"/>
        <v>28</v>
      </c>
      <c r="BA135" s="4">
        <f t="shared" si="74"/>
        <v>11</v>
      </c>
    </row>
    <row r="136" spans="1:53" x14ac:dyDescent="0.2">
      <c r="A136" s="1" t="str">
        <f>'SegEnds_NonXtal_Prot#'!A107</f>
        <v>fpr2_human</v>
      </c>
      <c r="B136" s="1" t="str">
        <f t="shared" si="50"/>
        <v>SAGYTVLRILPLVVLGVTFVLGVLGNGLVIWVAGFRMTVTTICYLNLALADFSFTATLPFLIVSMAMGGWFLCKLIHIVVDINLFGSVFLIGFIALDRCICVLHTVSLAMKVIVGPWILALVLTLPVFLFLTPEERLKVAITMLTARGIIRFVIGFSLPMSIVAICYGLIAAKIHKKGSRPLRVLTAVVASFFICWFPFQLVALLGTVWYKIIDILVNPTSSLAFFNSCLNPMLYVFVGQDFRERLIHSL</v>
      </c>
      <c r="C136" s="29" t="str">
        <f>IF(ISERROR(MATCH(A136,'SegEnds_Xtal_Prot#'!B:B, 0)), "NoXtal", "Xtal")</f>
        <v>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SAGYTVLRILPLVVLGVTFVLGVLGNGLVIWVAGFRM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TPEERLKVAITMLTARGIIRFVIGFSLPMSIVAICYGLIAAKIHKKG</v>
      </c>
      <c r="O136" s="4" t="str">
        <f t="shared" si="60"/>
        <v>SRPLRVLTAVVASFFICWFPFQLVALLGTVW</v>
      </c>
      <c r="P136" s="4" t="str">
        <f t="shared" si="61"/>
        <v>YKIIDILVNPTSSLAFFNSCLNPMLYVFV</v>
      </c>
      <c r="Q136" s="4" t="str">
        <f t="shared" si="62"/>
        <v>GQDFRERLIHSL</v>
      </c>
      <c r="R136" s="5">
        <f>VLOOKUP($A136,'SegEnds_NonXtal_Prot#'!$A:$AL,3,FALSE)</f>
        <v>19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186</v>
      </c>
      <c r="AA136" s="5">
        <f>VLOOKUP($A136,'SegEnds_NonXtal_Prot#'!$A:$AL,30,FALSE)</f>
        <v>237</v>
      </c>
      <c r="AB136" s="5">
        <f>VLOOKUP($A136,'SegEnds_NonXtal_Prot#'!$A:$AL,33,FALSE)</f>
        <v>277</v>
      </c>
      <c r="AC136" s="5">
        <f>VLOOKUP($A136,'SegEnds_NonXtal_Prot#'!$A:$AL,36,FALSE)</f>
        <v>306</v>
      </c>
      <c r="AD136" s="5">
        <f>VLOOKUP($A136,'SegEnds_NonXtal_Prot#'!$A:$AL,5,FALSE)</f>
        <v>55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232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317</v>
      </c>
      <c r="AP136" s="5">
        <f t="shared" si="63"/>
        <v>36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46</v>
      </c>
      <c r="AY136" s="4">
        <f t="shared" si="72"/>
        <v>30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'SegEnds_NonXtal_Prot#'!A108</f>
        <v>fpr3_human</v>
      </c>
      <c r="B137" s="1" t="str">
        <f t="shared" si="50"/>
        <v>PAGHTVLWIFSLLVHGVTFVFGVLGNGLVIWVAGFRMTVNTICYLNLALADFSFSAILPFRMVSVAMRGSFLCKLVHVMIDINLFVSVYLITIIALDRCICVLHTMSLAKRVMTGLWIFTIVLTLPNFIFWTAVERLNVFITMAKVFLILHFIIGFSVPMSIITVCYGIIAAKIHRNSSRPLRVFAAVVASFFICWFPYELIGILMAVWLNGKYKIILVLINPTSSLAFFNSCLNPILYVFMGRNFQERLIRSL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PAGHTVLWIFSLLVHGVTFVFGVLGNGLVIWVAGFRM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TAVERLNVFITMAKVFLILHFIIGFSVPMSIITVCYGIIAAKIHRN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</v>
      </c>
      <c r="R137" s="5">
        <f>VLOOKUP($A137,'SegEnds_NonXtal_Prot#'!$A:$AL,3,FALSE)</f>
        <v>19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186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55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317</v>
      </c>
      <c r="AP137" s="5">
        <f t="shared" si="63"/>
        <v>36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45</v>
      </c>
      <c r="AY137" s="4">
        <f t="shared" si="72"/>
        <v>31</v>
      </c>
      <c r="AZ137" s="4">
        <f t="shared" si="73"/>
        <v>32</v>
      </c>
      <c r="BA137" s="4">
        <f t="shared" si="74"/>
        <v>11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PAPLLAGVTATCVALFVVGIAGNLLTMLVVSRFTTTNLYLSSMAFSDLLIFLCMPLDLVRLWQYGDLLCKLFQFVSESCTYATVLTITALSVERYFAICFTKGRVKLVIFVIWAVAFCSAGPIFVLVVRSGLLTVMVWVSSIFFFLPVFCLTVLYSLIGRKLWRRRRGDSLRDQNHKQTVKMLAVVVFAFILCWLPFHVGRYLFSKSAQISQYCNLVSFVLFYLSAAINPILYNIMSKKYRVAVFRLLGFEP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VRSGLLTVMVWVSSIFFFLPVFCLTVLYSLIGRKLWRRRRGD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205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/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-1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33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DEDSYPQGGWDTVFLVALLLLGLPANGLMAWLAGSQATRLALLLLSLALSDFLFLAAAAFQILEIRHGGTAACRFYYFLWGVSYSSGLFLLAALSLDRCLLALCPVRLPLWVCAGVWVLATLFSVPWLVFPEELSLRMLEVLGGFLPFLLLLVCHVLTQATACRTQQQPAACRGFARVARTILSAYVVLRLPYQLAQLLYLAFGYLLWEALVYSDYLILLNSCLSPFLCLMASADLRTLLRSVL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DEDSYPQGGWDTVFLVALLLLGLPANGLMAWLAGSQA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22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58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36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RLPGSAVGWLVCGGLSLLANAWGILSVGAKKPLEFLLCTLAATHMLNVAVPIATYSVVQLRNEGLCKVFVSTFYTLTLATCFSVTSLSYHRMWMVCWAKKQAVHTVMGIWMVSFILSALPAVGGLGFGVCFLLLVGGSVAMGVICTAIALFQTLAVQVGRQADRREPAKTSLQTTGLVTTIVFIYDCLMGFPVLVVSFSSLRAPWMALCVLWCSVAQALLLPVFLWACDRYRADLKAVREKCMA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CDRYRADLKAVREKCMA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316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16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'SegEnds_NonXtal_Prot#'!A128</f>
        <v>gpr1_human</v>
      </c>
      <c r="B153" s="1" t="str">
        <f t="shared" si="50"/>
        <v>KVQLGVVHWVSLVLYCLAFVLGIPGNAIVIWFTGFKWTVTTLWFLNLAIADFIFLLFLPLYISYVAMNGIWLCKANSFTAQLNMFASVFFLTVISLDHYIHLIHTLKNSLIVIIFIWLLASLIGGPALYFRFQKHDPDLTLIRHHVLTWVKFIIGYLFPLLTMSICYLCLIFKVKKRSSRHFWTILVVVVAFVVCWTPYHLFSIWELTIHHVMQAGIPLSTGLAFLNSCLNPILYVLISKKFQARFRSSV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KVQLGVVHWVSLVLYCLAFVLGIPGNAIVIWFTGFKW</v>
      </c>
      <c r="G153" s="4" t="str">
        <f t="shared" si="52"/>
        <v/>
      </c>
      <c r="H153" s="4" t="str">
        <f t="shared" si="53"/>
        <v>TVTTLWFLNLAIADFIFLLFLPLYISYVAMN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FQKHDPDLTLIRHHVLTWVKFIIGYLFPLLTMSICYLCLIFKVKKR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</v>
      </c>
      <c r="R153" s="5">
        <f>VLOOKUP($A153,'SegEnds_NonXtal_Prot#'!$A:$AL,3,FALSE)</f>
        <v>31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191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67</v>
      </c>
      <c r="AE153" s="5" t="str">
        <f>VLOOKUP($A153,'SegEnds_NonXtal_Prot#'!$A:$AL,8,FALSE)</f>
        <v>-</v>
      </c>
      <c r="AF153" s="5">
        <f>VLOOKUP($A153,'SegEnds_NonXtal_Prot#'!$A:$AL,11,FALSE)</f>
        <v>100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319</v>
      </c>
      <c r="AP153" s="5">
        <f t="shared" si="63"/>
        <v>36</v>
      </c>
      <c r="AQ153" s="4" t="str">
        <f t="shared" si="64"/>
        <v>-</v>
      </c>
      <c r="AR153" s="4">
        <f t="shared" si="65"/>
        <v>30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45</v>
      </c>
      <c r="AY153" s="4">
        <f t="shared" si="72"/>
        <v>31</v>
      </c>
      <c r="AZ153" s="4">
        <f t="shared" si="73"/>
        <v>28</v>
      </c>
      <c r="BA153" s="4">
        <f t="shared" si="74"/>
        <v>11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'SegEnds_NonXtal_Prot#'!A132</f>
        <v>gpr18_human</v>
      </c>
      <c r="B157" s="1" t="str">
        <f t="shared" si="50"/>
        <v>DEYKIAALVFYSCIFIIGLFVNITALWVFSCTTTVTIYMMNVALVDLIFIMTLPFRMFYYAKGEYFCQILGALTVFYPSIALWLLAFISADRYMAIVQNTCKAVLACVGVWIMTLTTTTPLLLLYKAVNVLNLTRLTFFFLIPLFIMIGCYLVIIHNLLHGKLKPKVKEKSIRIIITLLVQVLVCFMPFHICFAFLMLGYNPWGAFTTFLMNLSTCLDVILYYIVSKQFQARVISVML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19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182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31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35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275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25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CLLEVLIIVFLTVLIISGNIIVIFVFHCAHHTTSYFIQTMAYADLFVGVSCVVPSLSLLHPVEESLTCQIFGFVVSVLKSVSMASLACISIDRYIAITKTPWRLRLCIFLIWLYSTLVFLPSFFTDSYFTLFIVMMLYAPAALIVCFTYFNIFRICQQHTKDISETGEVQACPDKRYAMVLFRITSVFYILWLPYIIYFLLESSTRFASFLTTWLAISNSFCNCVIYSLSNSVFQRGLKRLSGAMCTSCAS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NSVFQRGLKRLSGAMCTSCAS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166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328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24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20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RLVDTFVLHLAAADLGFVLTLPLWAAAAALG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102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30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SEEVGSLRPLTVVILSASIVVGVLGNGLVLWMTVFRMTVSTVCFFHLALADFMLSLSLPIAMYYIVSGEWACKLYITFVFLSYFASNCLLVFISVDRCISVLYTVQRASWLAFGVWLLAAALCSAHLKFRTAQIWIEGVVEGHIIGTIGHFLLGFLGPLAIIGTCAHLIRAKLLREANRPKRLLLVLVSAFFIFWSPFNVVLLVHLWRHPRMLLILQASFALGCVNSSLNPFLYVFVGRDFQEKFFQSL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SEEVGSLRPLTVVILSASIVVGVLGNGLVLWMTVFRM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TAQIWIEGVVEGHIIGTIGHFLLGFLGPLAIIGTCAHLIRAKLLRE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</v>
      </c>
      <c r="R164" s="5">
        <f>VLOOKUP($A164,'SegEnds_NonXtal_Prot#'!$A:$AL,3,FALSE)</f>
        <v>36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201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72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331</v>
      </c>
      <c r="AP164" s="5">
        <f t="shared" si="63"/>
        <v>36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45</v>
      </c>
      <c r="AY164" s="4">
        <f t="shared" si="72"/>
        <v>31</v>
      </c>
      <c r="AZ164" s="4">
        <f t="shared" si="73"/>
        <v>28</v>
      </c>
      <c r="BA164" s="4">
        <f t="shared" si="74"/>
        <v>11</v>
      </c>
    </row>
    <row r="165" spans="1:53" x14ac:dyDescent="0.2">
      <c r="A165" s="1" t="str">
        <f>'SegEnds_NonXtal_Prot#'!A140</f>
        <v>gpr33_human</v>
      </c>
      <c r="B165" s="1" t="str">
        <f t="shared" si="50"/>
        <v>QFLAPASKMIIALSLYISSIIGTITNGLYLWVLRFKMTVNTLLFFHLILSYFISTMILPFMATSQLQDGTALCKVFNGTLSLGMFTSVFFLSAIGLDRYLLTLHTPRWASSIVLGVWISAAALSIPYLIFRESKEMQASRQWIHVACFISRFLLGFLLPFFIIIFCYERVASKVKERSSKPFKVMMTAIISFFVCWMPYHIHQGLLLTTLELTLILTVLTTSFNTIFSPTLYLFVGENFKKVFKKSI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QFLAPASKMIIALSLYISSIIGTITNGLYLWVLRFKM</v>
      </c>
      <c r="G165" s="4" t="str">
        <f t="shared" si="52"/>
        <v/>
      </c>
      <c r="H165" s="4" t="str">
        <f t="shared" si="53"/>
        <v>TVNTLLFFHLILSYFISTMILPFMATSQLQD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ESKEMQASRQWIHVACFISRFLLGFLLPFFIIIFCYERVASKVKER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</v>
      </c>
      <c r="R165" s="5">
        <f>VLOOKUP($A165,'SegEnds_NonXtal_Prot#'!$A:$AL,3,FALSE)</f>
        <v>22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190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58</v>
      </c>
      <c r="AE165" s="5" t="str">
        <f>VLOOKUP($A165,'SegEnds_NonXtal_Prot#'!$A:$AL,8,FALSE)</f>
        <v>-</v>
      </c>
      <c r="AF165" s="5">
        <f>VLOOKUP($A165,'SegEnds_NonXtal_Prot#'!$A:$AL,11,FALSE)</f>
        <v>91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314</v>
      </c>
      <c r="AP165" s="5">
        <f t="shared" si="63"/>
        <v>36</v>
      </c>
      <c r="AQ165" s="4" t="str">
        <f t="shared" si="64"/>
        <v>-</v>
      </c>
      <c r="AR165" s="4">
        <f t="shared" si="65"/>
        <v>30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45</v>
      </c>
      <c r="AY165" s="4">
        <f t="shared" si="72"/>
        <v>31</v>
      </c>
      <c r="AZ165" s="4">
        <f t="shared" si="73"/>
        <v>25</v>
      </c>
      <c r="BA165" s="4">
        <f t="shared" si="74"/>
        <v>11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LTWPPAIKLGFYAYLGVLLVLGLLLNSLALWVFCCRTETRIYMTNLAVADLCLLCTLPFVLHSLRDLCQLSQGIYLTNRYMSISLVTAIAVDRYVAVRHSPRQAAAVCAVLWVLVIGSLVARWLLGHNFNSMAFPLLGFYLPLAVVVFCSLKVVTALAQRVGQAEATRKAARMVWANLLVFVVCFLPLHVGLTVRLAVLETIRRALYITSKLSDANCCLDAICYYYMAKEFQEASALAV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LTWPPAIKLGFYAYLGVLLVLGLLLNSLALWVFCCR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13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35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CIFETVVIVLLTFLIIAGNLTVIFVFHCAHYTTSYFIQTMAYADLFVGVSCLVPTLSLLHYESLTCQVFGYIISVLKSVSMACLACISVDRYLAITKTPCRLRICIILIWIYSCLIFLPSFFSAYFTGFIVCLLYAPAAFVVCFTYFHIFKICRQHTKEINSSRETGHSPDRRYAMVLFRITSVFYMLWLPYIIYFLLESSRNPTLSFLTTWLAISNSFCNCVIYSLSNSVFRLGLRRLSETMCTSCMC</v>
      </c>
      <c r="C172" s="29" t="str">
        <f>IF(ISERROR(MATCH(A172,'SegEnds_Xtal_Prot#'!B:B, 0)), "NoXtal", "Xtal")</f>
        <v>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HYTTSYFIQTMAYADLFVGVSCLVPTLSLLHY</v>
      </c>
      <c r="I172" s="4" t="str">
        <f t="shared" si="54"/>
        <v/>
      </c>
      <c r="J172" s="4" t="str">
        <f t="shared" si="55"/>
        <v>ESLTCQVFGYIISVLKSVSMACLACISVDRYLAITK</v>
      </c>
      <c r="K172" s="4" t="str">
        <f t="shared" si="56"/>
        <v>PLSYNQLV</v>
      </c>
      <c r="L172" s="4" t="str">
        <f t="shared" si="57"/>
        <v>TPCRLRICIILIWIYSCLIFLPSFF</v>
      </c>
      <c r="M172" s="4" t="str">
        <f t="shared" si="58"/>
        <v>CAT</v>
      </c>
      <c r="N172" s="4" t="str">
        <f t="shared" si="59"/>
        <v>SAYFTGFIVCLLYAPAAFVVCFTYFHIFKICRQHTKEIN</v>
      </c>
      <c r="O172" s="4" t="str">
        <f t="shared" si="60"/>
        <v>SSRETGHSPDRRYAMVLFRITSVFYMLWLPYIIYFLLESSR</v>
      </c>
      <c r="P172" s="4" t="str">
        <f t="shared" si="61"/>
        <v>NPTLSFLTTWLAISNSFCNCVIYSLS</v>
      </c>
      <c r="Q172" s="4" t="str">
        <f t="shared" si="62"/>
        <v>NSVFRLGLRRLSETMCTSCMC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110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200</v>
      </c>
      <c r="AA172" s="5">
        <f>VLOOKUP($A172,'SegEnds_NonXtal_Prot#'!$A:$AL,30,FALSE)</f>
        <v>251</v>
      </c>
      <c r="AB172" s="5">
        <f>VLOOKUP($A172,'SegEnds_NonXtal_Prot#'!$A:$AL,33,FALSE)</f>
        <v>295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104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178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341</v>
      </c>
      <c r="AP172" s="5">
        <f t="shared" si="63"/>
        <v>28</v>
      </c>
      <c r="AQ172" s="4">
        <f t="shared" si="64"/>
        <v>3</v>
      </c>
      <c r="AR172" s="4">
        <f t="shared" si="65"/>
        <v>31</v>
      </c>
      <c r="AS172" s="4" t="str">
        <f t="shared" si="66"/>
        <v>-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38</v>
      </c>
      <c r="AY172" s="4">
        <f t="shared" si="72"/>
        <v>40</v>
      </c>
      <c r="AZ172" s="4">
        <f t="shared" si="73"/>
        <v>25</v>
      </c>
      <c r="BA172" s="4">
        <f t="shared" si="74"/>
        <v>20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SESVALFFMLLLDLTAVAGNAAVMAVIAKTLRKFVFVFHLCLVDLLAALTLMPLAMLSSSALFGEVACRLYLFLSVCFVSLAILSVSAINVERYYYVVHTLGLVASVLVGVWVKALAMASVPVLGRCQLFVVVFAVLYFLLPLLLILVVYCSMFRVARVAAMQHGPLPPHRTFGGGKAAVVLLAVGGQFLLCWLPYFSFHLYVALSTGQVESVVTWIGYFCFTSNPFFYGCLNRQIRGELSKQFVCFFK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NRQIRGELSKQFVCFFK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361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CPDYRPTHRLHLVVYSLVLAAGLPLNALALWVFLRA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</v>
      </c>
      <c r="M191" s="4" t="str">
        <f t="shared" si="58"/>
        <v>CFE</v>
      </c>
      <c r="N191" s="4" t="str">
        <f t="shared" si="59"/>
        <v>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</v>
      </c>
      <c r="R191" s="5">
        <f>VLOOKUP($A191,'SegEnds_NonXtal_Prot#'!$A:$AL,3,FALSE)</f>
        <v>15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185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159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314</v>
      </c>
      <c r="AP191" s="5">
        <f t="shared" si="63"/>
        <v>35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35</v>
      </c>
      <c r="AY191" s="4">
        <f t="shared" si="72"/>
        <v>38</v>
      </c>
      <c r="AZ191" s="4">
        <f t="shared" si="73"/>
        <v>32</v>
      </c>
      <c r="BA191" s="4">
        <f t="shared" si="74"/>
        <v>13</v>
      </c>
    </row>
    <row r="192" spans="1:53" x14ac:dyDescent="0.2">
      <c r="A192" s="1" t="str">
        <f>'SegEnds_NonXtal_Prot#'!A169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250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25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'SegEnds_NonXtal_Prot#'!A191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'SegEnds_NonXtal_Prot#'!A192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'SegEnds_NonXtal_Prot#'!A196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'SegEnds_NonXtal_Prot#'!A199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'SegEnds_NonXtal_Prot#'!A241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'SegEnds_NonXtal_Prot#'!A242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'SegEnds_NonXtal_Prot#'!A243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'SegEnds_NonXtal_Prot#'!A244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'SegEnds_NonXtal_Prot#'!A245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'SegEnds_NonXtal_Prot#'!A246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'SegEnds_NonXtal_Prot#'!A247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'SegEnds_NonXtal_Prot#'!A249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'SegEnds_NonXtal_Prot#'!A250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'SegEnds_NonXtal_Prot#'!A251</f>
        <v>v2r_human</v>
      </c>
      <c r="B261" s="1" t="str">
        <f t="shared" si="100"/>
        <v>LLARAELALLSIVFVAVALSNGLVLAALARRWAPIHVFIGHLCLADLAVALFQVLPQLAWKARGPDALCRAVKYLQMVGMYASSYMILAMTLDRHRAICRSGAHWNRPVLVAWAFSLLLSLPQLFIFRRTYVTWIALMVFVAPTLGIAACQVLIFREIHASLVPGPSERAHVSAAVAKTVRMTLVIVVVYVLCWAPFFLVQLWAAWDEGAPFVLLMLLASLNSCTNPWIYASFSSSVSSELRSLLCCARG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SSSVSSELRSLLCCARG</v>
      </c>
      <c r="R261" s="5">
        <f>VLOOKUP($A261,'SegEnds_NonXtal_Prot#'!$A:$AL,3,FALSE)</f>
        <v>35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202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345</v>
      </c>
      <c r="AP261" s="5">
        <f t="shared" si="113"/>
        <v>30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41</v>
      </c>
      <c r="AY261" s="4">
        <f t="shared" si="122"/>
        <v>37</v>
      </c>
      <c r="AZ261" s="4">
        <f t="shared" si="123"/>
        <v>25</v>
      </c>
      <c r="BA261" s="4">
        <f t="shared" si="124"/>
        <v>16</v>
      </c>
    </row>
    <row r="262" spans="1:53" x14ac:dyDescent="0.2">
      <c r="A262" s="1" t="str">
        <f>'SegEnds_NonXtal_Prot#'!A252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'SegEnds_NonXtal_Prot#'!A253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'SegEnds_NonXtal_Prot#'!A255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'SegEnds_NonXtal_Prot#'!A256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'SegEnds_NonXtal_Prot#'!A257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'SegEnds_NonXtal_Prot#'!A258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'SegEnds_NonXtal_Prot#'!A259</f>
        <v>ccr6_human</v>
      </c>
      <c r="B268" s="1" t="str">
        <f t="shared" si="100"/>
        <v>QFSRLFVPIAYSLICVFGLLGNILVVITFAFYSMTDVYLLNMAIADILFVLTLPFWAVSHATSNATCKLLKGIYAINFNCGMLLLTCISMDRYIAIVQTLPRSKIICLVVWGLSVIISSSTFVFNRWKLLMLGLELLFGFFIPLMFMIFCYTFIVKTLVQARHKAIRVIIAVVLVFLACQIPHNMVLLVTAANLGKMSCQSEKLIGYTKTVTEVLAFLHCCLNPVLYAFIGQKFRNYFLKILK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</v>
      </c>
      <c r="R268" s="5">
        <f>VLOOKUP($A268,'SegEnds_NonXtal_Prot#'!$A:$AL,3,FALSE)</f>
        <v>43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332</v>
      </c>
      <c r="AP268" s="5">
        <f t="shared" si="113"/>
        <v>31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12</v>
      </c>
    </row>
    <row r="269" spans="1:53" x14ac:dyDescent="0.2">
      <c r="A269" s="1" t="str">
        <f>'SegEnds_NonXtal_Prot#'!A260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'SegEnds_NonXtal_Prot#'!A261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'SegEnds_NonXtal_Prot#'!A262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'SegEnds_NonXtal_Prot#'!A263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'SegEnds_NonXtal_Prot#'!A264</f>
        <v>ackr1_human</v>
      </c>
      <c r="B273" s="1" t="str">
        <f t="shared" si="100"/>
        <v>CHSCNLLDDSALPFFILTSVLGILASSTVLFMLFRPLCPGWPVLAQLAVGSALFSIVVPVLAPGLGSLCSLGYCVWYGSAFAQALLLGCHASLGHRLGAGVPGLTLGLTVGIWGVAALLTLPVTLASLKALQATHTVACLAIFVLLPLGLFGAKGLKPGPWMNILWAWFIFWWPHGVVLGLDFLVRSKTCLAQQALDLLLNLAEALAILHCVATPLLLALFCHQATRTLLPSL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CHSCNLLDDSALPFFILTSVLGILASSTVLFMLFRPL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</v>
      </c>
      <c r="R273" s="5">
        <f>VLOOKUP($A273,'SegEnds_NonXtal_Prot#'!$A:$AL,3,FALSE)</f>
        <v>51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203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87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319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29</v>
      </c>
      <c r="AY273" s="4">
        <f t="shared" si="122"/>
        <v>30</v>
      </c>
      <c r="AZ273" s="4">
        <f t="shared" si="123"/>
        <v>32</v>
      </c>
      <c r="BA273" s="4">
        <f t="shared" si="124"/>
        <v>11</v>
      </c>
    </row>
    <row r="274" spans="1:53" x14ac:dyDescent="0.2">
      <c r="A274" s="1" t="str">
        <f>'SegEnds_NonXtal_Prot#'!A266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'SegEnds_NonXtal_Prot#'!A267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'SegEnds_NonXtal_Prot#'!A268</f>
        <v>gp132_human</v>
      </c>
      <c r="B276" s="1" t="str">
        <f t="shared" si="100"/>
        <v>FEESRIVLVVVYSAVCTLGVPANCLTAWLALLQNVLAVYLLCLALCELLYTGTLPLWVIYIRNGLLACKVTAYIFFCNIYVSILFLCCISCDRFVAVVYRRRTAILISACIFILVGIVHYPVFQMDSRIAGYYYARFTVGFAIPLSIIAFTNHRIFRSIKQSAAQKAKVKHSAIAVVVIFLVCFAPYHLVLLVKAAAFSYMCGLEERLYTASVVFLCLSTVNGVADPIIYVLATDHSRQEVSRIHKGW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FEESRIVLVVVYSAVCTLGVPANCLTAWLALLQ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</v>
      </c>
      <c r="M276" s="4" t="str">
        <f t="shared" si="108"/>
        <v>CFD</v>
      </c>
      <c r="N276" s="4" t="str">
        <f t="shared" si="109"/>
        <v>MDSRIAGYYYARFTVGFAIPLSIIAFTNHRIFRSIKQ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TDHSRQEVSRIHKGW</v>
      </c>
      <c r="R276" s="5">
        <f>VLOOKUP($A276,'SegEnds_NonXtal_Prot#'!$A:$AL,3,FALSE)</f>
        <v>38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192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179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326</v>
      </c>
      <c r="AP276" s="5">
        <f t="shared" si="113"/>
        <v>32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24</v>
      </c>
      <c r="AW276" s="4">
        <f t="shared" si="120"/>
        <v>2</v>
      </c>
      <c r="AX276" s="4">
        <f t="shared" si="121"/>
        <v>36</v>
      </c>
      <c r="AY276" s="4">
        <f t="shared" si="122"/>
        <v>38</v>
      </c>
      <c r="AZ276" s="4">
        <f t="shared" si="123"/>
        <v>32</v>
      </c>
      <c r="BA276" s="4">
        <f t="shared" si="124"/>
        <v>14</v>
      </c>
    </row>
    <row r="277" spans="1:53" x14ac:dyDescent="0.2">
      <c r="A277" s="1" t="str">
        <f>'SegEnds_NonXtal_Prot#'!A269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'SegEnds_NonXtal_Prot#'!A270</f>
        <v>gp146_human</v>
      </c>
      <c r="B278" s="1" t="str">
        <f t="shared" si="100"/>
        <v>QDLQLGLSLLSLLGLVVGVPVGLCYNALLVLANLHSKYFVNMAVAGLVLSALAPVHLLGPPSSRGGEVHVALQIPFNVSSLVAMYSTALLSLDHYIERALSVYNTRHVCGFVWGGALLTSFSSLLFYSTRALECAKMQNAEAADATLVFIGYVVPALATLYALVLLSRVRREDRDTGRLEPSAHRLLVATVCTQFGLWTPHYLILLGHTVIISRDAHYLGLLHFVKDFSKLLAFSSSFVTPLLYRYMNQSFPSKLQRLM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QDLQLGLSLLSLLGLVVGVPVGLCYNALLVLANLHSK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STRALECAKMQNAEAADATLVFIGYVVPALATLYALVLLSRVRRED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</v>
      </c>
      <c r="R278" s="5">
        <f>VLOOKUP($A278,'SegEnds_NonXtal_Prot#'!$A:$AL,3,FALSE)</f>
        <v>20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172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56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311</v>
      </c>
      <c r="AP278" s="5">
        <f t="shared" si="113"/>
        <v>36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45</v>
      </c>
      <c r="AY278" s="4">
        <f t="shared" si="122"/>
        <v>40</v>
      </c>
      <c r="AZ278" s="4">
        <f t="shared" si="123"/>
        <v>32</v>
      </c>
      <c r="BA278" s="4">
        <f t="shared" si="124"/>
        <v>11</v>
      </c>
    </row>
    <row r="279" spans="1:53" x14ac:dyDescent="0.2">
      <c r="A279" s="1" t="str">
        <f>'SegEnds_NonXtal_Prot#'!A271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'SegEnds_NonXtal_Prot#'!A272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APASGPPSRRVRLVFLGVILVVAVAGNTTVLCRLCGGRKMDFLLVQLALADLYACGGTALSQLAWELAATGDLACRFLQLLQASGRGASAHLVVLIALERRRAVRLRPLPARALAALGWLLALLLALPPAFVVRWHLQVYAFYEAVAGFVAPVTVLGVACGHLLSVWWRHRPQAPAPAPSALPRAKVQSLKMSLLLALLFVGCELPYFAARLAAAWSGPAGDWEGEGLSAALRVVAMANSALNPFVYLFFQAGDCRLRRQLRK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GPAGDWEGEGLSAALRVVAMANSALNPFVYLFF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323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32</v>
      </c>
      <c r="BA280" s="4">
        <f t="shared" si="124"/>
        <v>12</v>
      </c>
    </row>
    <row r="281" spans="1:53" x14ac:dyDescent="0.2">
      <c r="A281" s="1" t="str">
        <f>'SegEnds_NonXtal_Prot#'!A273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'SegEnds_NonXtal_Prot#'!A274</f>
        <v>gp176_human</v>
      </c>
      <c r="B282" s="1" t="str">
        <f t="shared" si="100"/>
        <v>RQFTTTVQVVIFIGSLLGNFMVLWSTCRTSVTNRFIKNLACSGICASLVCVPFDIILSTSPYTMLFCKVVKFLHKVFCSVTILSFPAIALDRYYSVLYSDAKSRELVMYIWAHAVVASVPVFAVTLGHLVYVLVYNITTVIVPVVVVFLFLILIRRALSASQKKKVIISIPYASQREAELHATLLSMVMVFILCSVPYATLVVYQTVLSVFLLLTAVWLPKVSLLANPVLFLTVNKSVRKCLIGTLVQLHH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28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41</v>
      </c>
      <c r="AY282" s="4">
        <f t="shared" si="122"/>
        <v>40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'SegEnds_NonXtal_Prot#'!A275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'SegEnds_NonXtal_Prot#'!A276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11</v>
      </c>
    </row>
    <row r="285" spans="1:53" x14ac:dyDescent="0.2">
      <c r="A285" s="1" t="str">
        <f>'SegEnds_NonXtal_Prot#'!A277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'SegEnds_NonXtal_Prot#'!A278</f>
        <v>gpr63_human</v>
      </c>
      <c r="B286" s="1" t="str">
        <f t="shared" si="100"/>
        <v>LPLQITLSAIMIFILFVSFLGNLVVCLMVYQKSAINILLASLAFADMLLAVLNMPFALVTILTTGKFFCRVSAMFFWLFVIEGVAILLIISIDRFLIIVQNPYRAKVLIAVSWATSFCVAFPLAVYQAYVILISLISFFIPFLVILYSFMGILNTLRHNALRIHSYPSIDMGFKTRAFTTILILFAVFIVCWAPFTTYSLVATFSFFEISTWLLWLCYLKSALNPLIYYWRIKKFHDACLDMMP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LPLQITLSAIMIFILFVSFLGNLVVCLMVYQK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FFEISTWLLWLCYLKSALNPLIYYWR</v>
      </c>
      <c r="Q286" s="4" t="str">
        <f t="shared" si="112"/>
        <v>IKKFHDACLDMMP</v>
      </c>
      <c r="R286" s="5">
        <f>VLOOKUP($A286,'SegEnds_NonXtal_Prot#'!$A:$AL,3,FALSE)</f>
        <v>78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349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215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387</v>
      </c>
      <c r="AP286" s="5">
        <f t="shared" si="113"/>
        <v>31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24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25</v>
      </c>
      <c r="BA286" s="4">
        <f t="shared" si="124"/>
        <v>12</v>
      </c>
    </row>
    <row r="287" spans="1:53" x14ac:dyDescent="0.2">
      <c r="A287" s="1" t="str">
        <f>'SegEnds_NonXtal_Prot#'!A280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'SegEnds_NonXtal_Prot#'!A281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'SegEnds_NonXtal_Prot#'!A282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'SegEnds_NonXtal_Prot#'!A283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'SegEnds_NonXtal_Prot#'!A284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'SegEnds_NonXtal_Prot#'!A285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'SegEnds_NonXtal_Prot#'!A286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'SegEnds_NonXtal_Prot#'!A287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'SegEnds_NonXtal_Prot#'!A288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'SegEnds_NonXtal_Prot#'!A289</f>
        <v>npy2r_human</v>
      </c>
      <c r="B296" s="1" t="str">
        <f t="shared" si="100"/>
        <v>QVVLILAYCSIILLGVIGNSLVIHVVIKFTVTNFFIANLAVADLLVNTLCLPFTLTYTLMGGPVLCHLVPYAQGLAVQVSTITLTVIALDRHRCIVYSKRISFLIIGLAWGISALLASPLAIFRIYGTVYSLSSLLILYVLPLGIISFSYTRIWSKLKNHVSPGNDHYHQRRQKTTKMLVCVVVVFAVSWLPLHAFQLAVDIDDLKEYKLIFTVFHIIAMCSTFANPLLYGWMNSNYRKAFLSAFRCEQR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NDHYHQRRQKTTKMLVCVVVVFAVSWLPLHAFQLAVDID</v>
      </c>
      <c r="P296" s="4" t="str">
        <f t="shared" si="111"/>
        <v>DLKEYKLIFTVFHIIAMCSTFANPLLYGWM</v>
      </c>
      <c r="Q296" s="4" t="str">
        <f t="shared" si="112"/>
        <v>NSNYRKAFLSAFRCEQR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256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345</v>
      </c>
      <c r="AP296" s="5">
        <f t="shared" si="113"/>
        <v>28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38</v>
      </c>
      <c r="AZ296" s="4">
        <f t="shared" si="123"/>
        <v>29</v>
      </c>
      <c r="BA296" s="4">
        <f t="shared" si="124"/>
        <v>16</v>
      </c>
    </row>
    <row r="297" spans="1:53" x14ac:dyDescent="0.2">
      <c r="A297" s="1" t="str">
        <f>'SegEnds_NonXtal_Prot#'!A290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'SegEnds_NonXtal_Prot#'!A291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'SegEnds_NonXtal_Prot#'!A292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'SegEnds_NonXtal_Prot#'!A293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'SegEnds_NonXtal_Prot#'!A294</f>
        <v>oxyr_human</v>
      </c>
      <c r="B301" s="1" t="str">
        <f t="shared" si="100"/>
        <v>ARVEVAVLCLILLLALSGNACVLLALRTTSRLFFFMKHLSIADLVVAVFQVLPQLLWDIYGPDLLCRLVKYLQVVGMFASTYLLLLMSLDRCLAICQRRRTDRLAVLATWLGCLVASAPQVHIFWGPKAYITWITLAVYIVPVIVLAACYGLISFKIWQNLRLKTAAAKLISKAKIRTVKMTFIIVLAFIVCWTPFFFVQMWSVWDEASAFIIVMLLASLNSCCNPWIYMLFTGHLFHELVQRFLCCSA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TGHLFHELVQRFLCCSA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16</v>
      </c>
    </row>
    <row r="302" spans="1:53" x14ac:dyDescent="0.2">
      <c r="A302" s="1" t="str">
        <f>'SegEnds_NonXtal_Prot#'!A295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'SegEnds_NonXtal_Prot#'!A297</f>
        <v>rl3r1_human</v>
      </c>
      <c r="B303" s="1" t="str">
        <f t="shared" si="100"/>
        <v>EARVRILISVVYWVVCALGLAGNLLVLYLMKSMKSSINLFVTNLALTDFQFVLTLPFWAVENALDGKAMCKIVSMVTSMNMYASVFFLTAMSVTRYHSVASCCFSAKALCVWIWALAALASLPSAIFSWLGLYHSQKVLLGFVLPLGIIILCYLLLVRFIADRRAAGTKRPTGASARRLSKVTKSVTIVVLSFFLCWLPNQALTTWSILIKFNSQEYFLCQVYAFPVSVCLAHSNSCLNPVLYCLVRREFRKALKSLLWRI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KSSINLFVTNLALTDFQFVLTLPFWAVENALD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145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31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'SegEnds_NonXtal_Prot#'!A298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'SegEnds_NonXtal_Prot#'!A303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'SegEnds_NonXtal_Prot#'!A304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'SegEnds_NonXtal_Prot#'!A305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QEILNEEKKSKVHYHVAVIINYLGHCISLVALLVAFVLFLRLCLRNIIHWNLISAFILRNATWFVVQLTVGWCRLVTAAYNYFHVTNFFWMFGEGCYLHTAIVLLRKWMFICIGWGVPFPIIVAWAIGKLYYDTDYIYQGPMILVLLINFIFLFNIVRILMTKLSETIQYRKAVKATLVLLPLLGITYMLFFVEVSRVVFIYFNSFLESFQGFFVSVFYCFLNSEVRSAIRKRWHRWQDKHSIRARVA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EVSRVVFIYFNSFLESFQGFFVSVFYCFL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338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28</v>
      </c>
      <c r="BA307" s="4">
        <f t="shared" si="124"/>
        <v>25</v>
      </c>
    </row>
    <row r="308" spans="1:53" x14ac:dyDescent="0.2">
      <c r="A308" s="1" t="str">
        <f>'SegEnds_NonXtal_Prot#'!A306</f>
        <v>crfr2_human</v>
      </c>
      <c r="B308" s="1" t="str">
        <f t="shared" si="100"/>
        <v>PILDDKQRKYDLHYRIALVVNYLGHCVSVAALVAAFLLFLALCLRNVIHWNLITTFILRNVMWFLLQLVEVWCRCITTIFNYFVVTNFFWMFVEGCYLHTAIVMRKCLFLFIGWCIPFPIIVAWAIGKLYYEVDYIYQGPIILVLLINFVFLFNIVRILMTKLRASETIQYRKAVKATLVLLPLLGITYMLFFVDLSQIMFIYFNSFLQSFQGFFVSVFYCFFNGEVRSAVRKRWHRWQDHHSLRVPMA</v>
      </c>
      <c r="C308" s="29" t="str">
        <f>IF(ISERROR(MATCH(A308,'SegEnds_Xtal_Prot#'!B:B, 0)), "NoXtal", "Xtal")</f>
        <v>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RKCLFLFIGWCIPFPIIVAWAIGKLYYE</v>
      </c>
      <c r="M308" s="4" t="str">
        <f t="shared" si="108"/>
        <v>CWF</v>
      </c>
      <c r="N308" s="4" t="str">
        <f t="shared" si="109"/>
        <v>VDYIYQGPIILVLLINFVFLFNIVRILMTKLRA</v>
      </c>
      <c r="O308" s="4" t="str">
        <f t="shared" si="110"/>
        <v>SETIQYRKAVKATLVLLPLLGITYMLFFV</v>
      </c>
      <c r="P308" s="4" t="str">
        <f t="shared" si="111"/>
        <v>DLSQIMFIYFNSFLQSFQGFFVSVFYCFF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223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334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296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27</v>
      </c>
      <c r="AW308" s="4">
        <f t="shared" si="120"/>
        <v>2</v>
      </c>
      <c r="AX308" s="4">
        <f t="shared" si="121"/>
        <v>32</v>
      </c>
      <c r="AY308" s="4">
        <f t="shared" si="122"/>
        <v>28</v>
      </c>
      <c r="AZ308" s="4">
        <f t="shared" si="123"/>
        <v>28</v>
      </c>
      <c r="BA308" s="4">
        <f t="shared" si="124"/>
        <v>25</v>
      </c>
    </row>
    <row r="309" spans="1:53" x14ac:dyDescent="0.2">
      <c r="A309" s="1" t="str">
        <f>'SegEnds_NonXtal_Prot#'!A307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'SegEnds_NonXtal_Prot#'!A308</f>
        <v>ghrhr_human</v>
      </c>
      <c r="B310" s="1" t="str">
        <f t="shared" si="100"/>
        <v>PLELLAEEESYFSTVKIIYTVGHSISIVALFVAITILVALCPRNYVHTQLFTTFILKAGAVFLKDAALTVLCKVSVAASHFATMTNFSWLLAEAVYLNCLLASRAFWWLVLAGWGLPVLFTGTWVSCKLAFETSPYWWIIKGPIVLSVGVNFGLFLNIIRILVRKLHTQSQYWRLSKSTLFLIPLFGIHYIIFNFLLGIRLPLELGLGSFQGFIVAILYCFLNQEVRTEISRKWHGHDPELLPAWRTR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PLELLAEEESYFSTVKIIYTVGHSISIVALFVAITILVAL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TSPYWWIIKGPIVLSVGVNFGLFLNIIRILVRKL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115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199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278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39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34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'SegEnds_NonXtal_Prot#'!A309</f>
        <v>gipr_human</v>
      </c>
      <c r="B311" s="1" t="str">
        <f t="shared" si="100"/>
        <v>FLDQRLILERLQVMYTVGYSLSLATLLLALLILSLFCTRNYIHINLFTSFMLRAAAILSRDRLLAACRTAQIVTQYCVGANYTWLLVEGVYLHSLLVLGHFRYYLLLGWGAPALFVIPWVIVRYLYEEVKAIWWIIRTPILMTILINFLIFIRILGILLSKLRTDYRLRLARSTLTLVPLLGVHEVVFAPGALRFAKLGFEIFLSSFQGFLVSVLYCFINKEVQSEIRRGWHHCRLRRSLGEEQR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EVKAIWWIIRTPILMTILINFLIFIRILGILLSKLRT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291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36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'SegEnds_NonXtal_Prot#'!A310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35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'SegEnds_NonXtal_Prot#'!A311</f>
        <v>glp2r_human</v>
      </c>
      <c r="B313" s="1" t="str">
        <f t="shared" si="100"/>
        <v>NVDRYALLSTLQLMYTVGYSFSLISLFLALTLLLFLCTRNYIHMNLFASFILRTLAVLVKDVVFTSCRSVQVLLHYFVGANYLWLLVEGLYLHTLLEPRLWPRYLLLGWAFPVLFVVPWGFARAHLEGNKKIWWIIRGPMMLCVTVNFFIFLKILKLLISKLKADYKYRLAKSTLVLIPLLGVHEILFSFGFAKLIRLFIQLTLSSFHGFLVALQYGFANGEVKAELRKYWVRFLLARHSGCRAC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GNKKIWWIIRGPMMLCVTVNFFIFLKILKLLISKLKA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335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36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'SegEnds_NonXtal_Prot#'!A312</f>
        <v>glr_human</v>
      </c>
      <c r="B314" s="1" t="str">
        <f t="shared" si="100"/>
        <v>QKEVAKMYSSFQVMYTVGYSLSLGALLLALAILGGLCTRNAIHANLFASFVLKASSVLVIDGLLRTRYSAVAGCRVAAVFMQYGIVANYCWLLVEGLYLHNLLGLSFFSLYLGIGWGAPMLFVVPWAVVKCLFEDNMGFWWILRFPVFLAILINFFIFVRIVQLLVAKLRADYKFRLAKSTLTLIPLLGVHEVVFAFQGTLRSAKLFFDLFLSSFQGLLVAVLYCFLNKEVQSELRRRWHRWRLGKVLWEERN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DNMGFWWILRFPVFLAILINFFIFVRIVQLLVAKLRA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299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36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'SegEnds_NonXtal_Prot#'!A313</f>
        <v>pacr_human</v>
      </c>
      <c r="B315" s="1" t="str">
        <f t="shared" si="100"/>
        <v>YESETGDQDYYYLSVKALYTVGYSTSLVTLTTAMVILCRFCTRNFIHMNLFVSFMLRAISVFIKDWILTVECKAVMVFFHYCVVSNYFWLFIEGLYLFTLLVERYFYWYTIIGWGTPTVCVTVWATLRLYFDSTALWWVIKGPVVGSIMVNFVLFIGIIVILVQKLNESSIYLRLARSTLLLIPLFGIHYTVFAFSKRERLVFELGLGSFQGFVVAVLYCFLNGEVQAEIKRKWRSWKVNRYFAVDFK</v>
      </c>
      <c r="C315" s="29" t="str">
        <f>IF(ISERROR(MATCH(A315,'SegEnds_Xtal_Prot#'!B:B, 0)), "NoXtal", "Xtal")</f>
        <v>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STALWWVIKGPVVGSIMVNFVLFIGIIVILVQKL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223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302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34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'SegEnds_NonXtal_Prot#'!A314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'SegEnds_NonXtal_Prot#'!A315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'SegEnds_NonXtal_Prot#'!A316</f>
        <v>sctr_human</v>
      </c>
      <c r="B318" s="1" t="str">
        <f t="shared" si="100"/>
        <v>NDSSNEKRHSYLLKLKVMYTVGYSSSLVMLLVALGILCAFCTRNYIHMHLFVSFILRALSNFIKDAVLRAGCKLVMVLFQYCIMANYSWLLVEGLYLHTLLAIKYLQGFVAFGWGSPAIFVALWAIARHFLENASIWWIIRGPVILSILINFILFINILRILMRKLNEVSHYKRLARSTLLLIPLFGIHYIVFAFSMEIQLFFELALGSFQGLVVAVLYCFLNGEVQLEVQKKWQQWHLREFPLHPVA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NDSSNEKRHSYLLKLKVMYTVGYSSSLVMLLVALGILCAF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RAGCKLVMVLFQYCIMANYSWLLVEGLYLHTLLAI</v>
      </c>
      <c r="K318" s="4" t="str">
        <f t="shared" si="106"/>
        <v/>
      </c>
      <c r="L318" s="4" t="str">
        <f t="shared" si="107"/>
        <v>KYLQGFVAFGWGSPAIFVALWAIARHFLE</v>
      </c>
      <c r="M318" s="4" t="str">
        <f t="shared" si="108"/>
        <v>CWD</v>
      </c>
      <c r="N318" s="4" t="str">
        <f t="shared" si="109"/>
        <v>NASIWWIIRGPVILSILINFILFINILRILMRKL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128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212</v>
      </c>
      <c r="W318" s="5" t="str">
        <f>VLOOKUP($A318,'SegEnds_NonXtal_Prot#'!$A:$AL,18,FALSE)</f>
        <v>-</v>
      </c>
      <c r="X318" s="5">
        <f>VLOOKUP($A318,'SegEnds_NonXtal_Prot#'!$A:$AL,21,FALSE)</f>
        <v>253</v>
      </c>
      <c r="Y318" s="5">
        <f>VLOOKUP($A318,'SegEnds_NonXtal_Prot#'!$A:$AL,24,FALSE)</f>
        <v>285</v>
      </c>
      <c r="Z318" s="5">
        <f>VLOOKUP($A318,'SegEnds_NonXtal_Prot#'!$A:$AL,27,FALSE)</f>
        <v>291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39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34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'SegEnds_NonXtal_Prot#'!A317</f>
        <v>vipr1_human</v>
      </c>
      <c r="B319" s="1" t="str">
        <f t="shared" si="100"/>
        <v>AASLDEQQTMFYGSVKTGYTIGYGLSLATLLVATAILSLFCTRNYIHMHLFISFILRAAAVFIKDLALSVGCKAAMVFFQYCVMANFFWLLVEGLYLYTLLAVKYFWGYILIGWGVPSTFTMVWTIARIHFENSSLWWIIKGPILTSILVNFILFICIIRILLQKLSDSSPYSRLARSTLLLIPLFGVHYIMFAFFPEVKMVFELVVGSFQGFVVAILYCFLNGEVQAELRRKWRRWHLQGVLGWNPK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SVGCKAAMVFFQYCVMANFFWLLVEGLYLYTLLAV</v>
      </c>
      <c r="K319" s="4" t="str">
        <f t="shared" si="106"/>
        <v/>
      </c>
      <c r="L319" s="4" t="str">
        <f t="shared" si="107"/>
        <v>KYFWGYILIGWGVPSTFTMVWTIARIHFE</v>
      </c>
      <c r="M319" s="4" t="str">
        <f t="shared" si="108"/>
        <v>CWD</v>
      </c>
      <c r="N319" s="4" t="str">
        <f t="shared" si="109"/>
        <v>NSSLWWIIKGPILTSILVNFILFICIIRILLQKL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212</v>
      </c>
      <c r="W319" s="5" t="str">
        <f>VLOOKUP($A319,'SegEnds_NonXtal_Prot#'!$A:$AL,18,FALSE)</f>
        <v>-</v>
      </c>
      <c r="X319" s="5">
        <f>VLOOKUP($A319,'SegEnds_NonXtal_Prot#'!$A:$AL,21,FALSE)</f>
        <v>253</v>
      </c>
      <c r="Y319" s="5">
        <f>VLOOKUP($A319,'SegEnds_NonXtal_Prot#'!$A:$AL,24,FALSE)</f>
        <v>285</v>
      </c>
      <c r="Z319" s="5">
        <f>VLOOKUP($A319,'SegEnds_NonXtal_Prot#'!$A:$AL,27,FALSE)</f>
        <v>290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34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'SegEnds_NonXtal_Prot#'!A318</f>
        <v>vipr2_human</v>
      </c>
      <c r="B320" s="1" t="str">
        <f t="shared" si="100"/>
        <v>SDPEDESKITFYILVKAIYTLGYSVSLMSLATGSIILCLFCTRNYIHLNLFLSFILRAISVLVKDDVLWVGCKLSLVFLQYCIMANFFWLLVEGLYLHTLLVARCFLAYLLIGWGLPTVCIGAWTAARLYLEHSVPWWVIRIPILISIIVNFVLFISIIRILLQKLNDQSQYKRLAKSTLLLIPLFGVHYMVFAVFSKYQILFELCLGSFQGLVVAVLYCFLNSEVQCELKRKWRSRCPTPSASRDYR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WVGCKLSLVFLQYCIMANFFWLLVEGLYLHTLLVA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HSVPWWVIRIPILISIIVNFVLFISIIRILLQKL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199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277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34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'SegEnds_NonXtal_Prot#'!A319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SLPRYPGEFLHPVVYACTAVMLLCLLASFVTYIVHQSAISRKGRHTLLNFCFHAALTFTVFAGGIILCQAVGIVLHYSTLSTMLWIGVTARNIYKQVTKQPLLRFYLVSGGVPFIICGVTAATNIRNYWEPSLGAFYGPAAIITLVTCVYFLGTYVQLRRHPSFQAQLRAAAFTLFLFTATWAFGALAFLDMVFSCLYGAFCVTLGLFVLIHHCAKREDVWQCWWACCPPRKD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SFQAQLRAAAFTLFLFTATWAFGALA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276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25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'SegEnds_NonXtal_Prot#'!A320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'SegEnds_NonXtal_Prot#'!A321</f>
        <v>agra3_human</v>
      </c>
      <c r="B323" s="1" t="str">
        <f t="shared" si="125"/>
        <v>ELYTQAASLLHPVVYTTAIILLLCLLAVIVSYIYHHSLISLKSWHMLVNLCFHIFLTCVVFVGGISICQAVGIILHYSTLATVLWVGVTARNIYKQVTKPMLRFYLIGGGIPIIVCGITAAANIKNYWEPSLGAFYGPASFITFVNCMYFLSIFIQLKRHPTFHSQLLGASLTLLLYVALWMFGALPLDLVFSFVFGATSLSFSAFFVVHHCVNREDVRLAWIMTCCPGRS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873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27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'SegEnds_NonXtal_Prot#'!A322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'SegEnds_NonXtal_Prot#'!A323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'SegEnds_NonXtal_Prot#'!A324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'SegEnds_NonXtal_Prot#'!A326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'SegEnds_NonXtal_Prot#'!A327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'SegEnds_NonXtal_Prot#'!A328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'SegEnds_NonXtal_Prot#'!A329</f>
        <v>agre4_human</v>
      </c>
      <c r="B330" s="1" t="str">
        <f t="shared" si="125"/>
        <v>VLVALAPKEDPVLTVITQVGLTISLLCLFLAILTFLLCNTSTSLHLELSLCLFLAHLLFLTGINRVLCSIIAGLLHFLYLACFTWMLLEGLHLFLTVRNFKKRFMYPVGYGIPAVIIAVSAIVGPQNYDKGFIWSFMGPVAVIILINLVFYFQVLWILRSKLDTRVMTFKAISQLFILGCSWGLGFFKTIGSIIAYSFTIINTLQGVLLFVVHCLLNRQVRLIILSVISLVPK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296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28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'SegEnds_NonXtal_Prot#'!A330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'SegEnds_NonXtal_Prot#'!A332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'SegEnds_NonXtal_Prot#'!A333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'SegEnds_NonXtal_Prot#'!A334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'SegEnds_NonXtal_Prot#'!A335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'SegEnds_NonXtal_Prot#'!A336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'SegEnds_NonXtal_Prot#'!A337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'SegEnds_NonXtal_Prot#'!A338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'SegEnds_NonXtal_Prot#'!A339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'SegEnds_NonXtal_Prot#'!A340</f>
        <v>agrg6_human</v>
      </c>
      <c r="B340" s="1" t="str">
        <f t="shared" si="125"/>
        <v>SASQLDARNTKVLTFISYIGCGISAIFSAATLLTYVAFRDYPSKILMNLSTALLFLNLLFLLDGWIGLCIAVAVLLHFFLLATFTWMGLEAIHMYIALVKYILKFCIIGWGLPALVVSVVLASRNNNEPVIFYVTCAGYFGVMFFLNIAMFIVVMVQICGRNEVLRNLRSVVSLTFLLGMTWGFAFFNIPFMYLFSIFNSLQGLFIFIFHCAMKENVQKQWRQHLCCGRF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970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27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'SegEnds_NonXtal_Prot#'!A341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'SegEnds_NonXtal_Prot#'!A342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'SegEnds_NonXtal_Prot#'!A343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'SegEnds_NonXtal_Prot#'!A344</f>
        <v>agrl3_human</v>
      </c>
      <c r="B344" s="1" t="str">
        <f t="shared" si="125"/>
        <v>EVKHSDAVHDLLLDVITWVGILLSLVCLLICIFTFCFFSDRNTIHKNLCISLFVAELLFLIGINRIACAVFAALLHFFFLAAFTWMFLEGVQLYIMLVERRKYFYLVGYGMPALIVAVSAAVDYRSYDTYFIWSFIGPATLIIMLNVIFLGIALYKMFHHTNIKSWVIGAIALLCLLGLTWAFGLMTVIMAYLFTIFNSLQGMFIFIFHCVLQKKVRKEYGKCLRTHCC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966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27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'SegEnds_NonXtal_Prot#'!A345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'SegEnds_NonXtal_Prot#'!A346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'SegEnds_NonXtal_Prot#'!A347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'SegEnds_NonXtal_Prot#'!A348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'SegEnds_NonXtal_Prot#'!A349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'SegEnds_NonXtal_Prot#'!A350</f>
        <v>celr3_human</v>
      </c>
      <c r="B350" s="1" t="str">
        <f t="shared" si="125"/>
        <v>SPRERLEGDLELLAVFTHVVVAVSVAALVLTAAILLSLSNVRGIHANVAAALGVAELLFLLGIHRLVCTAVAILLHYFFLSTFAWLFVQGLHLYRMQVEAMRFYHALGWGVPAVLLGLAVGLDPEGYHEPLIWSFAGPVVLVIVMNGTMFLLAARTSCSTGTSALTLRSSFLLLLLVSASWLFGLLILAFHYLHAGLCGLQGLAVLLLFCVLNADARAAWMPACLGRKA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2641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27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'SegEnds_NonXtal_Prot#'!A352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'SegEnds_NonXtal_Prot#'!A353</f>
        <v>gabr1_human</v>
      </c>
      <c r="B352" s="1" t="str">
        <f t="shared" si="125"/>
        <v>KLFISVSVLSSLGIVLAVVCLSFNIYNQPNLNNLTAVGCSLALAAVFPLGFPFVCQARLWLLGLGFSLGYGSMFTKIWWVHTVFEPWKLYATVGLLVGMDVLTLAIWQIVDMNTWLGIFYGYKGLLLLLGIFLAYETDHRAVGMAIYNVAVLCLITAPVTMIAAFAFASLAIVFSSYITLVVLFVPKMRRLITRGEWQSEAQDTMK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659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'SegEnds_NonXtal_Prot#'!A354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'SegEnds_NonXtal_Prot#'!A355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'SegEnds_NonXtal_Prot#'!A356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'SegEnds_NonXtal_Prot#'!A357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'SegEnds_NonXtal_Prot#'!A358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'SegEnds_NonXtal_Prot#'!A359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'SegEnds_NonXtal_Prot#'!A360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'SegEnds_NonXtal_Prot#'!A361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'SegEnds_NonXtal_Prot#'!A363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'SegEnds_NonXtal_Prot#'!A364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'SegEnds_NonXtal_Prot#'!A365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'SegEnds_NonXtal_Prot#'!A366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'SegEnds_NonXtal_Prot#'!A367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'SegEnds_NonXtal_Prot#'!A368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'SegEnds_NonXtal_Prot#'!A369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'SegEnds_NonXtal_Prot#'!A371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'SegEnds_NonXtal_Prot#'!A372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'SegEnds_NonXtal_Prot#'!A373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'SegEnds_NonXtal_Prot#'!A375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'SegEnds_NonXtal_Prot#'!A376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'SegEnds_NonXtal_Prot#'!A377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'SegEnds_NonXtal_Prot#'!A378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'SegEnds_NonXtal_Prot#'!A379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'SegEnds_NonXtal_Prot#'!A380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'SegEnds_NonXtal_Prot#'!A381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'SegEnds_NonXtal_Prot#'!A382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'SegEnds_NonXtal_Prot#'!A383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'SegEnds_NonXtal_Prot#'!A387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'SegEnds_NonXtal_Prot#'!A384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'SegEnds_NonXtal_Prot#'!A389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'SegEnds_NonXtal_Prot#'!A390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'SegEnds_NonXtal_Prot#'!A388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'SegEnds_NonXtal_Prot#'!A391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'SegEnds_NonXtal_Prot#'!A393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'SegEnds_NonXtal_Prot#'!A394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'SegEnds_NonXtal_Prot#'!A395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'SegEnds_NonXtal_Prot#'!A396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'SegEnds_NonXtal_Prot#'!A397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'SegEnds_NonXtal_Prot#'!A398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'SegEnds_NonXtal_Prot#'!A399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'SegEnds_NonXtal_Prot#'!A400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'SegEnds_NonXtal_Prot#'!A402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'SegEnds_NonXtal_Prot#'!A403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'SegEnds_NonXtal_Prot#'!A404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'SegEnds_NonXtal_Prot#'!A405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'SegEnds_NonXtal_Prot#'!A406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'SegEnds_NonXtal_Prot#'!A408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'SegEnds_NonXtal_Prot#'!A409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'SegEnds_NonXtal_Prot#'!A410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'SegEnds_NonXtal_Prot#'!A411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'SegEnds_NonXtal_Prot#'!A412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'SegEnds_NonXtal_Prot#'!A413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'SegEnds_NonXtal_Prot#'!A414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'SegEnds_NonXtal_Prot#'!A415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5"/>
  <sheetViews>
    <sheetView workbookViewId="0">
      <selection activeCell="J416" sqref="J2:K41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1157</v>
      </c>
      <c r="B1" s="32" t="s">
        <v>1115</v>
      </c>
      <c r="C1" s="32" t="s">
        <v>1403</v>
      </c>
      <c r="D1" s="33" t="s">
        <v>1227</v>
      </c>
      <c r="E1" s="32" t="s">
        <v>1404</v>
      </c>
      <c r="F1" s="32" t="s">
        <v>1405</v>
      </c>
      <c r="G1" s="85" t="s">
        <v>1368</v>
      </c>
      <c r="H1" s="32" t="s">
        <v>1493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465</v>
      </c>
      <c r="B5" s="1" t="s">
        <v>158</v>
      </c>
      <c r="C5" t="s">
        <v>909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929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475</v>
      </c>
      <c r="B18" s="1" t="s">
        <v>1171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1186</v>
      </c>
      <c r="B22" s="1" t="s">
        <v>38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1196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1201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1194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1192</v>
      </c>
      <c r="B26" s="1" t="s">
        <v>32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1183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1190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1184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1185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1189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1182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1181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1187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1197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1191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1195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1413</v>
      </c>
      <c r="B38" s="1" t="s">
        <v>403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1193</v>
      </c>
      <c r="B39" s="1" t="s">
        <v>408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1176</v>
      </c>
      <c r="B41" s="1" t="s">
        <v>408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1177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1178</v>
      </c>
      <c r="B43" s="1" t="s">
        <v>403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1200</v>
      </c>
      <c r="B46" s="1" t="s">
        <v>403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1199</v>
      </c>
      <c r="B47" s="1" t="s">
        <v>403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1180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1198</v>
      </c>
      <c r="B49" s="1" t="s">
        <v>403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1179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1188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481</v>
      </c>
      <c r="B53" s="1" t="s">
        <v>202</v>
      </c>
      <c r="C53" t="s">
        <v>1171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484</v>
      </c>
      <c r="B54" s="1" t="s">
        <v>364</v>
      </c>
      <c r="C54" t="s">
        <v>1171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420</v>
      </c>
      <c r="B56" s="1" t="s">
        <v>403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466</v>
      </c>
      <c r="B58" s="1" t="s">
        <v>132</v>
      </c>
      <c r="C58" t="s">
        <v>917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474</v>
      </c>
      <c r="B59" s="1" t="s">
        <v>1171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459</v>
      </c>
      <c r="B60" s="1" t="s">
        <v>360</v>
      </c>
      <c r="C60" t="s">
        <v>1175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482</v>
      </c>
      <c r="B62" s="1" t="s">
        <v>1678</v>
      </c>
      <c r="C62" t="s">
        <v>352</v>
      </c>
      <c r="D62" s="28" t="str">
        <f>VLOOKUP(A62,Classification!$A:$D,2,FALSE)</f>
        <v>O</v>
      </c>
      <c r="E62" s="49" t="e">
        <f>VLOOKUP(B62,Classification!$A:$D,2,FALSE)</f>
        <v>#N/A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477</v>
      </c>
      <c r="B64" s="1" t="s">
        <v>278</v>
      </c>
      <c r="C64" t="s">
        <v>923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265</v>
      </c>
      <c r="B80" s="1" t="s">
        <v>191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126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248</v>
      </c>
      <c r="B86" s="1" t="s">
        <v>1174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281</v>
      </c>
      <c r="B104" s="1" t="s">
        <v>909</v>
      </c>
      <c r="C104" t="s">
        <v>909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909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909</v>
      </c>
      <c r="B106" s="1" t="s">
        <v>909</v>
      </c>
      <c r="C106" t="s">
        <v>909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909</v>
      </c>
      <c r="C107" t="s">
        <v>909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387</v>
      </c>
      <c r="B110" s="1" t="s">
        <v>191</v>
      </c>
      <c r="C110" t="s">
        <v>911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259</v>
      </c>
      <c r="B111" s="1" t="s">
        <v>34</v>
      </c>
      <c r="C111" t="s">
        <v>911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212</v>
      </c>
      <c r="B112" s="1" t="s">
        <v>173</v>
      </c>
      <c r="C112" t="s">
        <v>911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311</v>
      </c>
      <c r="B113" s="1" t="s">
        <v>311</v>
      </c>
      <c r="C113" t="s">
        <v>911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911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376</v>
      </c>
      <c r="B115" s="1" t="s">
        <v>138</v>
      </c>
      <c r="C115" t="s">
        <v>911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279</v>
      </c>
      <c r="B116" s="1" t="s">
        <v>126</v>
      </c>
      <c r="C116" t="s">
        <v>911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126</v>
      </c>
      <c r="C117" t="s">
        <v>911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911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911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911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911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911</v>
      </c>
      <c r="B122" s="1" t="s">
        <v>911</v>
      </c>
      <c r="C122" t="s">
        <v>911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126</v>
      </c>
      <c r="C123" t="s">
        <v>911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911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252</v>
      </c>
      <c r="B127" s="1" t="s">
        <v>202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175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237</v>
      </c>
      <c r="B134" s="1" t="s">
        <v>202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236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202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239</v>
      </c>
      <c r="B139" s="1" t="s">
        <v>160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374</v>
      </c>
      <c r="B141" s="1" t="s">
        <v>335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292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331</v>
      </c>
      <c r="B144" s="1" t="s">
        <v>371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202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175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175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175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170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170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403</v>
      </c>
      <c r="B167" s="1" t="s">
        <v>403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1171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201</v>
      </c>
      <c r="B172" s="1" t="s">
        <v>202</v>
      </c>
      <c r="C172" t="s">
        <v>1171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202</v>
      </c>
      <c r="B173" s="1" t="s">
        <v>202</v>
      </c>
      <c r="C173" t="s">
        <v>1171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Xtal</v>
      </c>
      <c r="J173" s="3"/>
    </row>
    <row r="174" spans="1:10" x14ac:dyDescent="0.2">
      <c r="A174" s="3" t="s">
        <v>1171</v>
      </c>
      <c r="B174" s="1" t="s">
        <v>1171</v>
      </c>
      <c r="C174" t="s">
        <v>1171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1171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175</v>
      </c>
      <c r="C176" t="s">
        <v>1171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203</v>
      </c>
      <c r="B177" s="1" t="s">
        <v>202</v>
      </c>
      <c r="C177" t="s">
        <v>1171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293</v>
      </c>
      <c r="B178" s="1" t="s">
        <v>360</v>
      </c>
      <c r="C178" t="s">
        <v>1171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273</v>
      </c>
      <c r="B183" s="1" t="s">
        <v>1174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263</v>
      </c>
      <c r="B186" s="1" t="s">
        <v>1175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266</v>
      </c>
      <c r="B187" s="1" t="s">
        <v>126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1172</v>
      </c>
      <c r="B194" s="1" t="s">
        <v>1172</v>
      </c>
      <c r="C194" t="s">
        <v>1172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198</v>
      </c>
      <c r="B195" s="1" t="s">
        <v>356</v>
      </c>
      <c r="C195" t="s">
        <v>1172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404</v>
      </c>
      <c r="B196" s="1" t="s">
        <v>408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411</v>
      </c>
      <c r="B197" s="1" t="s">
        <v>408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413</v>
      </c>
      <c r="B199" s="1" t="s">
        <v>408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408</v>
      </c>
      <c r="B200" s="1" t="s">
        <v>408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Xtal</v>
      </c>
      <c r="J200" s="3"/>
    </row>
    <row r="201" spans="1:10" x14ac:dyDescent="0.2">
      <c r="A201" s="3" t="s">
        <v>412</v>
      </c>
      <c r="B201" s="1" t="s">
        <v>408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219</v>
      </c>
      <c r="B230" s="1" t="s">
        <v>202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226</v>
      </c>
      <c r="B231" s="1" t="s">
        <v>352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245</v>
      </c>
      <c r="B232" s="1" t="s">
        <v>133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362</v>
      </c>
      <c r="B239" s="1" t="s">
        <v>364</v>
      </c>
      <c r="C239" t="s">
        <v>913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209</v>
      </c>
      <c r="B240" s="1" t="s">
        <v>127</v>
      </c>
      <c r="C240" t="s">
        <v>913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330</v>
      </c>
      <c r="B241" s="1" t="s">
        <v>913</v>
      </c>
      <c r="C241" t="s">
        <v>913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127</v>
      </c>
      <c r="C242" t="s">
        <v>913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Xtal</v>
      </c>
      <c r="J242" s="3"/>
    </row>
    <row r="243" spans="1:10" x14ac:dyDescent="0.2">
      <c r="A243" s="3" t="s">
        <v>913</v>
      </c>
      <c r="B243" s="1" t="s">
        <v>913</v>
      </c>
      <c r="C243" t="s">
        <v>913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310</v>
      </c>
      <c r="B244" s="1" t="s">
        <v>913</v>
      </c>
      <c r="C244" t="s">
        <v>913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216</v>
      </c>
      <c r="B245" s="1" t="s">
        <v>133</v>
      </c>
      <c r="C245" t="s">
        <v>913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318</v>
      </c>
      <c r="B246" s="1" t="s">
        <v>913</v>
      </c>
      <c r="C246" t="s">
        <v>913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319</v>
      </c>
      <c r="B247" s="1" t="s">
        <v>913</v>
      </c>
      <c r="C247" t="s">
        <v>913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256</v>
      </c>
      <c r="B248" s="1" t="s">
        <v>913</v>
      </c>
      <c r="C248" t="s">
        <v>913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224</v>
      </c>
      <c r="B249" s="1" t="s">
        <v>202</v>
      </c>
      <c r="C249" t="s">
        <v>913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321</v>
      </c>
      <c r="B250" s="1" t="s">
        <v>335</v>
      </c>
      <c r="C250" t="s">
        <v>915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268</v>
      </c>
      <c r="B251" s="1" t="s">
        <v>335</v>
      </c>
      <c r="C251" t="s">
        <v>915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300</v>
      </c>
      <c r="B252" s="1" t="s">
        <v>335</v>
      </c>
      <c r="C252" t="s">
        <v>915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915</v>
      </c>
      <c r="B254" s="1" t="s">
        <v>915</v>
      </c>
      <c r="C254" t="s">
        <v>915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384</v>
      </c>
      <c r="B255" s="1" t="s">
        <v>336</v>
      </c>
      <c r="C255" t="s">
        <v>915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360</v>
      </c>
      <c r="B256" s="1" t="s">
        <v>360</v>
      </c>
      <c r="C256" t="s">
        <v>915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200</v>
      </c>
      <c r="B257" s="1" t="s">
        <v>1175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251</v>
      </c>
      <c r="B258" s="1" t="s">
        <v>202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308</v>
      </c>
      <c r="B260" s="1" t="s">
        <v>356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205</v>
      </c>
      <c r="B263" s="1" t="s">
        <v>336</v>
      </c>
      <c r="C263" t="s">
        <v>917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382</v>
      </c>
      <c r="B264" s="1" t="s">
        <v>336</v>
      </c>
      <c r="C264" t="s">
        <v>917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385</v>
      </c>
      <c r="B265" s="1" t="s">
        <v>336</v>
      </c>
      <c r="C265" t="s">
        <v>917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917</v>
      </c>
      <c r="B266" s="1" t="s">
        <v>917</v>
      </c>
      <c r="C266" t="s">
        <v>917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337</v>
      </c>
      <c r="B267" s="1" t="s">
        <v>917</v>
      </c>
      <c r="C267" t="s">
        <v>917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381</v>
      </c>
      <c r="B268" s="1" t="s">
        <v>336</v>
      </c>
      <c r="C268" t="s">
        <v>917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397</v>
      </c>
      <c r="B269" s="1" t="s">
        <v>1175</v>
      </c>
      <c r="C269" t="s">
        <v>917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207</v>
      </c>
      <c r="B270" s="1" t="s">
        <v>336</v>
      </c>
      <c r="C270" t="s">
        <v>917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336</v>
      </c>
      <c r="C271" t="s">
        <v>917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210</v>
      </c>
      <c r="B272" s="1" t="s">
        <v>160</v>
      </c>
      <c r="C272" t="s">
        <v>917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217</v>
      </c>
      <c r="B273" s="1" t="s">
        <v>175</v>
      </c>
      <c r="C273" t="s">
        <v>1173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320</v>
      </c>
      <c r="B274" s="1" t="s">
        <v>335</v>
      </c>
      <c r="C274" t="s">
        <v>1173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299</v>
      </c>
      <c r="B275" s="1" t="s">
        <v>336</v>
      </c>
      <c r="C275" t="s">
        <v>1173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399</v>
      </c>
      <c r="B276" s="1" t="s">
        <v>312</v>
      </c>
      <c r="C276" t="s">
        <v>1173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218</v>
      </c>
      <c r="B277" s="1" t="s">
        <v>132</v>
      </c>
      <c r="C277" t="s">
        <v>1173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1173</v>
      </c>
      <c r="B278" s="1" t="s">
        <v>1173</v>
      </c>
      <c r="C278" t="s">
        <v>1173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396</v>
      </c>
      <c r="B279" s="1" t="s">
        <v>173</v>
      </c>
      <c r="C279" t="s">
        <v>1173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282</v>
      </c>
      <c r="B280" s="1" t="s">
        <v>336</v>
      </c>
      <c r="C280" t="s">
        <v>1173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394</v>
      </c>
      <c r="B281" s="1" t="s">
        <v>1173</v>
      </c>
      <c r="C281" t="s">
        <v>1173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398</v>
      </c>
      <c r="B282" s="1" t="s">
        <v>127</v>
      </c>
      <c r="C282" t="s">
        <v>1173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383</v>
      </c>
      <c r="B283" s="1" t="s">
        <v>336</v>
      </c>
      <c r="C283" t="s">
        <v>1173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919</v>
      </c>
      <c r="B284" s="1" t="s">
        <v>919</v>
      </c>
      <c r="C284" t="s">
        <v>919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332</v>
      </c>
      <c r="B285" s="1" t="s">
        <v>919</v>
      </c>
      <c r="C285" t="s">
        <v>919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285</v>
      </c>
      <c r="B290" s="1" t="s">
        <v>311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334</v>
      </c>
      <c r="B291" s="1" t="s">
        <v>919</v>
      </c>
      <c r="C291" t="s">
        <v>921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919</v>
      </c>
      <c r="C292" t="s">
        <v>921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921</v>
      </c>
      <c r="B293" s="1" t="s">
        <v>921</v>
      </c>
      <c r="C293" t="s">
        <v>921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270</v>
      </c>
      <c r="B294" s="1" t="s">
        <v>196</v>
      </c>
      <c r="C294" t="s">
        <v>1174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326</v>
      </c>
      <c r="B295" s="1" t="s">
        <v>1174</v>
      </c>
      <c r="C295" t="s">
        <v>1174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344</v>
      </c>
      <c r="B296" s="1" t="s">
        <v>1174</v>
      </c>
      <c r="C296" t="s">
        <v>1174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1174</v>
      </c>
      <c r="B297" s="1" t="s">
        <v>1174</v>
      </c>
      <c r="C297" t="s">
        <v>1174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267</v>
      </c>
      <c r="B298" s="1" t="s">
        <v>191</v>
      </c>
      <c r="C298" t="s">
        <v>1174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222</v>
      </c>
      <c r="B299" s="1" t="s">
        <v>1171</v>
      </c>
      <c r="C299" t="s">
        <v>1174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323</v>
      </c>
      <c r="B300" s="1" t="s">
        <v>1174</v>
      </c>
      <c r="C300" t="s">
        <v>1174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315</v>
      </c>
      <c r="B301" s="1" t="s">
        <v>314</v>
      </c>
      <c r="C301" t="s">
        <v>1174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215</v>
      </c>
      <c r="B302" s="1" t="s">
        <v>311</v>
      </c>
      <c r="C302" t="s">
        <v>1174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232</v>
      </c>
      <c r="B303" s="1" t="s">
        <v>1174</v>
      </c>
      <c r="C303" t="s">
        <v>1174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328</v>
      </c>
      <c r="B304" s="1" t="s">
        <v>325</v>
      </c>
      <c r="C304" t="s">
        <v>1175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369</v>
      </c>
      <c r="B305" s="1" t="s">
        <v>1175</v>
      </c>
      <c r="C305" t="s">
        <v>1175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359</v>
      </c>
      <c r="B306" s="1" t="s">
        <v>364</v>
      </c>
      <c r="C306" t="s">
        <v>1175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324</v>
      </c>
      <c r="B307" s="1" t="s">
        <v>133</v>
      </c>
      <c r="C307" t="s">
        <v>1175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247</v>
      </c>
      <c r="B308" s="1" t="s">
        <v>191</v>
      </c>
      <c r="C308" t="s">
        <v>1175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260</v>
      </c>
      <c r="B309" s="1" t="s">
        <v>260</v>
      </c>
      <c r="C309" t="s">
        <v>1175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Xtal</v>
      </c>
      <c r="J309" s="3"/>
    </row>
    <row r="310" spans="1:10" x14ac:dyDescent="0.2">
      <c r="A310" s="3" t="s">
        <v>244</v>
      </c>
      <c r="B310" s="1" t="s">
        <v>260</v>
      </c>
      <c r="C310" t="s">
        <v>1175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368</v>
      </c>
      <c r="B311" s="1" t="s">
        <v>325</v>
      </c>
      <c r="C311" t="s">
        <v>1175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325</v>
      </c>
      <c r="C312" t="s">
        <v>1175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327</v>
      </c>
      <c r="B313" s="1" t="s">
        <v>325</v>
      </c>
      <c r="C313" t="s">
        <v>1175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312</v>
      </c>
      <c r="B314" s="1" t="s">
        <v>312</v>
      </c>
      <c r="C314" t="s">
        <v>1175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Xtal</v>
      </c>
      <c r="J314" s="3"/>
    </row>
    <row r="315" spans="1:10" x14ac:dyDescent="0.2">
      <c r="A315" s="3" t="s">
        <v>208</v>
      </c>
      <c r="B315" s="1" t="s">
        <v>1175</v>
      </c>
      <c r="C315" t="s">
        <v>1175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1174</v>
      </c>
      <c r="C316" t="s">
        <v>1175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325</v>
      </c>
      <c r="B317" s="1" t="s">
        <v>325</v>
      </c>
      <c r="C317" t="s">
        <v>1175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1175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269</v>
      </c>
      <c r="B319" s="1" t="s">
        <v>1175</v>
      </c>
      <c r="C319" t="s">
        <v>1175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1175</v>
      </c>
      <c r="B320" s="1" t="s">
        <v>1175</v>
      </c>
      <c r="C320" t="s">
        <v>1175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242</v>
      </c>
      <c r="B321" s="1" t="s">
        <v>1175</v>
      </c>
      <c r="C321" t="s">
        <v>1175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372</v>
      </c>
      <c r="B322" s="1" t="s">
        <v>1175</v>
      </c>
      <c r="C322" t="s">
        <v>1175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322</v>
      </c>
      <c r="B323" s="1" t="s">
        <v>1174</v>
      </c>
      <c r="C323" t="s">
        <v>1175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9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314</v>
      </c>
      <c r="B324" s="1" t="s">
        <v>314</v>
      </c>
      <c r="C324" t="s">
        <v>1175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316</v>
      </c>
      <c r="B325" s="1" t="s">
        <v>314</v>
      </c>
      <c r="C325" t="s">
        <v>1175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223</v>
      </c>
      <c r="B326" s="1" t="s">
        <v>159</v>
      </c>
      <c r="C326" t="s">
        <v>1175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225</v>
      </c>
      <c r="B327" s="1" t="s">
        <v>1175</v>
      </c>
      <c r="C327" t="s">
        <v>1175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313</v>
      </c>
      <c r="B328" s="1" t="s">
        <v>311</v>
      </c>
      <c r="C328" t="s">
        <v>1175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329</v>
      </c>
      <c r="B329" s="1" t="s">
        <v>325</v>
      </c>
      <c r="C329" t="s">
        <v>1175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250</v>
      </c>
      <c r="B333" s="1" t="s">
        <v>915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386</v>
      </c>
      <c r="B334" s="1" t="s">
        <v>1597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1597</v>
      </c>
      <c r="B335" s="1" t="s">
        <v>1597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ref="G335" si="6">OR(D335=F335,AND(D335="T",F335="A"),AND(D335="B2",F335="B1"),D335="O")</f>
        <v>1</v>
      </c>
      <c r="H335" s="10" t="str">
        <f>IF(ISERROR(MATCH(A335,'SegEnds_Xtal_Prot#'!B:B, 0)), "NoXtal", "Xtal")</f>
        <v>Xtal</v>
      </c>
      <c r="J335" s="3"/>
    </row>
    <row r="336" spans="1:10" x14ac:dyDescent="0.2">
      <c r="A336" s="3" t="s">
        <v>231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180</v>
      </c>
      <c r="B337" s="1" t="s">
        <v>180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Xtal</v>
      </c>
      <c r="J337" s="3"/>
    </row>
    <row r="338" spans="1:10" x14ac:dyDescent="0.2">
      <c r="A338" s="3" t="s">
        <v>179</v>
      </c>
      <c r="B338" s="1" t="s">
        <v>179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240</v>
      </c>
      <c r="B339" s="1" t="s">
        <v>180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301</v>
      </c>
      <c r="B340" s="1" t="s">
        <v>165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241</v>
      </c>
      <c r="B341" s="1" t="s">
        <v>175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294</v>
      </c>
      <c r="B342" s="1" t="s">
        <v>158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370</v>
      </c>
      <c r="B343" s="1" t="s">
        <v>371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345</v>
      </c>
      <c r="B344" s="1" t="s">
        <v>345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Xtal</v>
      </c>
      <c r="J344" s="3"/>
    </row>
    <row r="345" spans="1:10" x14ac:dyDescent="0.2">
      <c r="A345" s="3" t="s">
        <v>305</v>
      </c>
      <c r="B345" s="1" t="s">
        <v>158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290</v>
      </c>
      <c r="B346" s="1" t="s">
        <v>179</v>
      </c>
      <c r="C346" t="s">
        <v>345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1440</v>
      </c>
      <c r="B347" s="1" t="s">
        <v>1440</v>
      </c>
      <c r="C347" t="s">
        <v>1440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1451</v>
      </c>
      <c r="B348" s="1" t="s">
        <v>1451</v>
      </c>
      <c r="C348" t="s">
        <v>1451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303</v>
      </c>
      <c r="B349" s="1" t="s">
        <v>165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351</v>
      </c>
      <c r="B350" s="1" t="s">
        <v>345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288</v>
      </c>
      <c r="B351" s="1" t="s">
        <v>336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347</v>
      </c>
      <c r="B352" s="1" t="s">
        <v>345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295</v>
      </c>
      <c r="B353" s="1" t="s">
        <v>177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275</v>
      </c>
      <c r="B354" s="1" t="s">
        <v>345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346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214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289</v>
      </c>
      <c r="B358" s="1" t="s">
        <v>180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257</v>
      </c>
      <c r="B359" s="1" t="s">
        <v>371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277</v>
      </c>
      <c r="B360" s="1" t="s">
        <v>345</v>
      </c>
      <c r="C360" t="s">
        <v>345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229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353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354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Xtal</v>
      </c>
      <c r="J364" s="3"/>
    </row>
    <row r="365" spans="1:10" x14ac:dyDescent="0.2">
      <c r="A365" s="3" t="s">
        <v>272</v>
      </c>
      <c r="B365" s="1" t="s">
        <v>352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307</v>
      </c>
      <c r="B366" s="1" t="s">
        <v>360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371</v>
      </c>
      <c r="B367" s="1" t="s">
        <v>371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Xtal</v>
      </c>
      <c r="J367" s="3"/>
    </row>
    <row r="368" spans="1:10" x14ac:dyDescent="0.2">
      <c r="A368" s="3" t="s">
        <v>234</v>
      </c>
      <c r="B368" s="1" t="s">
        <v>336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365</v>
      </c>
      <c r="B369" s="1" t="s">
        <v>473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253</v>
      </c>
      <c r="B370" s="1" t="s">
        <v>371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364</v>
      </c>
      <c r="B371" s="1" t="s">
        <v>364</v>
      </c>
      <c r="C371" t="s">
        <v>352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Xtal</v>
      </c>
      <c r="J371" s="3"/>
    </row>
    <row r="372" spans="1:10" x14ac:dyDescent="0.2">
      <c r="A372" s="3" t="s">
        <v>357</v>
      </c>
      <c r="B372" s="1" t="s">
        <v>356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261</v>
      </c>
      <c r="B373" s="1" t="s">
        <v>336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254</v>
      </c>
      <c r="B374" s="1" t="s">
        <v>202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302</v>
      </c>
      <c r="B375" s="1" t="s">
        <v>1171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358</v>
      </c>
      <c r="B376" s="1" t="s">
        <v>356</v>
      </c>
      <c r="C376" t="s">
        <v>355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356</v>
      </c>
      <c r="B377" s="1" t="s">
        <v>356</v>
      </c>
      <c r="C377" t="s">
        <v>356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355</v>
      </c>
      <c r="B378" s="1" t="s">
        <v>355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243</v>
      </c>
      <c r="B379" s="1" t="s">
        <v>356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349</v>
      </c>
      <c r="B380" s="1" t="s">
        <v>356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199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258</v>
      </c>
      <c r="B382" s="1" t="s">
        <v>355</v>
      </c>
      <c r="C382" t="s">
        <v>355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309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151</v>
      </c>
      <c r="B384" s="1" t="s">
        <v>104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296</v>
      </c>
      <c r="B385" s="1" t="s">
        <v>103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297</v>
      </c>
      <c r="B386" s="1" t="s">
        <v>104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238</v>
      </c>
      <c r="B387" s="1" t="s">
        <v>103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262</v>
      </c>
      <c r="B388" s="1" t="s">
        <v>104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363</v>
      </c>
      <c r="B389" s="1" t="s">
        <v>363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5"/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3" t="s">
        <v>473</v>
      </c>
      <c r="B390" s="1" t="s">
        <v>473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ref="G390:G410" si="7">OR(D390=F390,AND(D390="T",F390="A"),AND(D390="B2",F390="B1"),D390="O")</f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213</v>
      </c>
      <c r="B391" s="1" t="s">
        <v>132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7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377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7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104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7"/>
        <v>1</v>
      </c>
      <c r="H393" s="10" t="str">
        <f>IF(ISERROR(MATCH(A393,'SegEnds_Xtal_Prot#'!B:B, 0)), "NoXtal", "Xtal")</f>
        <v>Xtal</v>
      </c>
      <c r="J393" s="3"/>
    </row>
    <row r="394" spans="1:10" x14ac:dyDescent="0.2">
      <c r="A394" s="3" t="s">
        <v>379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7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378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7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380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7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448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7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453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7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446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7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450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7"/>
        <v>1</v>
      </c>
      <c r="H400" s="10" t="str">
        <f>IF(ISERROR(MATCH(A400,'SegEnds_Xtal_Prot#'!B:B, 0)), "NoXtal", "Xtal")</f>
        <v>Xtal</v>
      </c>
      <c r="J400" s="3"/>
    </row>
    <row r="401" spans="1:10" x14ac:dyDescent="0.2">
      <c r="A401" s="3" t="s">
        <v>447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7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455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7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451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7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454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7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449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7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452</v>
      </c>
      <c r="B406" s="1" t="s">
        <v>450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7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33</v>
      </c>
      <c r="B407" s="1" t="s">
        <v>33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7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1594</v>
      </c>
      <c r="B408" s="1" t="s">
        <v>1594</v>
      </c>
      <c r="C408" s="1" t="s">
        <v>1594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>OR(D408=F408,AND(D408="T",F408="A"),AND(D408="B2",F408="B1"),D408="O")</f>
        <v>1</v>
      </c>
      <c r="H408" s="10" t="str">
        <f>IF(ISERROR(MATCH(A408,'SegEnds_Xtal_Prot#'!B:B, 0)), "NoXtal", "Xtal")</f>
        <v>Xtal</v>
      </c>
    </row>
    <row r="409" spans="1:10" x14ac:dyDescent="0.2">
      <c r="A409" s="3" t="s">
        <v>923</v>
      </c>
      <c r="B409" s="1" t="s">
        <v>923</v>
      </c>
      <c r="C409" t="s">
        <v>923</v>
      </c>
      <c r="D409" s="28" t="str">
        <f>VLOOKUP(A409,Classification!$A:$D,2,FALSE)</f>
        <v>A</v>
      </c>
      <c r="E409" s="49" t="str">
        <f>VLOOKUP(B409,Classification!$A:$D,2,FALSE)</f>
        <v>A</v>
      </c>
      <c r="F409" s="15" t="str">
        <f>VLOOKUP(C409,Classification!$A:$D,2,FALSE)</f>
        <v>A</v>
      </c>
      <c r="G409" s="15" t="b">
        <f t="shared" si="7"/>
        <v>1</v>
      </c>
      <c r="H409" s="10" t="str">
        <f>IF(ISERROR(MATCH(A409,'SegEnds_Xtal_Prot#'!B:B, 0)), "NoXtal", "Xtal")</f>
        <v>Xtal</v>
      </c>
      <c r="J409" s="3"/>
    </row>
    <row r="410" spans="1:10" x14ac:dyDescent="0.2">
      <c r="A410" s="3" t="s">
        <v>221</v>
      </c>
      <c r="B410" s="1" t="s">
        <v>104</v>
      </c>
      <c r="C410" t="s">
        <v>923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7"/>
        <v>1</v>
      </c>
      <c r="H410" s="10" t="str">
        <f>IF(ISERROR(MATCH(A410,'SegEnds_Xtal_Prot#'!B:B, 0)), "NoXtal", "Xtal")</f>
        <v>NoXtal</v>
      </c>
      <c r="J410" s="3"/>
    </row>
    <row r="411" spans="1:10" x14ac:dyDescent="0.2">
      <c r="A411" s="1" t="s">
        <v>1420</v>
      </c>
      <c r="B411" s="1" t="s">
        <v>1420</v>
      </c>
      <c r="C411" t="s">
        <v>1420</v>
      </c>
      <c r="D411" s="28" t="str">
        <f>VLOOKUP(A411,Classification!$A:$D,2,FALSE)</f>
        <v>B1</v>
      </c>
      <c r="E411" s="49" t="str">
        <f>VLOOKUP(B411,Classification!$A:$D,2,FALSE)</f>
        <v>B1</v>
      </c>
      <c r="F411" s="15" t="str">
        <f>VLOOKUP(C411,Classification!$A:$D,2,FALSE)</f>
        <v>B1</v>
      </c>
      <c r="G411" s="15" t="b">
        <f t="shared" ref="G411:G416" si="8">OR(D411=F411,AND(D411="T",F411="A"),AND(D411="B2",F411="B1"),D411="O")</f>
        <v>1</v>
      </c>
      <c r="H411" s="10" t="str">
        <f>IF(ISERROR(MATCH(A411,'SegEnds_Xtal_Prot#'!B:B, 0)), "NoXtal", "Xtal")</f>
        <v>Xtal</v>
      </c>
    </row>
    <row r="412" spans="1:10" x14ac:dyDescent="0.2">
      <c r="A412" s="1" t="s">
        <v>1495</v>
      </c>
      <c r="B412" s="1" t="s">
        <v>1495</v>
      </c>
      <c r="C412" s="121" t="s">
        <v>1495</v>
      </c>
      <c r="D412" s="28" t="str">
        <f>VLOOKUP(A412,Classification!$A:$D,2,FALSE)</f>
        <v>F</v>
      </c>
      <c r="E412" s="49" t="str">
        <f>VLOOKUP(B412,Classification!$A:$D,2,FALSE)</f>
        <v>F</v>
      </c>
      <c r="F412" s="15" t="str">
        <f>VLOOKUP(C412,Classification!$A:$D,2,FALSE)</f>
        <v>F</v>
      </c>
      <c r="G412" s="15" t="b">
        <f t="shared" si="8"/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1507</v>
      </c>
      <c r="B413" s="1" t="s">
        <v>1507</v>
      </c>
      <c r="C413" s="121" t="s">
        <v>1507</v>
      </c>
      <c r="D413" s="28" t="str">
        <f>VLOOKUP(A413,Classification!$A:$D,2,FALSE)</f>
        <v>A</v>
      </c>
      <c r="E413" s="49" t="str">
        <f>VLOOKUP(B413,Classification!$A:$D,2,FALSE)</f>
        <v>A</v>
      </c>
      <c r="F413" s="15" t="str">
        <f>VLOOKUP(C413,Classification!$A:$D,2,FALSE)</f>
        <v>A</v>
      </c>
      <c r="G413" s="15" t="b">
        <f t="shared" si="8"/>
        <v>1</v>
      </c>
      <c r="H413" s="10" t="str">
        <f>IF(ISERROR(MATCH(A413,'SegEnds_Xtal_Prot#'!B:B, 0)), "NoXtal", "Xtal")</f>
        <v>Xtal</v>
      </c>
    </row>
    <row r="414" spans="1:10" x14ac:dyDescent="0.2">
      <c r="A414" s="1" t="s">
        <v>1637</v>
      </c>
      <c r="B414" s="1" t="s">
        <v>139</v>
      </c>
      <c r="C414" s="1" t="s">
        <v>139</v>
      </c>
      <c r="D414" s="28" t="str">
        <f>VLOOKUP(A414,Classification!$A:$D,2,FALSE)</f>
        <v>A</v>
      </c>
      <c r="E414" s="49" t="str">
        <f>VLOOKUP(B414,Classification!$A:$D,2,FALSE)</f>
        <v>A</v>
      </c>
      <c r="F414" s="15" t="str">
        <f>VLOOKUP(C414,Classification!$A:$D,2,FALSE)</f>
        <v>A</v>
      </c>
      <c r="G414" s="15" t="b">
        <f t="shared" si="8"/>
        <v>1</v>
      </c>
      <c r="H414" s="10" t="str">
        <f>IF(ISERROR(MATCH(A414,'SegEnds_Xtal_Prot#'!B:B, 0)), "NoXtal", "Xtal")</f>
        <v>NoXtal</v>
      </c>
    </row>
    <row r="415" spans="1:10" x14ac:dyDescent="0.2">
      <c r="A415" s="1" t="s">
        <v>1640</v>
      </c>
      <c r="B415" s="1" t="s">
        <v>170</v>
      </c>
      <c r="C415" s="1" t="s">
        <v>139</v>
      </c>
      <c r="D415" s="28" t="str">
        <f>VLOOKUP(A415,Classification!$A:$D,2,FALSE)</f>
        <v>A</v>
      </c>
      <c r="E415" s="49" t="str">
        <f>VLOOKUP(B415,Classification!$A:$D,2,FALSE)</f>
        <v>A</v>
      </c>
      <c r="F415" s="15" t="str">
        <f>VLOOKUP(C415,Classification!$A:$D,2,FALSE)</f>
        <v>A</v>
      </c>
      <c r="G415" s="15" t="b">
        <f t="shared" si="8"/>
        <v>1</v>
      </c>
      <c r="H415" s="10" t="str">
        <f>IF(ISERROR(MATCH(A415,'SegEnds_Xtal_Prot#'!B:B, 0)), "NoXtal", "Xtal")</f>
        <v>NoXtal</v>
      </c>
    </row>
    <row r="416" spans="1:10" x14ac:dyDescent="0.2">
      <c r="A416" s="1" t="s">
        <v>1642</v>
      </c>
      <c r="B416" s="1" t="s">
        <v>165</v>
      </c>
      <c r="C416" s="1" t="s">
        <v>139</v>
      </c>
      <c r="D416" s="28" t="str">
        <f>VLOOKUP(A416,Classification!$A:$D,2,FALSE)</f>
        <v>A</v>
      </c>
      <c r="E416" s="49" t="str">
        <f>VLOOKUP(B416,Classification!$A:$D,2,FALSE)</f>
        <v>A</v>
      </c>
      <c r="F416" s="15" t="str">
        <f>VLOOKUP(C416,Classification!$A:$D,2,FALSE)</f>
        <v>A</v>
      </c>
      <c r="G416" s="15" t="b">
        <f t="shared" si="8"/>
        <v>1</v>
      </c>
      <c r="H416" s="10" t="str">
        <f>IF(ISERROR(MATCH(A416,'SegEnds_Xtal_Prot#'!B:B, 0)), "NoXtal", "Xtal")</f>
        <v>NoXtal</v>
      </c>
    </row>
    <row r="435" spans="4:7" ht="17" customHeight="1" x14ac:dyDescent="0.2">
      <c r="D435" s="7"/>
      <c r="E435" s="7"/>
      <c r="F435" s="7"/>
      <c r="G435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3" priority="5" operator="equal">
      <formula>FALSE</formula>
    </cfRule>
  </conditionalFormatting>
  <conditionalFormatting sqref="G2:G407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8"/>
  <sheetViews>
    <sheetView workbookViewId="0">
      <pane ySplit="1" topLeftCell="A417" activePane="bottomLeft" state="frozenSplit"/>
      <selection pane="bottomLeft" activeCell="D448" sqref="D448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931</v>
      </c>
      <c r="C1" s="10" t="s">
        <v>934</v>
      </c>
      <c r="D1" s="10" t="s">
        <v>935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936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936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936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936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936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936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936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936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936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936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936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936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938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938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938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938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938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938</v>
      </c>
    </row>
    <row r="20" spans="1:4" x14ac:dyDescent="0.2">
      <c r="A20" s="3" t="s">
        <v>138</v>
      </c>
      <c r="B20" s="3" t="s">
        <v>1</v>
      </c>
      <c r="C20" s="3" t="s">
        <v>937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937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937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937</v>
      </c>
      <c r="D23" s="3" t="s">
        <v>15</v>
      </c>
    </row>
    <row r="24" spans="1:4" x14ac:dyDescent="0.2">
      <c r="A24" s="3" t="s">
        <v>414</v>
      </c>
      <c r="B24" s="3" t="s">
        <v>943</v>
      </c>
      <c r="C24" s="3" t="s">
        <v>944</v>
      </c>
      <c r="D24" s="3" t="s">
        <v>945</v>
      </c>
    </row>
    <row r="25" spans="1:4" x14ac:dyDescent="0.2">
      <c r="A25" s="3" t="s">
        <v>415</v>
      </c>
      <c r="B25" s="3" t="s">
        <v>943</v>
      </c>
      <c r="C25" s="3" t="s">
        <v>944</v>
      </c>
      <c r="D25" s="3" t="s">
        <v>945</v>
      </c>
    </row>
    <row r="26" spans="1:4" x14ac:dyDescent="0.2">
      <c r="A26" s="3" t="s">
        <v>416</v>
      </c>
      <c r="B26" s="3" t="s">
        <v>943</v>
      </c>
      <c r="C26" s="3" t="s">
        <v>944</v>
      </c>
      <c r="D26" s="3" t="s">
        <v>945</v>
      </c>
    </row>
    <row r="27" spans="1:4" x14ac:dyDescent="0.2">
      <c r="A27" s="3" t="s">
        <v>417</v>
      </c>
      <c r="B27" s="3" t="s">
        <v>943</v>
      </c>
      <c r="C27" s="3" t="s">
        <v>944</v>
      </c>
      <c r="D27" s="3" t="s">
        <v>945</v>
      </c>
    </row>
    <row r="28" spans="1:4" x14ac:dyDescent="0.2">
      <c r="A28" s="3" t="s">
        <v>418</v>
      </c>
      <c r="B28" s="3" t="s">
        <v>943</v>
      </c>
      <c r="C28" s="3" t="s">
        <v>944</v>
      </c>
      <c r="D28" s="3" t="s">
        <v>945</v>
      </c>
    </row>
    <row r="29" spans="1:4" x14ac:dyDescent="0.2">
      <c r="A29" s="3" t="s">
        <v>419</v>
      </c>
      <c r="B29" s="3" t="s">
        <v>943</v>
      </c>
      <c r="C29" s="3" t="s">
        <v>944</v>
      </c>
      <c r="D29" s="3" t="s">
        <v>945</v>
      </c>
    </row>
    <row r="30" spans="1:4" x14ac:dyDescent="0.2">
      <c r="A30" s="3" t="s">
        <v>420</v>
      </c>
      <c r="B30" s="3" t="s">
        <v>943</v>
      </c>
      <c r="C30" s="3" t="s">
        <v>944</v>
      </c>
      <c r="D30" s="3" t="s">
        <v>945</v>
      </c>
    </row>
    <row r="31" spans="1:4" x14ac:dyDescent="0.2">
      <c r="A31" s="3" t="s">
        <v>421</v>
      </c>
      <c r="B31" s="3" t="s">
        <v>943</v>
      </c>
      <c r="C31" s="3" t="s">
        <v>944</v>
      </c>
      <c r="D31" s="3" t="s">
        <v>945</v>
      </c>
    </row>
    <row r="32" spans="1:4" x14ac:dyDescent="0.2">
      <c r="A32" s="3" t="s">
        <v>422</v>
      </c>
      <c r="B32" s="3" t="s">
        <v>943</v>
      </c>
      <c r="C32" s="3" t="s">
        <v>944</v>
      </c>
      <c r="D32" s="3" t="s">
        <v>945</v>
      </c>
    </row>
    <row r="33" spans="1:4" x14ac:dyDescent="0.2">
      <c r="A33" s="3" t="s">
        <v>423</v>
      </c>
      <c r="B33" s="3" t="s">
        <v>943</v>
      </c>
      <c r="C33" s="3" t="s">
        <v>944</v>
      </c>
      <c r="D33" s="3" t="s">
        <v>945</v>
      </c>
    </row>
    <row r="34" spans="1:4" x14ac:dyDescent="0.2">
      <c r="A34" s="3" t="s">
        <v>424</v>
      </c>
      <c r="B34" s="3" t="s">
        <v>943</v>
      </c>
      <c r="C34" s="3" t="s">
        <v>944</v>
      </c>
      <c r="D34" s="3" t="s">
        <v>945</v>
      </c>
    </row>
    <row r="35" spans="1:4" x14ac:dyDescent="0.2">
      <c r="A35" s="3" t="s">
        <v>425</v>
      </c>
      <c r="B35" s="3" t="s">
        <v>943</v>
      </c>
      <c r="C35" s="3" t="s">
        <v>944</v>
      </c>
      <c r="D35" s="3" t="s">
        <v>945</v>
      </c>
    </row>
    <row r="36" spans="1:4" x14ac:dyDescent="0.2">
      <c r="A36" s="3" t="s">
        <v>426</v>
      </c>
      <c r="B36" s="3" t="s">
        <v>943</v>
      </c>
      <c r="C36" s="3" t="s">
        <v>944</v>
      </c>
      <c r="D36" s="3" t="s">
        <v>945</v>
      </c>
    </row>
    <row r="37" spans="1:4" x14ac:dyDescent="0.2">
      <c r="A37" s="3" t="s">
        <v>427</v>
      </c>
      <c r="B37" s="3" t="s">
        <v>943</v>
      </c>
      <c r="C37" s="3" t="s">
        <v>944</v>
      </c>
      <c r="D37" s="3" t="s">
        <v>945</v>
      </c>
    </row>
    <row r="38" spans="1:4" x14ac:dyDescent="0.2">
      <c r="A38" s="3" t="s">
        <v>428</v>
      </c>
      <c r="B38" s="3" t="s">
        <v>943</v>
      </c>
      <c r="C38" s="3" t="s">
        <v>944</v>
      </c>
      <c r="D38" s="3" t="s">
        <v>945</v>
      </c>
    </row>
    <row r="39" spans="1:4" x14ac:dyDescent="0.2">
      <c r="A39" s="3" t="s">
        <v>429</v>
      </c>
      <c r="B39" s="3" t="s">
        <v>943</v>
      </c>
      <c r="C39" s="3" t="s">
        <v>944</v>
      </c>
      <c r="D39" s="3" t="s">
        <v>945</v>
      </c>
    </row>
    <row r="40" spans="1:4" x14ac:dyDescent="0.2">
      <c r="A40" s="3" t="s">
        <v>430</v>
      </c>
      <c r="B40" s="3" t="s">
        <v>943</v>
      </c>
      <c r="C40" s="3" t="s">
        <v>944</v>
      </c>
      <c r="D40" s="3" t="s">
        <v>945</v>
      </c>
    </row>
    <row r="41" spans="1:4" x14ac:dyDescent="0.2">
      <c r="A41" s="3" t="s">
        <v>431</v>
      </c>
      <c r="B41" s="3" t="s">
        <v>943</v>
      </c>
      <c r="C41" s="3" t="s">
        <v>944</v>
      </c>
      <c r="D41" s="3" t="s">
        <v>945</v>
      </c>
    </row>
    <row r="42" spans="1:4" x14ac:dyDescent="0.2">
      <c r="A42" s="3" t="s">
        <v>432</v>
      </c>
      <c r="B42" s="3" t="s">
        <v>943</v>
      </c>
      <c r="C42" s="3" t="s">
        <v>944</v>
      </c>
      <c r="D42" s="3" t="s">
        <v>945</v>
      </c>
    </row>
    <row r="43" spans="1:4" x14ac:dyDescent="0.2">
      <c r="A43" s="3" t="s">
        <v>433</v>
      </c>
      <c r="B43" s="3" t="s">
        <v>943</v>
      </c>
      <c r="C43" s="3" t="s">
        <v>944</v>
      </c>
      <c r="D43" s="3" t="s">
        <v>945</v>
      </c>
    </row>
    <row r="44" spans="1:4" x14ac:dyDescent="0.2">
      <c r="A44" s="3" t="s">
        <v>434</v>
      </c>
      <c r="B44" s="3" t="s">
        <v>943</v>
      </c>
      <c r="C44" s="3" t="s">
        <v>944</v>
      </c>
      <c r="D44" s="3" t="s">
        <v>945</v>
      </c>
    </row>
    <row r="45" spans="1:4" x14ac:dyDescent="0.2">
      <c r="A45" s="3" t="s">
        <v>435</v>
      </c>
      <c r="B45" s="3" t="s">
        <v>943</v>
      </c>
      <c r="C45" s="3" t="s">
        <v>944</v>
      </c>
      <c r="D45" s="3" t="s">
        <v>945</v>
      </c>
    </row>
    <row r="46" spans="1:4" x14ac:dyDescent="0.2">
      <c r="A46" s="3" t="s">
        <v>1413</v>
      </c>
      <c r="B46" s="3" t="s">
        <v>943</v>
      </c>
      <c r="C46" s="3" t="s">
        <v>944</v>
      </c>
      <c r="D46" s="3" t="s">
        <v>945</v>
      </c>
    </row>
    <row r="47" spans="1:4" x14ac:dyDescent="0.2">
      <c r="A47" s="3" t="s">
        <v>436</v>
      </c>
      <c r="B47" s="3" t="s">
        <v>943</v>
      </c>
      <c r="C47" s="3" t="s">
        <v>944</v>
      </c>
      <c r="D47" s="3" t="s">
        <v>945</v>
      </c>
    </row>
    <row r="48" spans="1:4" x14ac:dyDescent="0.2">
      <c r="A48" s="3" t="s">
        <v>437</v>
      </c>
      <c r="B48" s="3" t="s">
        <v>943</v>
      </c>
      <c r="C48" s="3" t="s">
        <v>944</v>
      </c>
      <c r="D48" s="3" t="s">
        <v>945</v>
      </c>
    </row>
    <row r="49" spans="1:4" x14ac:dyDescent="0.2">
      <c r="A49" s="3" t="s">
        <v>438</v>
      </c>
      <c r="B49" s="3" t="s">
        <v>943</v>
      </c>
      <c r="C49" s="3" t="s">
        <v>944</v>
      </c>
      <c r="D49" s="3" t="s">
        <v>945</v>
      </c>
    </row>
    <row r="50" spans="1:4" x14ac:dyDescent="0.2">
      <c r="A50" s="3" t="s">
        <v>439</v>
      </c>
      <c r="B50" s="3" t="s">
        <v>943</v>
      </c>
      <c r="C50" s="3" t="s">
        <v>944</v>
      </c>
      <c r="D50" s="3" t="s">
        <v>945</v>
      </c>
    </row>
    <row r="51" spans="1:4" x14ac:dyDescent="0.2">
      <c r="A51" s="3" t="s">
        <v>440</v>
      </c>
      <c r="B51" s="3" t="s">
        <v>943</v>
      </c>
      <c r="C51" s="3" t="s">
        <v>944</v>
      </c>
      <c r="D51" s="3" t="s">
        <v>945</v>
      </c>
    </row>
    <row r="52" spans="1:4" x14ac:dyDescent="0.2">
      <c r="A52" s="3" t="s">
        <v>441</v>
      </c>
      <c r="B52" s="3" t="s">
        <v>943</v>
      </c>
      <c r="C52" s="3" t="s">
        <v>944</v>
      </c>
      <c r="D52" s="3" t="s">
        <v>945</v>
      </c>
    </row>
    <row r="53" spans="1:4" x14ac:dyDescent="0.2">
      <c r="A53" s="3" t="s">
        <v>442</v>
      </c>
      <c r="B53" s="3" t="s">
        <v>943</v>
      </c>
      <c r="C53" s="3" t="s">
        <v>944</v>
      </c>
      <c r="D53" s="3" t="s">
        <v>945</v>
      </c>
    </row>
    <row r="54" spans="1:4" x14ac:dyDescent="0.2">
      <c r="A54" s="3" t="s">
        <v>443</v>
      </c>
      <c r="B54" s="3" t="s">
        <v>943</v>
      </c>
      <c r="C54" s="3" t="s">
        <v>944</v>
      </c>
      <c r="D54" s="3" t="s">
        <v>945</v>
      </c>
    </row>
    <row r="55" spans="1:4" x14ac:dyDescent="0.2">
      <c r="A55" s="3" t="s">
        <v>444</v>
      </c>
      <c r="B55" s="3" t="s">
        <v>943</v>
      </c>
      <c r="C55" s="3" t="s">
        <v>944</v>
      </c>
      <c r="D55" s="3" t="s">
        <v>945</v>
      </c>
    </row>
    <row r="56" spans="1:4" x14ac:dyDescent="0.2">
      <c r="A56" s="3" t="s">
        <v>445</v>
      </c>
      <c r="B56" s="3" t="s">
        <v>943</v>
      </c>
      <c r="C56" s="3" t="s">
        <v>944</v>
      </c>
      <c r="D56" s="3" t="s">
        <v>945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940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940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940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940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940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940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940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940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940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940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941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941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942</v>
      </c>
    </row>
    <row r="70" spans="1:4" x14ac:dyDescent="0.2">
      <c r="A70" s="3" t="s">
        <v>235</v>
      </c>
      <c r="B70" s="3" t="s">
        <v>1</v>
      </c>
      <c r="C70" s="3" t="s">
        <v>974</v>
      </c>
      <c r="D70" s="3" t="s">
        <v>975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947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947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947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946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946</v>
      </c>
    </row>
    <row r="76" spans="1:4" x14ac:dyDescent="0.2">
      <c r="A76" s="3" t="s">
        <v>401</v>
      </c>
      <c r="B76" s="3" t="s">
        <v>949</v>
      </c>
      <c r="C76" s="3" t="s">
        <v>17</v>
      </c>
      <c r="D76" s="3" t="s">
        <v>950</v>
      </c>
    </row>
    <row r="77" spans="1:4" x14ac:dyDescent="0.2">
      <c r="A77" s="3" t="s">
        <v>402</v>
      </c>
      <c r="B77" s="3" t="s">
        <v>949</v>
      </c>
      <c r="C77" s="3" t="s">
        <v>17</v>
      </c>
      <c r="D77" s="3" t="s">
        <v>950</v>
      </c>
    </row>
    <row r="78" spans="1:4" x14ac:dyDescent="0.2">
      <c r="A78" s="3" t="s">
        <v>105</v>
      </c>
      <c r="B78" s="3" t="s">
        <v>27</v>
      </c>
      <c r="C78" s="3" t="s">
        <v>951</v>
      </c>
      <c r="D78" s="3" t="s">
        <v>952</v>
      </c>
    </row>
    <row r="79" spans="1:4" x14ac:dyDescent="0.2">
      <c r="A79" s="3" t="s">
        <v>114</v>
      </c>
      <c r="B79" s="3" t="s">
        <v>27</v>
      </c>
      <c r="C79" s="3" t="s">
        <v>951</v>
      </c>
      <c r="D79" s="3" t="s">
        <v>952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956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956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955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932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932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932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932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932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932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932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932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932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932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932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932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932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932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932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932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932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932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932</v>
      </c>
    </row>
    <row r="102" spans="1:4" x14ac:dyDescent="0.2">
      <c r="A102" s="3" t="s">
        <v>1030</v>
      </c>
      <c r="B102" s="3" t="s">
        <v>1</v>
      </c>
      <c r="C102" s="3" t="s">
        <v>29</v>
      </c>
      <c r="D102" s="3" t="s">
        <v>932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932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932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932</v>
      </c>
    </row>
    <row r="106" spans="1:4" x14ac:dyDescent="0.2">
      <c r="A106" s="3" t="s">
        <v>1507</v>
      </c>
      <c r="B106" s="3" t="s">
        <v>1</v>
      </c>
      <c r="C106" s="3" t="s">
        <v>17</v>
      </c>
      <c r="D106" s="3" t="s">
        <v>932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932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953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953</v>
      </c>
    </row>
    <row r="110" spans="1:4" x14ac:dyDescent="0.2">
      <c r="A110" s="3" t="s">
        <v>197</v>
      </c>
      <c r="B110" s="3" t="s">
        <v>1</v>
      </c>
      <c r="C110" s="3" t="s">
        <v>944</v>
      </c>
      <c r="D110" s="3" t="s">
        <v>960</v>
      </c>
    </row>
    <row r="111" spans="1:4" x14ac:dyDescent="0.2">
      <c r="A111" s="3" t="s">
        <v>212</v>
      </c>
      <c r="B111" s="3" t="s">
        <v>1</v>
      </c>
      <c r="C111" s="3" t="s">
        <v>944</v>
      </c>
      <c r="D111" s="3" t="s">
        <v>960</v>
      </c>
    </row>
    <row r="112" spans="1:4" x14ac:dyDescent="0.2">
      <c r="A112" s="3" t="s">
        <v>214</v>
      </c>
      <c r="B112" s="3" t="s">
        <v>1</v>
      </c>
      <c r="C112" s="3" t="s">
        <v>944</v>
      </c>
      <c r="D112" s="3" t="s">
        <v>960</v>
      </c>
    </row>
    <row r="113" spans="1:4" x14ac:dyDescent="0.2">
      <c r="A113" s="3" t="s">
        <v>215</v>
      </c>
      <c r="B113" s="3" t="s">
        <v>1</v>
      </c>
      <c r="C113" s="3" t="s">
        <v>944</v>
      </c>
      <c r="D113" s="3" t="s">
        <v>960</v>
      </c>
    </row>
    <row r="114" spans="1:4" x14ac:dyDescent="0.2">
      <c r="A114" s="3" t="s">
        <v>216</v>
      </c>
      <c r="B114" s="3" t="s">
        <v>1</v>
      </c>
      <c r="C114" s="3" t="s">
        <v>944</v>
      </c>
      <c r="D114" s="3" t="s">
        <v>960</v>
      </c>
    </row>
    <row r="115" spans="1:4" x14ac:dyDescent="0.2">
      <c r="A115" s="3" t="s">
        <v>217</v>
      </c>
      <c r="B115" s="3" t="s">
        <v>1</v>
      </c>
      <c r="C115" s="3" t="s">
        <v>944</v>
      </c>
      <c r="D115" s="3" t="s">
        <v>960</v>
      </c>
    </row>
    <row r="116" spans="1:4" x14ac:dyDescent="0.2">
      <c r="A116" s="3" t="s">
        <v>218</v>
      </c>
      <c r="B116" s="3" t="s">
        <v>1</v>
      </c>
      <c r="C116" s="3" t="s">
        <v>944</v>
      </c>
      <c r="D116" s="3" t="s">
        <v>960</v>
      </c>
    </row>
    <row r="117" spans="1:4" x14ac:dyDescent="0.2">
      <c r="A117" s="3" t="s">
        <v>219</v>
      </c>
      <c r="B117" s="3" t="s">
        <v>1</v>
      </c>
      <c r="C117" s="3" t="s">
        <v>944</v>
      </c>
      <c r="D117" s="3" t="s">
        <v>960</v>
      </c>
    </row>
    <row r="118" spans="1:4" x14ac:dyDescent="0.2">
      <c r="A118" s="3" t="s">
        <v>220</v>
      </c>
      <c r="B118" s="3" t="s">
        <v>1</v>
      </c>
      <c r="C118" s="3" t="s">
        <v>944</v>
      </c>
      <c r="D118" s="3" t="s">
        <v>960</v>
      </c>
    </row>
    <row r="119" spans="1:4" x14ac:dyDescent="0.2">
      <c r="A119" s="3" t="s">
        <v>221</v>
      </c>
      <c r="B119" s="3" t="s">
        <v>1</v>
      </c>
      <c r="C119" s="3" t="s">
        <v>944</v>
      </c>
      <c r="D119" s="3" t="s">
        <v>960</v>
      </c>
    </row>
    <row r="120" spans="1:4" x14ac:dyDescent="0.2">
      <c r="A120" s="3" t="s">
        <v>222</v>
      </c>
      <c r="B120" s="3" t="s">
        <v>1</v>
      </c>
      <c r="C120" s="3" t="s">
        <v>944</v>
      </c>
      <c r="D120" s="3" t="s">
        <v>960</v>
      </c>
    </row>
    <row r="121" spans="1:4" x14ac:dyDescent="0.2">
      <c r="A121" s="3" t="s">
        <v>223</v>
      </c>
      <c r="B121" s="3" t="s">
        <v>1</v>
      </c>
      <c r="C121" s="3" t="s">
        <v>944</v>
      </c>
      <c r="D121" s="3" t="s">
        <v>960</v>
      </c>
    </row>
    <row r="122" spans="1:4" x14ac:dyDescent="0.2">
      <c r="A122" s="3" t="s">
        <v>224</v>
      </c>
      <c r="B122" s="3" t="s">
        <v>1</v>
      </c>
      <c r="C122" s="3" t="s">
        <v>944</v>
      </c>
      <c r="D122" s="3" t="s">
        <v>960</v>
      </c>
    </row>
    <row r="123" spans="1:4" x14ac:dyDescent="0.2">
      <c r="A123" s="3" t="s">
        <v>225</v>
      </c>
      <c r="B123" s="3" t="s">
        <v>1</v>
      </c>
      <c r="C123" s="3" t="s">
        <v>944</v>
      </c>
      <c r="D123" s="3" t="s">
        <v>960</v>
      </c>
    </row>
    <row r="124" spans="1:4" x14ac:dyDescent="0.2">
      <c r="A124" s="3" t="s">
        <v>226</v>
      </c>
      <c r="B124" s="3" t="s">
        <v>1</v>
      </c>
      <c r="C124" s="3" t="s">
        <v>944</v>
      </c>
      <c r="D124" s="3" t="s">
        <v>960</v>
      </c>
    </row>
    <row r="125" spans="1:4" x14ac:dyDescent="0.2">
      <c r="A125" s="3" t="s">
        <v>227</v>
      </c>
      <c r="B125" s="3" t="s">
        <v>1</v>
      </c>
      <c r="C125" s="3" t="s">
        <v>944</v>
      </c>
      <c r="D125" s="3" t="s">
        <v>960</v>
      </c>
    </row>
    <row r="126" spans="1:4" x14ac:dyDescent="0.2">
      <c r="A126" s="3" t="s">
        <v>228</v>
      </c>
      <c r="B126" s="3" t="s">
        <v>1</v>
      </c>
      <c r="C126" s="3" t="s">
        <v>944</v>
      </c>
      <c r="D126" s="3" t="s">
        <v>960</v>
      </c>
    </row>
    <row r="127" spans="1:4" x14ac:dyDescent="0.2">
      <c r="A127" s="3" t="s">
        <v>229</v>
      </c>
      <c r="B127" s="3" t="s">
        <v>1</v>
      </c>
      <c r="C127" s="3" t="s">
        <v>944</v>
      </c>
      <c r="D127" s="3" t="s">
        <v>960</v>
      </c>
    </row>
    <row r="128" spans="1:4" x14ac:dyDescent="0.2">
      <c r="A128" s="3" t="s">
        <v>230</v>
      </c>
      <c r="B128" s="3" t="s">
        <v>1</v>
      </c>
      <c r="C128" s="3" t="s">
        <v>944</v>
      </c>
      <c r="D128" s="3" t="s">
        <v>960</v>
      </c>
    </row>
    <row r="129" spans="1:4" x14ac:dyDescent="0.2">
      <c r="A129" s="3" t="s">
        <v>231</v>
      </c>
      <c r="B129" s="3" t="s">
        <v>1</v>
      </c>
      <c r="C129" s="3" t="s">
        <v>944</v>
      </c>
      <c r="D129" s="3" t="s">
        <v>960</v>
      </c>
    </row>
    <row r="130" spans="1:4" x14ac:dyDescent="0.2">
      <c r="A130" s="3" t="s">
        <v>232</v>
      </c>
      <c r="B130" s="3" t="s">
        <v>1</v>
      </c>
      <c r="C130" s="3" t="s">
        <v>944</v>
      </c>
      <c r="D130" s="3" t="s">
        <v>960</v>
      </c>
    </row>
    <row r="131" spans="1:4" x14ac:dyDescent="0.2">
      <c r="A131" s="3" t="s">
        <v>233</v>
      </c>
      <c r="B131" s="3" t="s">
        <v>1</v>
      </c>
      <c r="C131" s="3" t="s">
        <v>944</v>
      </c>
      <c r="D131" s="3" t="s">
        <v>960</v>
      </c>
    </row>
    <row r="132" spans="1:4" x14ac:dyDescent="0.2">
      <c r="A132" s="3" t="s">
        <v>234</v>
      </c>
      <c r="B132" s="3" t="s">
        <v>1</v>
      </c>
      <c r="C132" s="3" t="s">
        <v>944</v>
      </c>
      <c r="D132" s="3" t="s">
        <v>960</v>
      </c>
    </row>
    <row r="133" spans="1:4" x14ac:dyDescent="0.2">
      <c r="A133" s="3" t="s">
        <v>237</v>
      </c>
      <c r="B133" s="3" t="s">
        <v>1</v>
      </c>
      <c r="C133" s="3" t="s">
        <v>944</v>
      </c>
      <c r="D133" s="3" t="s">
        <v>960</v>
      </c>
    </row>
    <row r="134" spans="1:4" x14ac:dyDescent="0.2">
      <c r="A134" s="3" t="s">
        <v>238</v>
      </c>
      <c r="B134" s="3" t="s">
        <v>1</v>
      </c>
      <c r="C134" s="3" t="s">
        <v>944</v>
      </c>
      <c r="D134" s="3" t="s">
        <v>960</v>
      </c>
    </row>
    <row r="135" spans="1:4" x14ac:dyDescent="0.2">
      <c r="A135" s="3" t="s">
        <v>239</v>
      </c>
      <c r="B135" s="3" t="s">
        <v>1</v>
      </c>
      <c r="C135" s="3" t="s">
        <v>944</v>
      </c>
      <c r="D135" s="3" t="s">
        <v>960</v>
      </c>
    </row>
    <row r="136" spans="1:4" x14ac:dyDescent="0.2">
      <c r="A136" s="3" t="s">
        <v>240</v>
      </c>
      <c r="B136" s="3" t="s">
        <v>1</v>
      </c>
      <c r="C136" s="3" t="s">
        <v>944</v>
      </c>
      <c r="D136" s="3" t="s">
        <v>960</v>
      </c>
    </row>
    <row r="137" spans="1:4" x14ac:dyDescent="0.2">
      <c r="A137" s="3" t="s">
        <v>242</v>
      </c>
      <c r="B137" s="3" t="s">
        <v>1</v>
      </c>
      <c r="C137" s="3" t="s">
        <v>944</v>
      </c>
      <c r="D137" s="3" t="s">
        <v>960</v>
      </c>
    </row>
    <row r="138" spans="1:4" x14ac:dyDescent="0.2">
      <c r="A138" s="3" t="s">
        <v>243</v>
      </c>
      <c r="B138" s="3" t="s">
        <v>1</v>
      </c>
      <c r="C138" s="3" t="s">
        <v>944</v>
      </c>
      <c r="D138" s="3" t="s">
        <v>960</v>
      </c>
    </row>
    <row r="139" spans="1:4" x14ac:dyDescent="0.2">
      <c r="A139" s="3" t="s">
        <v>244</v>
      </c>
      <c r="B139" s="3" t="s">
        <v>1</v>
      </c>
      <c r="C139" s="3" t="s">
        <v>944</v>
      </c>
      <c r="D139" s="3" t="s">
        <v>960</v>
      </c>
    </row>
    <row r="140" spans="1:4" x14ac:dyDescent="0.2">
      <c r="A140" s="3" t="s">
        <v>245</v>
      </c>
      <c r="B140" s="3" t="s">
        <v>1</v>
      </c>
      <c r="C140" s="3" t="s">
        <v>944</v>
      </c>
      <c r="D140" s="3" t="s">
        <v>960</v>
      </c>
    </row>
    <row r="141" spans="1:4" x14ac:dyDescent="0.2">
      <c r="A141" s="3" t="s">
        <v>246</v>
      </c>
      <c r="B141" s="3" t="s">
        <v>1</v>
      </c>
      <c r="C141" s="3" t="s">
        <v>944</v>
      </c>
      <c r="D141" s="3" t="s">
        <v>960</v>
      </c>
    </row>
    <row r="142" spans="1:4" x14ac:dyDescent="0.2">
      <c r="A142" s="3" t="s">
        <v>247</v>
      </c>
      <c r="B142" s="3" t="s">
        <v>1</v>
      </c>
      <c r="C142" s="3" t="s">
        <v>944</v>
      </c>
      <c r="D142" s="3" t="s">
        <v>960</v>
      </c>
    </row>
    <row r="143" spans="1:4" x14ac:dyDescent="0.2">
      <c r="A143" s="3" t="s">
        <v>248</v>
      </c>
      <c r="B143" s="3" t="s">
        <v>1</v>
      </c>
      <c r="C143" s="3" t="s">
        <v>944</v>
      </c>
      <c r="D143" s="3" t="s">
        <v>960</v>
      </c>
    </row>
    <row r="144" spans="1:4" x14ac:dyDescent="0.2">
      <c r="A144" s="3" t="s">
        <v>249</v>
      </c>
      <c r="B144" s="3" t="s">
        <v>1</v>
      </c>
      <c r="C144" s="3" t="s">
        <v>944</v>
      </c>
      <c r="D144" s="3" t="s">
        <v>960</v>
      </c>
    </row>
    <row r="145" spans="1:4" x14ac:dyDescent="0.2">
      <c r="A145" s="3" t="s">
        <v>250</v>
      </c>
      <c r="B145" s="3" t="s">
        <v>1</v>
      </c>
      <c r="C145" s="3" t="s">
        <v>944</v>
      </c>
      <c r="D145" s="3" t="s">
        <v>960</v>
      </c>
    </row>
    <row r="146" spans="1:4" x14ac:dyDescent="0.2">
      <c r="A146" s="3" t="s">
        <v>251</v>
      </c>
      <c r="B146" s="3" t="s">
        <v>1</v>
      </c>
      <c r="C146" s="3" t="s">
        <v>944</v>
      </c>
      <c r="D146" s="3" t="s">
        <v>960</v>
      </c>
    </row>
    <row r="147" spans="1:4" x14ac:dyDescent="0.2">
      <c r="A147" s="3" t="s">
        <v>252</v>
      </c>
      <c r="B147" s="3" t="s">
        <v>1</v>
      </c>
      <c r="C147" s="3" t="s">
        <v>944</v>
      </c>
      <c r="D147" s="3" t="s">
        <v>960</v>
      </c>
    </row>
    <row r="148" spans="1:4" x14ac:dyDescent="0.2">
      <c r="A148" s="3" t="s">
        <v>253</v>
      </c>
      <c r="B148" s="3" t="s">
        <v>1</v>
      </c>
      <c r="C148" s="3" t="s">
        <v>944</v>
      </c>
      <c r="D148" s="3" t="s">
        <v>960</v>
      </c>
    </row>
    <row r="149" spans="1:4" x14ac:dyDescent="0.2">
      <c r="A149" s="3" t="s">
        <v>254</v>
      </c>
      <c r="B149" s="3" t="s">
        <v>1</v>
      </c>
      <c r="C149" s="3" t="s">
        <v>944</v>
      </c>
      <c r="D149" s="3" t="s">
        <v>960</v>
      </c>
    </row>
    <row r="150" spans="1:4" x14ac:dyDescent="0.2">
      <c r="A150" s="3" t="s">
        <v>255</v>
      </c>
      <c r="B150" s="3" t="s">
        <v>1</v>
      </c>
      <c r="C150" s="3" t="s">
        <v>944</v>
      </c>
      <c r="D150" s="3" t="s">
        <v>960</v>
      </c>
    </row>
    <row r="151" spans="1:4" x14ac:dyDescent="0.2">
      <c r="A151" s="3" t="s">
        <v>256</v>
      </c>
      <c r="B151" s="3" t="s">
        <v>1</v>
      </c>
      <c r="C151" s="3" t="s">
        <v>944</v>
      </c>
      <c r="D151" s="3" t="s">
        <v>960</v>
      </c>
    </row>
    <row r="152" spans="1:4" x14ac:dyDescent="0.2">
      <c r="A152" s="3" t="s">
        <v>257</v>
      </c>
      <c r="B152" s="3" t="s">
        <v>1</v>
      </c>
      <c r="C152" s="3" t="s">
        <v>944</v>
      </c>
      <c r="D152" s="3" t="s">
        <v>960</v>
      </c>
    </row>
    <row r="153" spans="1:4" x14ac:dyDescent="0.2">
      <c r="A153" s="3" t="s">
        <v>259</v>
      </c>
      <c r="B153" s="3" t="s">
        <v>1</v>
      </c>
      <c r="C153" s="3" t="s">
        <v>944</v>
      </c>
      <c r="D153" s="3" t="s">
        <v>960</v>
      </c>
    </row>
    <row r="154" spans="1:4" x14ac:dyDescent="0.2">
      <c r="A154" s="3" t="s">
        <v>260</v>
      </c>
      <c r="B154" s="3" t="s">
        <v>1</v>
      </c>
      <c r="C154" s="3" t="s">
        <v>944</v>
      </c>
      <c r="D154" s="3" t="s">
        <v>960</v>
      </c>
    </row>
    <row r="155" spans="1:4" x14ac:dyDescent="0.2">
      <c r="A155" s="3" t="s">
        <v>262</v>
      </c>
      <c r="B155" s="3" t="s">
        <v>1</v>
      </c>
      <c r="C155" s="3" t="s">
        <v>944</v>
      </c>
      <c r="D155" s="3" t="s">
        <v>960</v>
      </c>
    </row>
    <row r="156" spans="1:4" x14ac:dyDescent="0.2">
      <c r="A156" s="3" t="s">
        <v>263</v>
      </c>
      <c r="B156" s="3" t="s">
        <v>1</v>
      </c>
      <c r="C156" s="3" t="s">
        <v>944</v>
      </c>
      <c r="D156" s="3" t="s">
        <v>960</v>
      </c>
    </row>
    <row r="157" spans="1:4" x14ac:dyDescent="0.2">
      <c r="A157" s="3" t="s">
        <v>264</v>
      </c>
      <c r="B157" s="3" t="s">
        <v>1</v>
      </c>
      <c r="C157" s="3" t="s">
        <v>944</v>
      </c>
      <c r="D157" s="3" t="s">
        <v>960</v>
      </c>
    </row>
    <row r="158" spans="1:4" x14ac:dyDescent="0.2">
      <c r="A158" s="3" t="s">
        <v>265</v>
      </c>
      <c r="B158" s="3" t="s">
        <v>1</v>
      </c>
      <c r="C158" s="3" t="s">
        <v>944</v>
      </c>
      <c r="D158" s="3" t="s">
        <v>960</v>
      </c>
    </row>
    <row r="159" spans="1:4" x14ac:dyDescent="0.2">
      <c r="A159" s="3" t="s">
        <v>266</v>
      </c>
      <c r="B159" s="3" t="s">
        <v>1</v>
      </c>
      <c r="C159" s="3" t="s">
        <v>944</v>
      </c>
      <c r="D159" s="3" t="s">
        <v>960</v>
      </c>
    </row>
    <row r="160" spans="1:4" x14ac:dyDescent="0.2">
      <c r="A160" s="3" t="s">
        <v>267</v>
      </c>
      <c r="B160" s="3" t="s">
        <v>1</v>
      </c>
      <c r="C160" s="3" t="s">
        <v>944</v>
      </c>
      <c r="D160" s="3" t="s">
        <v>960</v>
      </c>
    </row>
    <row r="161" spans="1:4" x14ac:dyDescent="0.2">
      <c r="A161" s="3" t="s">
        <v>268</v>
      </c>
      <c r="B161" s="3" t="s">
        <v>1</v>
      </c>
      <c r="C161" s="3" t="s">
        <v>944</v>
      </c>
      <c r="D161" s="3" t="s">
        <v>960</v>
      </c>
    </row>
    <row r="162" spans="1:4" x14ac:dyDescent="0.2">
      <c r="A162" s="3" t="s">
        <v>269</v>
      </c>
      <c r="B162" s="3" t="s">
        <v>1</v>
      </c>
      <c r="C162" s="3" t="s">
        <v>944</v>
      </c>
      <c r="D162" s="3" t="s">
        <v>960</v>
      </c>
    </row>
    <row r="163" spans="1:4" x14ac:dyDescent="0.2">
      <c r="A163" s="3" t="s">
        <v>270</v>
      </c>
      <c r="B163" s="3" t="s">
        <v>1</v>
      </c>
      <c r="C163" s="3" t="s">
        <v>944</v>
      </c>
      <c r="D163" s="3" t="s">
        <v>960</v>
      </c>
    </row>
    <row r="164" spans="1:4" x14ac:dyDescent="0.2">
      <c r="A164" s="3" t="s">
        <v>271</v>
      </c>
      <c r="B164" s="3" t="s">
        <v>1</v>
      </c>
      <c r="C164" s="3" t="s">
        <v>944</v>
      </c>
      <c r="D164" s="3" t="s">
        <v>960</v>
      </c>
    </row>
    <row r="165" spans="1:4" x14ac:dyDescent="0.2">
      <c r="A165" s="3" t="s">
        <v>272</v>
      </c>
      <c r="B165" s="3" t="s">
        <v>1</v>
      </c>
      <c r="C165" s="3" t="s">
        <v>944</v>
      </c>
      <c r="D165" s="3" t="s">
        <v>960</v>
      </c>
    </row>
    <row r="166" spans="1:4" x14ac:dyDescent="0.2">
      <c r="A166" s="3" t="s">
        <v>273</v>
      </c>
      <c r="B166" s="3" t="s">
        <v>1</v>
      </c>
      <c r="C166" s="3" t="s">
        <v>944</v>
      </c>
      <c r="D166" s="3" t="s">
        <v>960</v>
      </c>
    </row>
    <row r="167" spans="1:4" x14ac:dyDescent="0.2">
      <c r="A167" s="3" t="s">
        <v>283</v>
      </c>
      <c r="B167" s="3" t="s">
        <v>1</v>
      </c>
      <c r="C167" s="3" t="s">
        <v>944</v>
      </c>
      <c r="D167" s="3" t="s">
        <v>960</v>
      </c>
    </row>
    <row r="168" spans="1:4" x14ac:dyDescent="0.2">
      <c r="A168" s="3" t="s">
        <v>284</v>
      </c>
      <c r="B168" s="3" t="s">
        <v>1</v>
      </c>
      <c r="C168" s="3" t="s">
        <v>944</v>
      </c>
      <c r="D168" s="3" t="s">
        <v>960</v>
      </c>
    </row>
    <row r="169" spans="1:4" x14ac:dyDescent="0.2">
      <c r="A169" s="3" t="s">
        <v>285</v>
      </c>
      <c r="B169" s="3" t="s">
        <v>1</v>
      </c>
      <c r="C169" s="3" t="s">
        <v>944</v>
      </c>
      <c r="D169" s="3" t="s">
        <v>960</v>
      </c>
    </row>
    <row r="170" spans="1:4" x14ac:dyDescent="0.2">
      <c r="A170" s="3" t="s">
        <v>294</v>
      </c>
      <c r="B170" s="3" t="s">
        <v>1</v>
      </c>
      <c r="C170" s="3" t="s">
        <v>944</v>
      </c>
      <c r="D170" s="3" t="s">
        <v>960</v>
      </c>
    </row>
    <row r="171" spans="1:4" x14ac:dyDescent="0.2">
      <c r="A171" s="3" t="s">
        <v>295</v>
      </c>
      <c r="B171" s="3" t="s">
        <v>1</v>
      </c>
      <c r="C171" s="3" t="s">
        <v>944</v>
      </c>
      <c r="D171" s="3" t="s">
        <v>960</v>
      </c>
    </row>
    <row r="172" spans="1:4" x14ac:dyDescent="0.2">
      <c r="A172" s="3" t="s">
        <v>301</v>
      </c>
      <c r="B172" s="3" t="s">
        <v>1</v>
      </c>
      <c r="C172" s="3" t="s">
        <v>944</v>
      </c>
      <c r="D172" s="3" t="s">
        <v>960</v>
      </c>
    </row>
    <row r="173" spans="1:4" x14ac:dyDescent="0.2">
      <c r="A173" s="3" t="s">
        <v>302</v>
      </c>
      <c r="B173" s="3" t="s">
        <v>1</v>
      </c>
      <c r="C173" s="3" t="s">
        <v>944</v>
      </c>
      <c r="D173" s="3" t="s">
        <v>960</v>
      </c>
    </row>
    <row r="174" spans="1:4" x14ac:dyDescent="0.2">
      <c r="A174" s="3" t="s">
        <v>303</v>
      </c>
      <c r="B174" s="3" t="s">
        <v>1</v>
      </c>
      <c r="C174" s="3" t="s">
        <v>944</v>
      </c>
      <c r="D174" s="3" t="s">
        <v>960</v>
      </c>
    </row>
    <row r="175" spans="1:4" x14ac:dyDescent="0.2">
      <c r="A175" s="3" t="s">
        <v>304</v>
      </c>
      <c r="B175" s="3" t="s">
        <v>1</v>
      </c>
      <c r="C175" s="3" t="s">
        <v>944</v>
      </c>
      <c r="D175" s="3" t="s">
        <v>960</v>
      </c>
    </row>
    <row r="176" spans="1:4" x14ac:dyDescent="0.2">
      <c r="A176" s="3" t="s">
        <v>305</v>
      </c>
      <c r="B176" s="3" t="s">
        <v>1</v>
      </c>
      <c r="C176" s="3" t="s">
        <v>944</v>
      </c>
      <c r="D176" s="3" t="s">
        <v>960</v>
      </c>
    </row>
    <row r="177" spans="1:4" x14ac:dyDescent="0.2">
      <c r="A177" s="3" t="s">
        <v>306</v>
      </c>
      <c r="B177" s="3" t="s">
        <v>1</v>
      </c>
      <c r="C177" s="3" t="s">
        <v>944</v>
      </c>
      <c r="D177" s="3" t="s">
        <v>960</v>
      </c>
    </row>
    <row r="178" spans="1:4" x14ac:dyDescent="0.2">
      <c r="A178" s="3" t="s">
        <v>307</v>
      </c>
      <c r="B178" s="3" t="s">
        <v>1</v>
      </c>
      <c r="C178" s="3" t="s">
        <v>944</v>
      </c>
      <c r="D178" s="3" t="s">
        <v>960</v>
      </c>
    </row>
    <row r="179" spans="1:4" x14ac:dyDescent="0.2">
      <c r="A179" s="3" t="s">
        <v>308</v>
      </c>
      <c r="B179" s="3" t="s">
        <v>1</v>
      </c>
      <c r="C179" s="3" t="s">
        <v>944</v>
      </c>
      <c r="D179" s="3" t="s">
        <v>960</v>
      </c>
    </row>
    <row r="180" spans="1:4" x14ac:dyDescent="0.2">
      <c r="A180" s="3" t="s">
        <v>313</v>
      </c>
      <c r="B180" s="3" t="s">
        <v>1</v>
      </c>
      <c r="C180" s="3" t="s">
        <v>944</v>
      </c>
      <c r="D180" s="3" t="s">
        <v>960</v>
      </c>
    </row>
    <row r="181" spans="1:4" x14ac:dyDescent="0.2">
      <c r="A181" s="3" t="s">
        <v>331</v>
      </c>
      <c r="B181" s="3" t="s">
        <v>1</v>
      </c>
      <c r="C181" s="3" t="s">
        <v>944</v>
      </c>
      <c r="D181" s="3" t="s">
        <v>960</v>
      </c>
    </row>
    <row r="182" spans="1:4" x14ac:dyDescent="0.2">
      <c r="A182" s="3" t="s">
        <v>349</v>
      </c>
      <c r="B182" s="3" t="s">
        <v>1</v>
      </c>
      <c r="C182" s="3" t="s">
        <v>944</v>
      </c>
      <c r="D182" s="3" t="s">
        <v>960</v>
      </c>
    </row>
    <row r="183" spans="1:4" x14ac:dyDescent="0.2">
      <c r="A183" s="3" t="s">
        <v>350</v>
      </c>
      <c r="B183" s="3" t="s">
        <v>1</v>
      </c>
      <c r="C183" s="3" t="s">
        <v>944</v>
      </c>
      <c r="D183" s="3" t="s">
        <v>960</v>
      </c>
    </row>
    <row r="184" spans="1:4" x14ac:dyDescent="0.2">
      <c r="A184" s="3" t="s">
        <v>370</v>
      </c>
      <c r="B184" s="3" t="s">
        <v>1</v>
      </c>
      <c r="C184" s="3" t="s">
        <v>944</v>
      </c>
      <c r="D184" s="3" t="s">
        <v>960</v>
      </c>
    </row>
    <row r="185" spans="1:4" x14ac:dyDescent="0.2">
      <c r="A185" s="3" t="s">
        <v>388</v>
      </c>
      <c r="B185" s="3" t="s">
        <v>1</v>
      </c>
      <c r="C185" s="3" t="s">
        <v>944</v>
      </c>
      <c r="D185" s="3" t="s">
        <v>960</v>
      </c>
    </row>
    <row r="186" spans="1:4" x14ac:dyDescent="0.2">
      <c r="A186" s="3" t="s">
        <v>389</v>
      </c>
      <c r="B186" s="3" t="s">
        <v>1</v>
      </c>
      <c r="C186" s="3" t="s">
        <v>944</v>
      </c>
      <c r="D186" s="3" t="s">
        <v>960</v>
      </c>
    </row>
    <row r="187" spans="1:4" x14ac:dyDescent="0.2">
      <c r="A187" s="3" t="s">
        <v>390</v>
      </c>
      <c r="B187" s="3" t="s">
        <v>1</v>
      </c>
      <c r="C187" s="3" t="s">
        <v>944</v>
      </c>
      <c r="D187" s="3" t="s">
        <v>960</v>
      </c>
    </row>
    <row r="188" spans="1:4" x14ac:dyDescent="0.2">
      <c r="A188" s="3" t="s">
        <v>391</v>
      </c>
      <c r="B188" s="3" t="s">
        <v>1</v>
      </c>
      <c r="C188" s="3" t="s">
        <v>944</v>
      </c>
      <c r="D188" s="3" t="s">
        <v>960</v>
      </c>
    </row>
    <row r="189" spans="1:4" x14ac:dyDescent="0.2">
      <c r="A189" s="3" t="s">
        <v>392</v>
      </c>
      <c r="B189" s="3" t="s">
        <v>1</v>
      </c>
      <c r="C189" s="3" t="s">
        <v>944</v>
      </c>
      <c r="D189" s="3" t="s">
        <v>960</v>
      </c>
    </row>
    <row r="190" spans="1:4" x14ac:dyDescent="0.2">
      <c r="A190" s="3" t="s">
        <v>393</v>
      </c>
      <c r="B190" s="3" t="s">
        <v>1</v>
      </c>
      <c r="C190" s="3" t="s">
        <v>944</v>
      </c>
      <c r="D190" s="3" t="s">
        <v>960</v>
      </c>
    </row>
    <row r="191" spans="1:4" x14ac:dyDescent="0.2">
      <c r="A191" s="3" t="s">
        <v>108</v>
      </c>
      <c r="B191" s="3" t="s">
        <v>27</v>
      </c>
      <c r="C191" s="3" t="s">
        <v>944</v>
      </c>
      <c r="D191" s="3" t="s">
        <v>973</v>
      </c>
    </row>
    <row r="192" spans="1:4" x14ac:dyDescent="0.2">
      <c r="A192" s="3" t="s">
        <v>109</v>
      </c>
      <c r="B192" s="3" t="s">
        <v>27</v>
      </c>
      <c r="C192" s="3" t="s">
        <v>944</v>
      </c>
      <c r="D192" s="3" t="s">
        <v>973</v>
      </c>
    </row>
    <row r="193" spans="1:4" x14ac:dyDescent="0.2">
      <c r="A193" s="3" t="s">
        <v>110</v>
      </c>
      <c r="B193" s="3" t="s">
        <v>27</v>
      </c>
      <c r="C193" s="3" t="s">
        <v>944</v>
      </c>
      <c r="D193" s="3" t="s">
        <v>973</v>
      </c>
    </row>
    <row r="194" spans="1:4" x14ac:dyDescent="0.2">
      <c r="A194" s="3" t="s">
        <v>111</v>
      </c>
      <c r="B194" s="3" t="s">
        <v>27</v>
      </c>
      <c r="C194" s="3" t="s">
        <v>944</v>
      </c>
      <c r="D194" s="3" t="s">
        <v>973</v>
      </c>
    </row>
    <row r="195" spans="1:4" x14ac:dyDescent="0.2">
      <c r="A195" s="3" t="s">
        <v>112</v>
      </c>
      <c r="B195" s="3" t="s">
        <v>27</v>
      </c>
      <c r="C195" s="3" t="s">
        <v>944</v>
      </c>
      <c r="D195" s="3" t="s">
        <v>973</v>
      </c>
    </row>
    <row r="196" spans="1:4" x14ac:dyDescent="0.2">
      <c r="A196" s="3" t="s">
        <v>113</v>
      </c>
      <c r="B196" s="3" t="s">
        <v>27</v>
      </c>
      <c r="C196" s="3" t="s">
        <v>944</v>
      </c>
      <c r="D196" s="3" t="s">
        <v>973</v>
      </c>
    </row>
    <row r="197" spans="1:4" x14ac:dyDescent="0.2">
      <c r="A197" s="3" t="s">
        <v>121</v>
      </c>
      <c r="B197" s="3" t="s">
        <v>27</v>
      </c>
      <c r="C197" s="3" t="s">
        <v>944</v>
      </c>
      <c r="D197" s="3" t="s">
        <v>973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948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948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948</v>
      </c>
    </row>
    <row r="201" spans="1:4" x14ac:dyDescent="0.2">
      <c r="A201" s="3" t="s">
        <v>38</v>
      </c>
      <c r="B201" s="3" t="s">
        <v>949</v>
      </c>
      <c r="C201" s="3" t="s">
        <v>17</v>
      </c>
      <c r="D201" s="3" t="s">
        <v>957</v>
      </c>
    </row>
    <row r="202" spans="1:4" x14ac:dyDescent="0.2">
      <c r="A202" s="3" t="s">
        <v>403</v>
      </c>
      <c r="B202" s="3" t="s">
        <v>949</v>
      </c>
      <c r="C202" s="3" t="s">
        <v>17</v>
      </c>
      <c r="D202" s="3" t="s">
        <v>957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958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958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958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958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958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959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959</v>
      </c>
    </row>
    <row r="210" spans="1:4" x14ac:dyDescent="0.2">
      <c r="A210" s="3" t="s">
        <v>236</v>
      </c>
      <c r="B210" s="3" t="s">
        <v>1</v>
      </c>
      <c r="C210" s="3" t="s">
        <v>974</v>
      </c>
      <c r="D210" s="3" t="s">
        <v>976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962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962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962</v>
      </c>
    </row>
    <row r="214" spans="1:4" x14ac:dyDescent="0.2">
      <c r="A214" s="3" t="s">
        <v>1148</v>
      </c>
      <c r="B214" s="3" t="s">
        <v>1</v>
      </c>
      <c r="C214" s="3" t="s">
        <v>19</v>
      </c>
      <c r="D214" s="3" t="s">
        <v>961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961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961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961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961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964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964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964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964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964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964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964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964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964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964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964</v>
      </c>
    </row>
    <row r="230" spans="1:4" x14ac:dyDescent="0.2">
      <c r="A230" s="3" t="s">
        <v>1594</v>
      </c>
      <c r="B230" s="3" t="s">
        <v>28</v>
      </c>
      <c r="C230" s="3" t="s">
        <v>29</v>
      </c>
      <c r="D230" s="3" t="s">
        <v>964</v>
      </c>
    </row>
    <row r="231" spans="1:4" x14ac:dyDescent="0.2">
      <c r="A231" s="121" t="s">
        <v>1495</v>
      </c>
      <c r="B231" s="3" t="s">
        <v>28</v>
      </c>
      <c r="C231" s="3" t="s">
        <v>29</v>
      </c>
      <c r="D231" s="3" t="s">
        <v>964</v>
      </c>
    </row>
    <row r="232" spans="1:4" x14ac:dyDescent="0.2">
      <c r="A232" s="3" t="s">
        <v>106</v>
      </c>
      <c r="B232" s="3" t="s">
        <v>27</v>
      </c>
      <c r="C232" s="3" t="s">
        <v>966</v>
      </c>
      <c r="D232" s="3" t="s">
        <v>967</v>
      </c>
    </row>
    <row r="233" spans="1:4" x14ac:dyDescent="0.2">
      <c r="A233" s="3" t="s">
        <v>107</v>
      </c>
      <c r="B233" s="3" t="s">
        <v>27</v>
      </c>
      <c r="C233" s="3" t="s">
        <v>966</v>
      </c>
      <c r="D233" s="3" t="s">
        <v>967</v>
      </c>
    </row>
    <row r="234" spans="1:4" x14ac:dyDescent="0.2">
      <c r="A234" s="3" t="s">
        <v>205</v>
      </c>
      <c r="B234" s="3" t="s">
        <v>1</v>
      </c>
      <c r="C234" s="3" t="s">
        <v>17</v>
      </c>
      <c r="D234" s="3" t="s">
        <v>968</v>
      </c>
    </row>
    <row r="235" spans="1:4" x14ac:dyDescent="0.2">
      <c r="A235" s="3" t="s">
        <v>206</v>
      </c>
      <c r="B235" s="3" t="s">
        <v>1</v>
      </c>
      <c r="C235" s="3" t="s">
        <v>17</v>
      </c>
      <c r="D235" s="3" t="s">
        <v>968</v>
      </c>
    </row>
    <row r="236" spans="1:4" x14ac:dyDescent="0.2">
      <c r="A236" s="3" t="s">
        <v>207</v>
      </c>
      <c r="B236" s="3" t="s">
        <v>1</v>
      </c>
      <c r="C236" s="3" t="s">
        <v>17</v>
      </c>
      <c r="D236" s="3" t="s">
        <v>968</v>
      </c>
    </row>
    <row r="237" spans="1:4" x14ac:dyDescent="0.2">
      <c r="A237" s="3" t="s">
        <v>209</v>
      </c>
      <c r="B237" s="3" t="s">
        <v>1</v>
      </c>
      <c r="C237" s="3" t="s">
        <v>17</v>
      </c>
      <c r="D237" s="3" t="s">
        <v>970</v>
      </c>
    </row>
    <row r="238" spans="1:4" x14ac:dyDescent="0.2">
      <c r="A238" s="3" t="s">
        <v>404</v>
      </c>
      <c r="B238" s="3" t="s">
        <v>949</v>
      </c>
      <c r="C238" s="3" t="s">
        <v>17</v>
      </c>
      <c r="D238" s="3" t="s">
        <v>969</v>
      </c>
    </row>
    <row r="239" spans="1:4" x14ac:dyDescent="0.2">
      <c r="A239" s="3" t="s">
        <v>405</v>
      </c>
      <c r="B239" s="3" t="s">
        <v>949</v>
      </c>
      <c r="C239" s="3" t="s">
        <v>17</v>
      </c>
      <c r="D239" s="3" t="s">
        <v>969</v>
      </c>
    </row>
    <row r="240" spans="1:4" x14ac:dyDescent="0.2">
      <c r="A240" s="3" t="s">
        <v>406</v>
      </c>
      <c r="B240" s="3" t="s">
        <v>949</v>
      </c>
      <c r="C240" s="3" t="s">
        <v>17</v>
      </c>
      <c r="D240" s="3" t="s">
        <v>969</v>
      </c>
    </row>
    <row r="241" spans="1:4" x14ac:dyDescent="0.2">
      <c r="A241" s="3" t="s">
        <v>407</v>
      </c>
      <c r="B241" s="3" t="s">
        <v>949</v>
      </c>
      <c r="C241" s="3" t="s">
        <v>17</v>
      </c>
      <c r="D241" s="3" t="s">
        <v>969</v>
      </c>
    </row>
    <row r="242" spans="1:4" x14ac:dyDescent="0.2">
      <c r="A242" s="3" t="s">
        <v>32</v>
      </c>
      <c r="B242" s="3" t="s">
        <v>949</v>
      </c>
      <c r="C242" s="3" t="s">
        <v>17</v>
      </c>
      <c r="D242" s="3" t="s">
        <v>969</v>
      </c>
    </row>
    <row r="243" spans="1:4" x14ac:dyDescent="0.2">
      <c r="A243" s="3" t="s">
        <v>411</v>
      </c>
      <c r="B243" s="3" t="s">
        <v>949</v>
      </c>
      <c r="C243" s="3" t="s">
        <v>17</v>
      </c>
      <c r="D243" s="3" t="s">
        <v>969</v>
      </c>
    </row>
    <row r="244" spans="1:4" x14ac:dyDescent="0.2">
      <c r="A244" s="3" t="s">
        <v>1420</v>
      </c>
      <c r="B244" s="3" t="s">
        <v>949</v>
      </c>
      <c r="C244" s="3" t="s">
        <v>17</v>
      </c>
      <c r="D244" s="3" t="s">
        <v>969</v>
      </c>
    </row>
    <row r="245" spans="1:4" x14ac:dyDescent="0.2">
      <c r="A245" s="3" t="s">
        <v>204</v>
      </c>
      <c r="B245" s="3" t="s">
        <v>1</v>
      </c>
      <c r="C245" s="3" t="s">
        <v>29</v>
      </c>
      <c r="D245" s="3" t="s">
        <v>963</v>
      </c>
    </row>
    <row r="246" spans="1:4" x14ac:dyDescent="0.2">
      <c r="A246" s="3" t="s">
        <v>291</v>
      </c>
      <c r="B246" s="3" t="s">
        <v>1</v>
      </c>
      <c r="C246" s="3" t="s">
        <v>29</v>
      </c>
      <c r="D246" s="3" t="s">
        <v>963</v>
      </c>
    </row>
    <row r="247" spans="1:4" x14ac:dyDescent="0.2">
      <c r="A247" s="3" t="s">
        <v>395</v>
      </c>
      <c r="B247" s="3" t="s">
        <v>1</v>
      </c>
      <c r="C247" s="3" t="s">
        <v>29</v>
      </c>
      <c r="D247" s="3" t="s">
        <v>963</v>
      </c>
    </row>
    <row r="248" spans="1:4" x14ac:dyDescent="0.2">
      <c r="A248" s="3" t="s">
        <v>210</v>
      </c>
      <c r="B248" s="3" t="s">
        <v>1</v>
      </c>
      <c r="C248" s="3" t="s">
        <v>17</v>
      </c>
      <c r="D248" s="3" t="s">
        <v>971</v>
      </c>
    </row>
    <row r="249" spans="1:4" x14ac:dyDescent="0.2">
      <c r="A249" s="3" t="s">
        <v>211</v>
      </c>
      <c r="B249" s="3" t="s">
        <v>1</v>
      </c>
      <c r="C249" s="3" t="s">
        <v>17</v>
      </c>
      <c r="D249" s="3" t="s">
        <v>971</v>
      </c>
    </row>
    <row r="250" spans="1:4" x14ac:dyDescent="0.2">
      <c r="A250" s="3" t="s">
        <v>213</v>
      </c>
      <c r="B250" s="3" t="s">
        <v>1</v>
      </c>
      <c r="C250" s="3" t="s">
        <v>19</v>
      </c>
      <c r="D250" s="3" t="s">
        <v>972</v>
      </c>
    </row>
    <row r="251" spans="1:4" x14ac:dyDescent="0.2">
      <c r="A251" s="3" t="s">
        <v>241</v>
      </c>
      <c r="B251" s="3" t="s">
        <v>1</v>
      </c>
      <c r="C251" s="3" t="s">
        <v>19</v>
      </c>
      <c r="D251" s="3" t="s">
        <v>972</v>
      </c>
    </row>
    <row r="252" spans="1:4" x14ac:dyDescent="0.2">
      <c r="A252" s="3" t="s">
        <v>261</v>
      </c>
      <c r="B252" s="3" t="s">
        <v>1</v>
      </c>
      <c r="C252" s="3" t="s">
        <v>19</v>
      </c>
      <c r="D252" s="3" t="s">
        <v>972</v>
      </c>
    </row>
    <row r="253" spans="1:4" x14ac:dyDescent="0.2">
      <c r="A253" s="3" t="s">
        <v>278</v>
      </c>
      <c r="B253" s="3" t="s">
        <v>1</v>
      </c>
      <c r="C253" s="3" t="s">
        <v>2</v>
      </c>
      <c r="D253" s="3" t="s">
        <v>980</v>
      </c>
    </row>
    <row r="254" spans="1:4" x14ac:dyDescent="0.2">
      <c r="A254" s="3" t="s">
        <v>279</v>
      </c>
      <c r="B254" s="3" t="s">
        <v>1</v>
      </c>
      <c r="C254" s="3" t="s">
        <v>2</v>
      </c>
      <c r="D254" s="3" t="s">
        <v>980</v>
      </c>
    </row>
    <row r="255" spans="1:4" x14ac:dyDescent="0.2">
      <c r="A255" s="3" t="s">
        <v>280</v>
      </c>
      <c r="B255" s="3" t="s">
        <v>1</v>
      </c>
      <c r="C255" s="3" t="s">
        <v>2</v>
      </c>
      <c r="D255" s="3" t="s">
        <v>980</v>
      </c>
    </row>
    <row r="256" spans="1:4" x14ac:dyDescent="0.2">
      <c r="A256" s="3" t="s">
        <v>281</v>
      </c>
      <c r="B256" s="3" t="s">
        <v>1</v>
      </c>
      <c r="C256" s="3" t="s">
        <v>2</v>
      </c>
      <c r="D256" s="3" t="s">
        <v>980</v>
      </c>
    </row>
    <row r="257" spans="1:4" x14ac:dyDescent="0.2">
      <c r="A257" s="3" t="s">
        <v>275</v>
      </c>
      <c r="B257" s="3" t="s">
        <v>1</v>
      </c>
      <c r="C257" s="3" t="s">
        <v>978</v>
      </c>
      <c r="D257" s="3" t="s">
        <v>979</v>
      </c>
    </row>
    <row r="258" spans="1:4" x14ac:dyDescent="0.2">
      <c r="A258" s="3" t="s">
        <v>276</v>
      </c>
      <c r="B258" s="3" t="s">
        <v>1</v>
      </c>
      <c r="C258" s="3" t="s">
        <v>978</v>
      </c>
      <c r="D258" s="3" t="s">
        <v>979</v>
      </c>
    </row>
    <row r="259" spans="1:4" x14ac:dyDescent="0.2">
      <c r="A259" s="3" t="s">
        <v>277</v>
      </c>
      <c r="B259" s="3" t="s">
        <v>1</v>
      </c>
      <c r="C259" s="3" t="s">
        <v>978</v>
      </c>
      <c r="D259" s="3" t="s">
        <v>979</v>
      </c>
    </row>
    <row r="260" spans="1:4" x14ac:dyDescent="0.2">
      <c r="A260" s="3" t="s">
        <v>282</v>
      </c>
      <c r="B260" s="3" t="s">
        <v>1</v>
      </c>
      <c r="C260" s="3" t="s">
        <v>17</v>
      </c>
      <c r="D260" s="3" t="s">
        <v>981</v>
      </c>
    </row>
    <row r="261" spans="1:4" x14ac:dyDescent="0.2">
      <c r="A261" s="3" t="s">
        <v>179</v>
      </c>
      <c r="B261" s="3" t="s">
        <v>1</v>
      </c>
      <c r="C261" s="3" t="s">
        <v>19</v>
      </c>
      <c r="D261" s="3" t="s">
        <v>954</v>
      </c>
    </row>
    <row r="262" spans="1:4" x14ac:dyDescent="0.2">
      <c r="A262" s="3" t="s">
        <v>180</v>
      </c>
      <c r="B262" s="3" t="s">
        <v>1</v>
      </c>
      <c r="C262" s="3" t="s">
        <v>19</v>
      </c>
      <c r="D262" s="3" t="s">
        <v>954</v>
      </c>
    </row>
    <row r="263" spans="1:4" x14ac:dyDescent="0.2">
      <c r="A263" s="3" t="s">
        <v>292</v>
      </c>
      <c r="B263" s="3" t="s">
        <v>1</v>
      </c>
      <c r="C263" s="3" t="s">
        <v>19</v>
      </c>
      <c r="D263" s="3" t="s">
        <v>954</v>
      </c>
    </row>
    <row r="264" spans="1:4" x14ac:dyDescent="0.2">
      <c r="A264" s="3" t="s">
        <v>293</v>
      </c>
      <c r="B264" s="3" t="s">
        <v>1</v>
      </c>
      <c r="C264" s="3" t="s">
        <v>19</v>
      </c>
      <c r="D264" s="3" t="s">
        <v>954</v>
      </c>
    </row>
    <row r="265" spans="1:4" x14ac:dyDescent="0.2">
      <c r="A265" s="3" t="s">
        <v>342</v>
      </c>
      <c r="B265" s="3" t="s">
        <v>1</v>
      </c>
      <c r="C265" s="3" t="s">
        <v>19</v>
      </c>
      <c r="D265" s="3" t="s">
        <v>954</v>
      </c>
    </row>
    <row r="266" spans="1:4" x14ac:dyDescent="0.2">
      <c r="A266" s="3" t="s">
        <v>1451</v>
      </c>
      <c r="B266" s="3" t="s">
        <v>1</v>
      </c>
      <c r="C266" s="3" t="s">
        <v>19</v>
      </c>
      <c r="D266" s="3" t="s">
        <v>954</v>
      </c>
    </row>
    <row r="267" spans="1:4" x14ac:dyDescent="0.2">
      <c r="A267" s="3" t="s">
        <v>103</v>
      </c>
      <c r="B267" s="3" t="s">
        <v>1</v>
      </c>
      <c r="C267" s="3" t="s">
        <v>19</v>
      </c>
      <c r="D267" s="3" t="s">
        <v>982</v>
      </c>
    </row>
    <row r="268" spans="1:4" x14ac:dyDescent="0.2">
      <c r="A268" s="3" t="s">
        <v>286</v>
      </c>
      <c r="B268" s="3" t="s">
        <v>1</v>
      </c>
      <c r="C268" s="3" t="s">
        <v>19</v>
      </c>
      <c r="D268" s="3" t="s">
        <v>982</v>
      </c>
    </row>
    <row r="269" spans="1:4" x14ac:dyDescent="0.2">
      <c r="A269" s="3" t="s">
        <v>287</v>
      </c>
      <c r="B269" s="3" t="s">
        <v>1</v>
      </c>
      <c r="C269" s="3" t="s">
        <v>19</v>
      </c>
      <c r="D269" s="3" t="s">
        <v>982</v>
      </c>
    </row>
    <row r="270" spans="1:4" x14ac:dyDescent="0.2">
      <c r="A270" s="3" t="s">
        <v>288</v>
      </c>
      <c r="B270" s="3" t="s">
        <v>1</v>
      </c>
      <c r="C270" s="3" t="s">
        <v>19</v>
      </c>
      <c r="D270" s="3" t="s">
        <v>982</v>
      </c>
    </row>
    <row r="271" spans="1:4" x14ac:dyDescent="0.2">
      <c r="A271" s="3" t="s">
        <v>289</v>
      </c>
      <c r="B271" s="3" t="s">
        <v>1</v>
      </c>
      <c r="C271" s="3" t="s">
        <v>19</v>
      </c>
      <c r="D271" s="3" t="s">
        <v>982</v>
      </c>
    </row>
    <row r="272" spans="1:4" x14ac:dyDescent="0.2">
      <c r="A272" s="3" t="s">
        <v>290</v>
      </c>
      <c r="B272" s="3" t="s">
        <v>1</v>
      </c>
      <c r="C272" s="3" t="s">
        <v>19</v>
      </c>
      <c r="D272" s="3" t="s">
        <v>982</v>
      </c>
    </row>
    <row r="273" spans="1:4" x14ac:dyDescent="0.2">
      <c r="A273" s="3" t="s">
        <v>1440</v>
      </c>
      <c r="B273" s="3" t="s">
        <v>1</v>
      </c>
      <c r="C273" s="3" t="s">
        <v>19</v>
      </c>
      <c r="D273" s="3" t="s">
        <v>982</v>
      </c>
    </row>
    <row r="274" spans="1:4" x14ac:dyDescent="0.2">
      <c r="A274" s="3" t="s">
        <v>104</v>
      </c>
      <c r="B274" s="3" t="s">
        <v>1</v>
      </c>
      <c r="C274" s="3" t="s">
        <v>19</v>
      </c>
      <c r="D274" s="3" t="s">
        <v>1008</v>
      </c>
    </row>
    <row r="275" spans="1:4" x14ac:dyDescent="0.2">
      <c r="A275" s="3" t="s">
        <v>377</v>
      </c>
      <c r="B275" s="3" t="s">
        <v>1</v>
      </c>
      <c r="C275" s="3" t="s">
        <v>19</v>
      </c>
      <c r="D275" s="3" t="s">
        <v>1008</v>
      </c>
    </row>
    <row r="276" spans="1:4" x14ac:dyDescent="0.2">
      <c r="A276" s="3" t="s">
        <v>378</v>
      </c>
      <c r="B276" s="3" t="s">
        <v>1</v>
      </c>
      <c r="C276" s="3" t="s">
        <v>19</v>
      </c>
      <c r="D276" s="3" t="s">
        <v>1008</v>
      </c>
    </row>
    <row r="277" spans="1:4" x14ac:dyDescent="0.2">
      <c r="A277" s="3" t="s">
        <v>379</v>
      </c>
      <c r="B277" s="3" t="s">
        <v>1</v>
      </c>
      <c r="C277" s="3" t="s">
        <v>19</v>
      </c>
      <c r="D277" s="3" t="s">
        <v>1008</v>
      </c>
    </row>
    <row r="278" spans="1:4" x14ac:dyDescent="0.2">
      <c r="A278" s="3" t="s">
        <v>380</v>
      </c>
      <c r="B278" s="3" t="s">
        <v>1</v>
      </c>
      <c r="C278" s="3" t="s">
        <v>19</v>
      </c>
      <c r="D278" s="3" t="s">
        <v>1008</v>
      </c>
    </row>
    <row r="279" spans="1:4" x14ac:dyDescent="0.2">
      <c r="A279" s="3" t="s">
        <v>299</v>
      </c>
      <c r="B279" s="3" t="s">
        <v>1</v>
      </c>
      <c r="C279" s="3" t="s">
        <v>17</v>
      </c>
      <c r="D279" s="3" t="s">
        <v>983</v>
      </c>
    </row>
    <row r="280" spans="1:4" x14ac:dyDescent="0.2">
      <c r="A280" s="3" t="s">
        <v>300</v>
      </c>
      <c r="B280" s="3" t="s">
        <v>1</v>
      </c>
      <c r="C280" s="3" t="s">
        <v>17</v>
      </c>
      <c r="D280" s="3" t="s">
        <v>983</v>
      </c>
    </row>
    <row r="281" spans="1:4" x14ac:dyDescent="0.2">
      <c r="A281" s="3" t="s">
        <v>151</v>
      </c>
      <c r="B281" s="3" t="s">
        <v>1</v>
      </c>
      <c r="C281" s="3" t="s">
        <v>17</v>
      </c>
      <c r="D281" s="3" t="s">
        <v>939</v>
      </c>
    </row>
    <row r="282" spans="1:4" x14ac:dyDescent="0.2">
      <c r="A282" s="3" t="s">
        <v>296</v>
      </c>
      <c r="B282" s="3" t="s">
        <v>1</v>
      </c>
      <c r="C282" s="3" t="s">
        <v>17</v>
      </c>
      <c r="D282" s="3" t="s">
        <v>939</v>
      </c>
    </row>
    <row r="283" spans="1:4" x14ac:dyDescent="0.2">
      <c r="A283" s="3" t="s">
        <v>297</v>
      </c>
      <c r="B283" s="3" t="s">
        <v>1</v>
      </c>
      <c r="C283" s="3" t="s">
        <v>17</v>
      </c>
      <c r="D283" s="3" t="s">
        <v>939</v>
      </c>
    </row>
    <row r="284" spans="1:4" x14ac:dyDescent="0.2">
      <c r="A284" s="3" t="s">
        <v>298</v>
      </c>
      <c r="B284" s="3" t="s">
        <v>1</v>
      </c>
      <c r="C284" s="3" t="s">
        <v>17</v>
      </c>
      <c r="D284" s="3" t="s">
        <v>939</v>
      </c>
    </row>
    <row r="285" spans="1:4" x14ac:dyDescent="0.2">
      <c r="A285" s="3" t="s">
        <v>309</v>
      </c>
      <c r="B285" s="3" t="s">
        <v>1</v>
      </c>
      <c r="C285" s="3" t="s">
        <v>17</v>
      </c>
      <c r="D285" s="3" t="s">
        <v>939</v>
      </c>
    </row>
    <row r="286" spans="1:4" x14ac:dyDescent="0.2">
      <c r="A286" s="3" t="s">
        <v>311</v>
      </c>
      <c r="B286" s="3" t="s">
        <v>1</v>
      </c>
      <c r="C286" s="3" t="s">
        <v>985</v>
      </c>
      <c r="D286" s="3" t="s">
        <v>985</v>
      </c>
    </row>
    <row r="287" spans="1:4" x14ac:dyDescent="0.2">
      <c r="A287" s="3" t="s">
        <v>312</v>
      </c>
      <c r="B287" s="3" t="s">
        <v>1</v>
      </c>
      <c r="C287" s="3" t="s">
        <v>985</v>
      </c>
      <c r="D287" s="3" t="s">
        <v>985</v>
      </c>
    </row>
    <row r="288" spans="1:4" x14ac:dyDescent="0.2">
      <c r="A288" s="3" t="s">
        <v>40</v>
      </c>
      <c r="B288" s="3" t="s">
        <v>27</v>
      </c>
      <c r="C288" s="3" t="s">
        <v>966</v>
      </c>
      <c r="D288" s="3" t="s">
        <v>977</v>
      </c>
    </row>
    <row r="289" spans="1:4" x14ac:dyDescent="0.2">
      <c r="A289" s="3" t="s">
        <v>115</v>
      </c>
      <c r="B289" s="3" t="s">
        <v>27</v>
      </c>
      <c r="C289" s="3" t="s">
        <v>966</v>
      </c>
      <c r="D289" s="3" t="s">
        <v>977</v>
      </c>
    </row>
    <row r="290" spans="1:4" x14ac:dyDescent="0.2">
      <c r="A290" s="3" t="s">
        <v>116</v>
      </c>
      <c r="B290" s="3" t="s">
        <v>27</v>
      </c>
      <c r="C290" s="3" t="s">
        <v>966</v>
      </c>
      <c r="D290" s="3" t="s">
        <v>977</v>
      </c>
    </row>
    <row r="291" spans="1:4" x14ac:dyDescent="0.2">
      <c r="A291" s="3" t="s">
        <v>117</v>
      </c>
      <c r="B291" s="3" t="s">
        <v>27</v>
      </c>
      <c r="C291" s="3" t="s">
        <v>966</v>
      </c>
      <c r="D291" s="3" t="s">
        <v>977</v>
      </c>
    </row>
    <row r="292" spans="1:4" x14ac:dyDescent="0.2">
      <c r="A292" s="3" t="s">
        <v>41</v>
      </c>
      <c r="B292" s="3" t="s">
        <v>27</v>
      </c>
      <c r="C292" s="3" t="s">
        <v>966</v>
      </c>
      <c r="D292" s="3" t="s">
        <v>977</v>
      </c>
    </row>
    <row r="293" spans="1:4" x14ac:dyDescent="0.2">
      <c r="A293" s="3" t="s">
        <v>118</v>
      </c>
      <c r="B293" s="3" t="s">
        <v>27</v>
      </c>
      <c r="C293" s="3" t="s">
        <v>966</v>
      </c>
      <c r="D293" s="3" t="s">
        <v>977</v>
      </c>
    </row>
    <row r="294" spans="1:4" x14ac:dyDescent="0.2">
      <c r="A294" s="3" t="s">
        <v>119</v>
      </c>
      <c r="B294" s="3" t="s">
        <v>27</v>
      </c>
      <c r="C294" s="3" t="s">
        <v>966</v>
      </c>
      <c r="D294" s="3" t="s">
        <v>977</v>
      </c>
    </row>
    <row r="295" spans="1:4" x14ac:dyDescent="0.2">
      <c r="A295" s="3" t="s">
        <v>120</v>
      </c>
      <c r="B295" s="3" t="s">
        <v>27</v>
      </c>
      <c r="C295" s="3" t="s">
        <v>966</v>
      </c>
      <c r="D295" s="3" t="s">
        <v>977</v>
      </c>
    </row>
    <row r="296" spans="1:4" x14ac:dyDescent="0.2">
      <c r="A296" s="3" t="s">
        <v>310</v>
      </c>
      <c r="B296" s="3" t="s">
        <v>1</v>
      </c>
      <c r="C296" s="3" t="s">
        <v>17</v>
      </c>
      <c r="D296" s="3" t="s">
        <v>984</v>
      </c>
    </row>
    <row r="297" spans="1:4" x14ac:dyDescent="0.2">
      <c r="A297" s="3" t="s">
        <v>318</v>
      </c>
      <c r="B297" s="3" t="s">
        <v>1</v>
      </c>
      <c r="C297" s="3" t="s">
        <v>17</v>
      </c>
      <c r="D297" s="3" t="s">
        <v>987</v>
      </c>
    </row>
    <row r="298" spans="1:4" x14ac:dyDescent="0.2">
      <c r="A298" s="3" t="s">
        <v>319</v>
      </c>
      <c r="B298" s="3" t="s">
        <v>1</v>
      </c>
      <c r="C298" s="3" t="s">
        <v>17</v>
      </c>
      <c r="D298" s="3" t="s">
        <v>987</v>
      </c>
    </row>
    <row r="299" spans="1:4" x14ac:dyDescent="0.2">
      <c r="A299" s="3" t="s">
        <v>322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323</v>
      </c>
      <c r="B300" s="3" t="s">
        <v>1</v>
      </c>
      <c r="C300" s="3" t="s">
        <v>17</v>
      </c>
      <c r="D300" s="3" t="s">
        <v>989</v>
      </c>
    </row>
    <row r="301" spans="1:4" x14ac:dyDescent="0.2">
      <c r="A301" s="3" t="s">
        <v>324</v>
      </c>
      <c r="B301" s="3" t="s">
        <v>1</v>
      </c>
      <c r="C301" s="3" t="s">
        <v>17</v>
      </c>
      <c r="D301" s="3" t="s">
        <v>990</v>
      </c>
    </row>
    <row r="302" spans="1:4" x14ac:dyDescent="0.2">
      <c r="A302" s="3" t="s">
        <v>320</v>
      </c>
      <c r="B302" s="3" t="s">
        <v>1</v>
      </c>
      <c r="C302" s="3" t="s">
        <v>17</v>
      </c>
      <c r="D302" s="3" t="s">
        <v>988</v>
      </c>
    </row>
    <row r="303" spans="1:4" x14ac:dyDescent="0.2">
      <c r="A303" s="3" t="s">
        <v>321</v>
      </c>
      <c r="B303" s="3" t="s">
        <v>1</v>
      </c>
      <c r="C303" s="3" t="s">
        <v>17</v>
      </c>
      <c r="D303" s="3" t="s">
        <v>988</v>
      </c>
    </row>
    <row r="304" spans="1:4" x14ac:dyDescent="0.2">
      <c r="A304" s="3" t="s">
        <v>325</v>
      </c>
      <c r="B304" s="3" t="s">
        <v>1</v>
      </c>
      <c r="C304" s="3" t="s">
        <v>17</v>
      </c>
      <c r="D304" s="3" t="s">
        <v>991</v>
      </c>
    </row>
    <row r="305" spans="1:4" x14ac:dyDescent="0.2">
      <c r="A305" s="3" t="s">
        <v>326</v>
      </c>
      <c r="B305" s="3" t="s">
        <v>1</v>
      </c>
      <c r="C305" s="3" t="s">
        <v>17</v>
      </c>
      <c r="D305" s="3" t="s">
        <v>991</v>
      </c>
    </row>
    <row r="306" spans="1:4" x14ac:dyDescent="0.2">
      <c r="A306" s="3" t="s">
        <v>327</v>
      </c>
      <c r="B306" s="3" t="s">
        <v>1</v>
      </c>
      <c r="C306" s="3" t="s">
        <v>17</v>
      </c>
      <c r="D306" s="3" t="s">
        <v>991</v>
      </c>
    </row>
    <row r="307" spans="1:4" x14ac:dyDescent="0.2">
      <c r="A307" s="3" t="s">
        <v>328</v>
      </c>
      <c r="B307" s="3" t="s">
        <v>1</v>
      </c>
      <c r="C307" s="3" t="s">
        <v>17</v>
      </c>
      <c r="D307" s="3" t="s">
        <v>991</v>
      </c>
    </row>
    <row r="308" spans="1:4" x14ac:dyDescent="0.2">
      <c r="A308" s="3" t="s">
        <v>329</v>
      </c>
      <c r="B308" s="3" t="s">
        <v>1</v>
      </c>
      <c r="C308" s="3" t="s">
        <v>17</v>
      </c>
      <c r="D308" s="3" t="s">
        <v>991</v>
      </c>
    </row>
    <row r="309" spans="1:4" x14ac:dyDescent="0.2">
      <c r="A309" s="3" t="s">
        <v>127</v>
      </c>
      <c r="B309" s="3" t="s">
        <v>1</v>
      </c>
      <c r="C309" s="3" t="s">
        <v>17</v>
      </c>
      <c r="D309" s="3" t="s">
        <v>992</v>
      </c>
    </row>
    <row r="310" spans="1:4" x14ac:dyDescent="0.2">
      <c r="A310" s="3" t="s">
        <v>46</v>
      </c>
      <c r="B310" s="3" t="s">
        <v>1</v>
      </c>
      <c r="C310" s="3" t="s">
        <v>17</v>
      </c>
      <c r="D310" s="3" t="s">
        <v>992</v>
      </c>
    </row>
    <row r="311" spans="1:4" x14ac:dyDescent="0.2">
      <c r="A311" s="3" t="s">
        <v>330</v>
      </c>
      <c r="B311" s="3" t="s">
        <v>1</v>
      </c>
      <c r="C311" s="3" t="s">
        <v>17</v>
      </c>
      <c r="D311" s="3" t="s">
        <v>992</v>
      </c>
    </row>
    <row r="312" spans="1:4" x14ac:dyDescent="0.2">
      <c r="A312" s="3" t="s">
        <v>335</v>
      </c>
      <c r="B312" s="3" t="s">
        <v>1</v>
      </c>
      <c r="C312" s="3" t="s">
        <v>17</v>
      </c>
      <c r="D312" s="3" t="s">
        <v>933</v>
      </c>
    </row>
    <row r="313" spans="1:4" x14ac:dyDescent="0.2">
      <c r="A313" s="3" t="s">
        <v>45</v>
      </c>
      <c r="B313" s="3" t="s">
        <v>1</v>
      </c>
      <c r="C313" s="3" t="s">
        <v>17</v>
      </c>
      <c r="D313" s="3" t="s">
        <v>933</v>
      </c>
    </row>
    <row r="314" spans="1:4" x14ac:dyDescent="0.2">
      <c r="A314" s="3" t="s">
        <v>336</v>
      </c>
      <c r="B314" s="3" t="s">
        <v>1</v>
      </c>
      <c r="C314" s="3" t="s">
        <v>17</v>
      </c>
      <c r="D314" s="3" t="s">
        <v>933</v>
      </c>
    </row>
    <row r="315" spans="1:4" x14ac:dyDescent="0.2">
      <c r="A315" s="3" t="s">
        <v>337</v>
      </c>
      <c r="B315" s="3" t="s">
        <v>1</v>
      </c>
      <c r="C315" s="3" t="s">
        <v>17</v>
      </c>
      <c r="D315" s="3" t="s">
        <v>933</v>
      </c>
    </row>
    <row r="316" spans="1:4" x14ac:dyDescent="0.2">
      <c r="A316" s="3" t="s">
        <v>44</v>
      </c>
      <c r="B316" s="3" t="s">
        <v>1</v>
      </c>
      <c r="C316" s="3" t="s">
        <v>17</v>
      </c>
      <c r="D316" s="3" t="s">
        <v>933</v>
      </c>
    </row>
    <row r="317" spans="1:4" x14ac:dyDescent="0.2">
      <c r="A317" s="3" t="s">
        <v>1153</v>
      </c>
      <c r="B317" s="3" t="s">
        <v>1</v>
      </c>
      <c r="C317" s="3" t="s">
        <v>17</v>
      </c>
      <c r="D317" s="3" t="s">
        <v>933</v>
      </c>
    </row>
    <row r="318" spans="1:4" x14ac:dyDescent="0.2">
      <c r="A318" s="3" t="s">
        <v>332</v>
      </c>
      <c r="B318" s="3" t="s">
        <v>1</v>
      </c>
      <c r="C318" s="3" t="s">
        <v>993</v>
      </c>
      <c r="D318" s="3" t="s">
        <v>994</v>
      </c>
    </row>
    <row r="319" spans="1:4" x14ac:dyDescent="0.2">
      <c r="A319" s="3" t="s">
        <v>333</v>
      </c>
      <c r="B319" s="3" t="s">
        <v>1</v>
      </c>
      <c r="C319" s="3" t="s">
        <v>993</v>
      </c>
      <c r="D319" s="3" t="s">
        <v>994</v>
      </c>
    </row>
    <row r="320" spans="1:4" x14ac:dyDescent="0.2">
      <c r="A320" s="3" t="s">
        <v>334</v>
      </c>
      <c r="B320" s="3" t="s">
        <v>1</v>
      </c>
      <c r="C320" s="3" t="s">
        <v>993</v>
      </c>
      <c r="D320" s="3" t="s">
        <v>994</v>
      </c>
    </row>
    <row r="321" spans="1:4" x14ac:dyDescent="0.2">
      <c r="A321" s="3" t="s">
        <v>338</v>
      </c>
      <c r="B321" s="3" t="s">
        <v>1</v>
      </c>
      <c r="C321" s="3" t="s">
        <v>993</v>
      </c>
      <c r="D321" s="3" t="s">
        <v>994</v>
      </c>
    </row>
    <row r="322" spans="1:4" x14ac:dyDescent="0.2">
      <c r="A322" s="3" t="s">
        <v>43</v>
      </c>
      <c r="B322" s="3" t="s">
        <v>1</v>
      </c>
      <c r="C322" s="3" t="s">
        <v>993</v>
      </c>
      <c r="D322" s="3" t="s">
        <v>994</v>
      </c>
    </row>
    <row r="323" spans="1:4" x14ac:dyDescent="0.2">
      <c r="A323" s="3" t="s">
        <v>339</v>
      </c>
      <c r="B323" s="3" t="s">
        <v>1</v>
      </c>
      <c r="C323" s="3" t="s">
        <v>993</v>
      </c>
      <c r="D323" s="3" t="s">
        <v>994</v>
      </c>
    </row>
    <row r="324" spans="1:4" x14ac:dyDescent="0.2">
      <c r="A324" s="3" t="s">
        <v>98</v>
      </c>
      <c r="B324" s="3" t="s">
        <v>1</v>
      </c>
      <c r="C324" s="3" t="s">
        <v>993</v>
      </c>
      <c r="D324" s="3" t="s">
        <v>994</v>
      </c>
    </row>
    <row r="325" spans="1:4" x14ac:dyDescent="0.2">
      <c r="A325" s="3" t="s">
        <v>340</v>
      </c>
      <c r="B325" s="3" t="s">
        <v>1</v>
      </c>
      <c r="C325" s="3" t="s">
        <v>993</v>
      </c>
      <c r="D325" s="3" t="s">
        <v>994</v>
      </c>
    </row>
    <row r="326" spans="1:4" x14ac:dyDescent="0.2">
      <c r="A326" s="3" t="s">
        <v>341</v>
      </c>
      <c r="B326" s="3" t="s">
        <v>1</v>
      </c>
      <c r="C326" s="3" t="s">
        <v>993</v>
      </c>
      <c r="D326" s="3" t="s">
        <v>994</v>
      </c>
    </row>
    <row r="327" spans="1:4" x14ac:dyDescent="0.2">
      <c r="A327" s="3" t="s">
        <v>1154</v>
      </c>
      <c r="B327" s="3" t="s">
        <v>1</v>
      </c>
      <c r="C327" s="3" t="s">
        <v>17</v>
      </c>
      <c r="D327" s="3" t="s">
        <v>995</v>
      </c>
    </row>
    <row r="328" spans="1:4" x14ac:dyDescent="0.2">
      <c r="A328" s="3" t="s">
        <v>1155</v>
      </c>
      <c r="B328" s="3" t="s">
        <v>1</v>
      </c>
      <c r="C328" s="3" t="s">
        <v>17</v>
      </c>
      <c r="D328" s="3" t="s">
        <v>995</v>
      </c>
    </row>
    <row r="329" spans="1:4" x14ac:dyDescent="0.2">
      <c r="A329" s="3" t="s">
        <v>481</v>
      </c>
      <c r="B329" s="3" t="s">
        <v>930</v>
      </c>
      <c r="C329" s="3" t="s">
        <v>944</v>
      </c>
      <c r="D329" s="3" t="s">
        <v>965</v>
      </c>
    </row>
    <row r="330" spans="1:4" x14ac:dyDescent="0.2">
      <c r="A330" s="3" t="s">
        <v>482</v>
      </c>
      <c r="B330" s="3" t="s">
        <v>930</v>
      </c>
      <c r="C330" s="3" t="s">
        <v>944</v>
      </c>
      <c r="D330" s="3" t="s">
        <v>965</v>
      </c>
    </row>
    <row r="331" spans="1:4" x14ac:dyDescent="0.2">
      <c r="A331" s="3" t="s">
        <v>485</v>
      </c>
      <c r="B331" s="3" t="s">
        <v>930</v>
      </c>
      <c r="C331" s="3" t="s">
        <v>944</v>
      </c>
      <c r="D331" s="3" t="s">
        <v>965</v>
      </c>
    </row>
    <row r="332" spans="1:4" x14ac:dyDescent="0.2">
      <c r="A332" s="3" t="s">
        <v>486</v>
      </c>
      <c r="B332" s="3" t="s">
        <v>930</v>
      </c>
      <c r="C332" s="3" t="s">
        <v>944</v>
      </c>
      <c r="D332" s="3" t="s">
        <v>965</v>
      </c>
    </row>
    <row r="333" spans="1:4" x14ac:dyDescent="0.2">
      <c r="A333" s="3" t="s">
        <v>483</v>
      </c>
      <c r="B333" s="3" t="s">
        <v>930</v>
      </c>
      <c r="C333" s="3" t="s">
        <v>944</v>
      </c>
      <c r="D333" s="3" t="s">
        <v>965</v>
      </c>
    </row>
    <row r="334" spans="1:4" x14ac:dyDescent="0.2">
      <c r="A334" s="3" t="s">
        <v>484</v>
      </c>
      <c r="B334" s="3" t="s">
        <v>930</v>
      </c>
      <c r="C334" s="3" t="s">
        <v>944</v>
      </c>
      <c r="D334" s="3" t="s">
        <v>965</v>
      </c>
    </row>
    <row r="335" spans="1:4" x14ac:dyDescent="0.2">
      <c r="A335" s="3" t="s">
        <v>343</v>
      </c>
      <c r="B335" s="3" t="s">
        <v>1</v>
      </c>
      <c r="C335" s="3" t="s">
        <v>978</v>
      </c>
      <c r="D335" s="3" t="s">
        <v>996</v>
      </c>
    </row>
    <row r="336" spans="1:4" x14ac:dyDescent="0.2">
      <c r="A336" s="3" t="s">
        <v>345</v>
      </c>
      <c r="B336" s="3" t="s">
        <v>1</v>
      </c>
      <c r="C336" s="3" t="s">
        <v>937</v>
      </c>
      <c r="D336" s="3" t="s">
        <v>998</v>
      </c>
    </row>
    <row r="337" spans="1:4" x14ac:dyDescent="0.2">
      <c r="A337" s="3" t="s">
        <v>346</v>
      </c>
      <c r="B337" s="3" t="s">
        <v>1</v>
      </c>
      <c r="C337" s="3" t="s">
        <v>937</v>
      </c>
      <c r="D337" s="3" t="s">
        <v>998</v>
      </c>
    </row>
    <row r="338" spans="1:4" x14ac:dyDescent="0.2">
      <c r="A338" s="3" t="s">
        <v>347</v>
      </c>
      <c r="B338" s="3" t="s">
        <v>1</v>
      </c>
      <c r="C338" s="3" t="s">
        <v>937</v>
      </c>
      <c r="D338" s="3" t="s">
        <v>998</v>
      </c>
    </row>
    <row r="339" spans="1:4" x14ac:dyDescent="0.2">
      <c r="A339" s="3" t="s">
        <v>348</v>
      </c>
      <c r="B339" s="3" t="s">
        <v>1</v>
      </c>
      <c r="C339" s="3" t="s">
        <v>937</v>
      </c>
      <c r="D339" s="3" t="s">
        <v>998</v>
      </c>
    </row>
    <row r="340" spans="1:4" x14ac:dyDescent="0.2">
      <c r="A340" s="3" t="s">
        <v>351</v>
      </c>
      <c r="B340" s="3" t="s">
        <v>1</v>
      </c>
      <c r="C340" s="3" t="s">
        <v>937</v>
      </c>
      <c r="D340" s="3" t="s">
        <v>998</v>
      </c>
    </row>
    <row r="341" spans="1:4" x14ac:dyDescent="0.2">
      <c r="A341" s="3" t="s">
        <v>352</v>
      </c>
      <c r="B341" s="3" t="s">
        <v>1</v>
      </c>
      <c r="C341" s="3" t="s">
        <v>937</v>
      </c>
      <c r="D341" s="3" t="s">
        <v>998</v>
      </c>
    </row>
    <row r="342" spans="1:4" x14ac:dyDescent="0.2">
      <c r="A342" s="3" t="s">
        <v>353</v>
      </c>
      <c r="B342" s="3" t="s">
        <v>1</v>
      </c>
      <c r="C342" s="3" t="s">
        <v>937</v>
      </c>
      <c r="D342" s="3" t="s">
        <v>998</v>
      </c>
    </row>
    <row r="343" spans="1:4" x14ac:dyDescent="0.2">
      <c r="A343" s="3" t="s">
        <v>354</v>
      </c>
      <c r="B343" s="3" t="s">
        <v>1</v>
      </c>
      <c r="C343" s="3" t="s">
        <v>937</v>
      </c>
      <c r="D343" s="3" t="s">
        <v>998</v>
      </c>
    </row>
    <row r="344" spans="1:4" x14ac:dyDescent="0.2">
      <c r="A344" s="3" t="s">
        <v>409</v>
      </c>
      <c r="B344" s="3" t="s">
        <v>949</v>
      </c>
      <c r="C344" s="3" t="s">
        <v>17</v>
      </c>
      <c r="D344" s="3" t="s">
        <v>1005</v>
      </c>
    </row>
    <row r="345" spans="1:4" x14ac:dyDescent="0.2">
      <c r="A345" s="3" t="s">
        <v>410</v>
      </c>
      <c r="B345" s="3" t="s">
        <v>949</v>
      </c>
      <c r="C345" s="3" t="s">
        <v>17</v>
      </c>
      <c r="D345" s="3" t="s">
        <v>1005</v>
      </c>
    </row>
    <row r="346" spans="1:4" x14ac:dyDescent="0.2">
      <c r="A346" s="3" t="s">
        <v>372</v>
      </c>
      <c r="B346" s="3" t="s">
        <v>1</v>
      </c>
      <c r="C346" s="3" t="s">
        <v>17</v>
      </c>
      <c r="D346" s="3" t="s">
        <v>1006</v>
      </c>
    </row>
    <row r="347" spans="1:4" x14ac:dyDescent="0.2">
      <c r="A347" s="3" t="s">
        <v>371</v>
      </c>
      <c r="B347" s="3" t="s">
        <v>1</v>
      </c>
      <c r="C347" s="3" t="s">
        <v>19</v>
      </c>
      <c r="D347" s="3" t="s">
        <v>1004</v>
      </c>
    </row>
    <row r="348" spans="1:4" x14ac:dyDescent="0.2">
      <c r="A348" s="3" t="s">
        <v>367</v>
      </c>
      <c r="B348" s="3" t="s">
        <v>1</v>
      </c>
      <c r="C348" s="3" t="s">
        <v>29</v>
      </c>
      <c r="D348" s="3" t="s">
        <v>1002</v>
      </c>
    </row>
    <row r="349" spans="1:4" x14ac:dyDescent="0.2">
      <c r="A349" s="3" t="s">
        <v>368</v>
      </c>
      <c r="B349" s="3" t="s">
        <v>1</v>
      </c>
      <c r="C349" s="3" t="s">
        <v>29</v>
      </c>
      <c r="D349" s="3" t="s">
        <v>1002</v>
      </c>
    </row>
    <row r="350" spans="1:4" x14ac:dyDescent="0.2">
      <c r="A350" s="3" t="s">
        <v>369</v>
      </c>
      <c r="B350" s="3" t="s">
        <v>1</v>
      </c>
      <c r="C350" s="3" t="s">
        <v>17</v>
      </c>
      <c r="D350" s="3" t="s">
        <v>1003</v>
      </c>
    </row>
    <row r="351" spans="1:4" x14ac:dyDescent="0.2">
      <c r="A351" s="3" t="s">
        <v>359</v>
      </c>
      <c r="B351" s="3" t="s">
        <v>1</v>
      </c>
      <c r="C351" s="3" t="s">
        <v>19</v>
      </c>
      <c r="D351" s="3" t="s">
        <v>1001</v>
      </c>
    </row>
    <row r="352" spans="1:4" x14ac:dyDescent="0.2">
      <c r="A352" s="3" t="s">
        <v>360</v>
      </c>
      <c r="B352" s="3" t="s">
        <v>1</v>
      </c>
      <c r="C352" s="3" t="s">
        <v>19</v>
      </c>
      <c r="D352" s="3" t="s">
        <v>1001</v>
      </c>
    </row>
    <row r="353" spans="1:4" x14ac:dyDescent="0.2">
      <c r="A353" s="3" t="s">
        <v>361</v>
      </c>
      <c r="B353" s="3" t="s">
        <v>1</v>
      </c>
      <c r="C353" s="3" t="s">
        <v>19</v>
      </c>
      <c r="D353" s="3" t="s">
        <v>1001</v>
      </c>
    </row>
    <row r="354" spans="1:4" x14ac:dyDescent="0.2">
      <c r="A354" s="3" t="s">
        <v>362</v>
      </c>
      <c r="B354" s="3" t="s">
        <v>1</v>
      </c>
      <c r="C354" s="3" t="s">
        <v>19</v>
      </c>
      <c r="D354" s="3" t="s">
        <v>1001</v>
      </c>
    </row>
    <row r="355" spans="1:4" x14ac:dyDescent="0.2">
      <c r="A355" s="3" t="s">
        <v>363</v>
      </c>
      <c r="B355" s="3" t="s">
        <v>1</v>
      </c>
      <c r="C355" s="3" t="s">
        <v>19</v>
      </c>
      <c r="D355" s="3" t="s">
        <v>1001</v>
      </c>
    </row>
    <row r="356" spans="1:4" x14ac:dyDescent="0.2">
      <c r="A356" s="3" t="s">
        <v>364</v>
      </c>
      <c r="B356" s="3" t="s">
        <v>1</v>
      </c>
      <c r="C356" s="3" t="s">
        <v>19</v>
      </c>
      <c r="D356" s="3" t="s">
        <v>1001</v>
      </c>
    </row>
    <row r="357" spans="1:4" x14ac:dyDescent="0.2">
      <c r="A357" s="3" t="s">
        <v>365</v>
      </c>
      <c r="B357" s="3" t="s">
        <v>1</v>
      </c>
      <c r="C357" s="3" t="s">
        <v>19</v>
      </c>
      <c r="D357" s="3" t="s">
        <v>1001</v>
      </c>
    </row>
    <row r="358" spans="1:4" x14ac:dyDescent="0.2">
      <c r="A358" s="3" t="s">
        <v>366</v>
      </c>
      <c r="B358" s="3" t="s">
        <v>1</v>
      </c>
      <c r="C358" s="3" t="s">
        <v>19</v>
      </c>
      <c r="D358" s="3" t="s">
        <v>1001</v>
      </c>
    </row>
    <row r="359" spans="1:4" x14ac:dyDescent="0.2">
      <c r="A359" s="3" t="s">
        <v>473</v>
      </c>
      <c r="B359" s="3" t="s">
        <v>1</v>
      </c>
      <c r="C359" s="3" t="s">
        <v>19</v>
      </c>
      <c r="D359" s="3" t="s">
        <v>1001</v>
      </c>
    </row>
    <row r="360" spans="1:4" x14ac:dyDescent="0.2">
      <c r="A360" s="3" t="s">
        <v>355</v>
      </c>
      <c r="B360" s="3" t="s">
        <v>1</v>
      </c>
      <c r="C360" s="3" t="s">
        <v>17</v>
      </c>
      <c r="D360" s="3" t="s">
        <v>1000</v>
      </c>
    </row>
    <row r="361" spans="1:4" x14ac:dyDescent="0.2">
      <c r="A361" s="3" t="s">
        <v>356</v>
      </c>
      <c r="B361" s="3" t="s">
        <v>1</v>
      </c>
      <c r="C361" s="3" t="s">
        <v>17</v>
      </c>
      <c r="D361" s="3" t="s">
        <v>1000</v>
      </c>
    </row>
    <row r="362" spans="1:4" x14ac:dyDescent="0.2">
      <c r="A362" s="3" t="s">
        <v>357</v>
      </c>
      <c r="B362" s="3" t="s">
        <v>1</v>
      </c>
      <c r="C362" s="3" t="s">
        <v>17</v>
      </c>
      <c r="D362" s="3" t="s">
        <v>1000</v>
      </c>
    </row>
    <row r="363" spans="1:4" x14ac:dyDescent="0.2">
      <c r="A363" s="3" t="s">
        <v>358</v>
      </c>
      <c r="B363" s="3" t="s">
        <v>1</v>
      </c>
      <c r="C363" s="3" t="s">
        <v>17</v>
      </c>
      <c r="D363" s="3" t="s">
        <v>1000</v>
      </c>
    </row>
    <row r="364" spans="1:4" x14ac:dyDescent="0.2">
      <c r="A364" s="3" t="s">
        <v>373</v>
      </c>
      <c r="B364" s="3" t="s">
        <v>1</v>
      </c>
      <c r="C364" s="3" t="s">
        <v>17</v>
      </c>
      <c r="D364" s="3" t="s">
        <v>1007</v>
      </c>
    </row>
    <row r="365" spans="1:4" x14ac:dyDescent="0.2">
      <c r="A365" s="3" t="s">
        <v>374</v>
      </c>
      <c r="B365" s="3" t="s">
        <v>1</v>
      </c>
      <c r="C365" s="3" t="s">
        <v>17</v>
      </c>
      <c r="D365" s="3" t="s">
        <v>1007</v>
      </c>
    </row>
    <row r="366" spans="1:4" x14ac:dyDescent="0.2">
      <c r="A366" s="3" t="s">
        <v>375</v>
      </c>
      <c r="B366" s="3" t="s">
        <v>1</v>
      </c>
      <c r="C366" s="3" t="s">
        <v>17</v>
      </c>
      <c r="D366" s="3" t="s">
        <v>1007</v>
      </c>
    </row>
    <row r="367" spans="1:4" x14ac:dyDescent="0.2">
      <c r="A367" s="3" t="s">
        <v>376</v>
      </c>
      <c r="B367" s="3" t="s">
        <v>1</v>
      </c>
      <c r="C367" s="3" t="s">
        <v>17</v>
      </c>
      <c r="D367" s="3" t="s">
        <v>1007</v>
      </c>
    </row>
    <row r="368" spans="1:4" x14ac:dyDescent="0.2">
      <c r="A368" s="3" t="s">
        <v>381</v>
      </c>
      <c r="B368" s="3" t="s">
        <v>1</v>
      </c>
      <c r="C368" s="3" t="s">
        <v>17</v>
      </c>
      <c r="D368" s="3" t="s">
        <v>1009</v>
      </c>
    </row>
    <row r="369" spans="1:4" x14ac:dyDescent="0.2">
      <c r="A369" s="3" t="s">
        <v>382</v>
      </c>
      <c r="B369" s="3" t="s">
        <v>1</v>
      </c>
      <c r="C369" s="3" t="s">
        <v>17</v>
      </c>
      <c r="D369" s="3" t="s">
        <v>1009</v>
      </c>
    </row>
    <row r="370" spans="1:4" x14ac:dyDescent="0.2">
      <c r="A370" s="3" t="s">
        <v>383</v>
      </c>
      <c r="B370" s="3" t="s">
        <v>1</v>
      </c>
      <c r="C370" s="3" t="s">
        <v>17</v>
      </c>
      <c r="D370" s="3" t="s">
        <v>1009</v>
      </c>
    </row>
    <row r="371" spans="1:4" x14ac:dyDescent="0.2">
      <c r="A371" s="3" t="s">
        <v>384</v>
      </c>
      <c r="B371" s="3" t="s">
        <v>1</v>
      </c>
      <c r="C371" s="3" t="s">
        <v>17</v>
      </c>
      <c r="D371" s="3" t="s">
        <v>1009</v>
      </c>
    </row>
    <row r="372" spans="1:4" x14ac:dyDescent="0.2">
      <c r="A372" s="3" t="s">
        <v>385</v>
      </c>
      <c r="B372" s="3" t="s">
        <v>1</v>
      </c>
      <c r="C372" s="3" t="s">
        <v>17</v>
      </c>
      <c r="D372" s="3" t="s">
        <v>1009</v>
      </c>
    </row>
    <row r="373" spans="1:4" x14ac:dyDescent="0.2">
      <c r="A373" s="3" t="s">
        <v>386</v>
      </c>
      <c r="B373" s="3" t="s">
        <v>1</v>
      </c>
      <c r="C373" s="3" t="s">
        <v>978</v>
      </c>
      <c r="D373" s="3" t="s">
        <v>1010</v>
      </c>
    </row>
    <row r="374" spans="1:4" x14ac:dyDescent="0.2">
      <c r="A374" s="3" t="s">
        <v>1597</v>
      </c>
      <c r="B374" s="3" t="s">
        <v>1</v>
      </c>
      <c r="C374" s="3" t="s">
        <v>978</v>
      </c>
      <c r="D374" s="3" t="s">
        <v>1010</v>
      </c>
    </row>
    <row r="375" spans="1:4" x14ac:dyDescent="0.2">
      <c r="A375" s="3" t="s">
        <v>314</v>
      </c>
      <c r="B375" s="3" t="s">
        <v>1</v>
      </c>
      <c r="C375" s="3" t="s">
        <v>17</v>
      </c>
      <c r="D375" s="3" t="s">
        <v>986</v>
      </c>
    </row>
    <row r="376" spans="1:4" x14ac:dyDescent="0.2">
      <c r="A376" s="3" t="s">
        <v>315</v>
      </c>
      <c r="B376" s="3" t="s">
        <v>1</v>
      </c>
      <c r="C376" s="3" t="s">
        <v>17</v>
      </c>
      <c r="D376" s="3" t="s">
        <v>986</v>
      </c>
    </row>
    <row r="377" spans="1:4" x14ac:dyDescent="0.2">
      <c r="A377" s="3" t="s">
        <v>316</v>
      </c>
      <c r="B377" s="3" t="s">
        <v>1</v>
      </c>
      <c r="C377" s="3" t="s">
        <v>17</v>
      </c>
      <c r="D377" s="3" t="s">
        <v>986</v>
      </c>
    </row>
    <row r="378" spans="1:4" x14ac:dyDescent="0.2">
      <c r="A378" s="3" t="s">
        <v>122</v>
      </c>
      <c r="B378" s="3" t="s">
        <v>27</v>
      </c>
      <c r="C378" s="3" t="s">
        <v>993</v>
      </c>
      <c r="D378" s="3" t="s">
        <v>1014</v>
      </c>
    </row>
    <row r="379" spans="1:4" x14ac:dyDescent="0.2">
      <c r="A379" s="3" t="s">
        <v>123</v>
      </c>
      <c r="B379" s="3" t="s">
        <v>27</v>
      </c>
      <c r="C379" s="3" t="s">
        <v>993</v>
      </c>
      <c r="D379" s="3" t="s">
        <v>1014</v>
      </c>
    </row>
    <row r="380" spans="1:4" x14ac:dyDescent="0.2">
      <c r="A380" s="3" t="s">
        <v>124</v>
      </c>
      <c r="B380" s="3" t="s">
        <v>27</v>
      </c>
      <c r="C380" s="3" t="s">
        <v>993</v>
      </c>
      <c r="D380" s="3" t="s">
        <v>1014</v>
      </c>
    </row>
    <row r="381" spans="1:4" x14ac:dyDescent="0.2">
      <c r="A381" s="3" t="s">
        <v>456</v>
      </c>
      <c r="B381" s="3" t="s">
        <v>1158</v>
      </c>
      <c r="C381" s="3" t="s">
        <v>993</v>
      </c>
      <c r="D381" s="3" t="s">
        <v>1011</v>
      </c>
    </row>
    <row r="382" spans="1:4" x14ac:dyDescent="0.2">
      <c r="A382" s="3" t="s">
        <v>457</v>
      </c>
      <c r="B382" s="3" t="s">
        <v>1158</v>
      </c>
      <c r="C382" s="3" t="s">
        <v>993</v>
      </c>
      <c r="D382" s="3" t="s">
        <v>1011</v>
      </c>
    </row>
    <row r="383" spans="1:4" x14ac:dyDescent="0.2">
      <c r="A383" s="3" t="s">
        <v>458</v>
      </c>
      <c r="B383" s="3" t="s">
        <v>1158</v>
      </c>
      <c r="C383" s="3" t="s">
        <v>993</v>
      </c>
      <c r="D383" s="3" t="s">
        <v>1011</v>
      </c>
    </row>
    <row r="384" spans="1:4" x14ac:dyDescent="0.2">
      <c r="A384" s="3" t="s">
        <v>459</v>
      </c>
      <c r="B384" s="3" t="s">
        <v>1158</v>
      </c>
      <c r="C384" s="3" t="s">
        <v>993</v>
      </c>
      <c r="D384" s="3" t="s">
        <v>1011</v>
      </c>
    </row>
    <row r="385" spans="1:4" x14ac:dyDescent="0.2">
      <c r="A385" s="3" t="s">
        <v>461</v>
      </c>
      <c r="B385" s="3" t="s">
        <v>1158</v>
      </c>
      <c r="C385" s="3" t="s">
        <v>993</v>
      </c>
      <c r="D385" s="3" t="s">
        <v>1011</v>
      </c>
    </row>
    <row r="386" spans="1:4" x14ac:dyDescent="0.2">
      <c r="A386" s="3" t="s">
        <v>462</v>
      </c>
      <c r="B386" s="3" t="s">
        <v>1158</v>
      </c>
      <c r="C386" s="3" t="s">
        <v>993</v>
      </c>
      <c r="D386" s="3" t="s">
        <v>1011</v>
      </c>
    </row>
    <row r="387" spans="1:4" x14ac:dyDescent="0.2">
      <c r="A387" s="3" t="s">
        <v>463</v>
      </c>
      <c r="B387" s="3" t="s">
        <v>1158</v>
      </c>
      <c r="C387" s="3" t="s">
        <v>993</v>
      </c>
      <c r="D387" s="3" t="s">
        <v>1011</v>
      </c>
    </row>
    <row r="388" spans="1:4" x14ac:dyDescent="0.2">
      <c r="A388" s="3" t="s">
        <v>464</v>
      </c>
      <c r="B388" s="3" t="s">
        <v>1158</v>
      </c>
      <c r="C388" s="3" t="s">
        <v>993</v>
      </c>
      <c r="D388" s="3" t="s">
        <v>1011</v>
      </c>
    </row>
    <row r="389" spans="1:4" x14ac:dyDescent="0.2">
      <c r="A389" s="3" t="s">
        <v>465</v>
      </c>
      <c r="B389" s="3" t="s">
        <v>1158</v>
      </c>
      <c r="C389" s="3" t="s">
        <v>993</v>
      </c>
      <c r="D389" s="3" t="s">
        <v>1011</v>
      </c>
    </row>
    <row r="390" spans="1:4" x14ac:dyDescent="0.2">
      <c r="A390" s="3" t="s">
        <v>466</v>
      </c>
      <c r="B390" s="3" t="s">
        <v>1158</v>
      </c>
      <c r="C390" s="3" t="s">
        <v>993</v>
      </c>
      <c r="D390" s="3" t="s">
        <v>1011</v>
      </c>
    </row>
    <row r="391" spans="1:4" x14ac:dyDescent="0.2">
      <c r="A391" s="3" t="s">
        <v>467</v>
      </c>
      <c r="B391" s="3" t="s">
        <v>1158</v>
      </c>
      <c r="C391" s="3" t="s">
        <v>993</v>
      </c>
      <c r="D391" s="3" t="s">
        <v>1011</v>
      </c>
    </row>
    <row r="392" spans="1:4" x14ac:dyDescent="0.2">
      <c r="A392" s="3" t="s">
        <v>468</v>
      </c>
      <c r="B392" s="3" t="s">
        <v>1158</v>
      </c>
      <c r="C392" s="3" t="s">
        <v>993</v>
      </c>
      <c r="D392" s="3" t="s">
        <v>1011</v>
      </c>
    </row>
    <row r="393" spans="1:4" x14ac:dyDescent="0.2">
      <c r="A393" s="3" t="s">
        <v>469</v>
      </c>
      <c r="B393" s="3" t="s">
        <v>1158</v>
      </c>
      <c r="C393" s="3" t="s">
        <v>993</v>
      </c>
      <c r="D393" s="3" t="s">
        <v>1011</v>
      </c>
    </row>
    <row r="394" spans="1:4" x14ac:dyDescent="0.2">
      <c r="A394" s="3" t="s">
        <v>929</v>
      </c>
      <c r="B394" s="3" t="s">
        <v>1158</v>
      </c>
      <c r="C394" s="3" t="s">
        <v>993</v>
      </c>
      <c r="D394" s="3" t="s">
        <v>1011</v>
      </c>
    </row>
    <row r="395" spans="1:4" x14ac:dyDescent="0.2">
      <c r="A395" s="3" t="s">
        <v>470</v>
      </c>
      <c r="B395" s="3" t="s">
        <v>1158</v>
      </c>
      <c r="C395" s="3" t="s">
        <v>993</v>
      </c>
      <c r="D395" s="3" t="s">
        <v>1011</v>
      </c>
    </row>
    <row r="396" spans="1:4" x14ac:dyDescent="0.2">
      <c r="A396" s="3" t="s">
        <v>471</v>
      </c>
      <c r="B396" s="3" t="s">
        <v>1158</v>
      </c>
      <c r="C396" s="3" t="s">
        <v>993</v>
      </c>
      <c r="D396" s="3" t="s">
        <v>1011</v>
      </c>
    </row>
    <row r="397" spans="1:4" x14ac:dyDescent="0.2">
      <c r="A397" s="3" t="s">
        <v>472</v>
      </c>
      <c r="B397" s="3" t="s">
        <v>1158</v>
      </c>
      <c r="C397" s="3" t="s">
        <v>993</v>
      </c>
      <c r="D397" s="3" t="s">
        <v>1011</v>
      </c>
    </row>
    <row r="398" spans="1:4" x14ac:dyDescent="0.2">
      <c r="A398" s="3" t="s">
        <v>474</v>
      </c>
      <c r="B398" s="3" t="s">
        <v>1158</v>
      </c>
      <c r="C398" s="3" t="s">
        <v>993</v>
      </c>
      <c r="D398" s="3" t="s">
        <v>1011</v>
      </c>
    </row>
    <row r="399" spans="1:4" x14ac:dyDescent="0.2">
      <c r="A399" s="3" t="s">
        <v>475</v>
      </c>
      <c r="B399" s="3" t="s">
        <v>1158</v>
      </c>
      <c r="C399" s="3" t="s">
        <v>993</v>
      </c>
      <c r="D399" s="3" t="s">
        <v>1011</v>
      </c>
    </row>
    <row r="400" spans="1:4" x14ac:dyDescent="0.2">
      <c r="A400" s="3" t="s">
        <v>476</v>
      </c>
      <c r="B400" s="3" t="s">
        <v>1158</v>
      </c>
      <c r="C400" s="3" t="s">
        <v>993</v>
      </c>
      <c r="D400" s="3" t="s">
        <v>1011</v>
      </c>
    </row>
    <row r="401" spans="1:4" x14ac:dyDescent="0.2">
      <c r="A401" s="7" t="s">
        <v>477</v>
      </c>
      <c r="B401" s="3" t="s">
        <v>1158</v>
      </c>
      <c r="C401" s="3" t="s">
        <v>993</v>
      </c>
      <c r="D401" s="3" t="s">
        <v>1011</v>
      </c>
    </row>
    <row r="402" spans="1:4" x14ac:dyDescent="0.2">
      <c r="A402" s="3" t="s">
        <v>478</v>
      </c>
      <c r="B402" s="3" t="s">
        <v>1158</v>
      </c>
      <c r="C402" s="3" t="s">
        <v>993</v>
      </c>
      <c r="D402" s="3" t="s">
        <v>1011</v>
      </c>
    </row>
    <row r="403" spans="1:4" x14ac:dyDescent="0.2">
      <c r="A403" s="3" t="s">
        <v>479</v>
      </c>
      <c r="B403" s="3" t="s">
        <v>1158</v>
      </c>
      <c r="C403" s="3" t="s">
        <v>993</v>
      </c>
      <c r="D403" s="3" t="s">
        <v>1011</v>
      </c>
    </row>
    <row r="404" spans="1:4" x14ac:dyDescent="0.2">
      <c r="A404" s="3" t="s">
        <v>480</v>
      </c>
      <c r="B404" s="3" t="s">
        <v>1158</v>
      </c>
      <c r="C404" s="3" t="s">
        <v>993</v>
      </c>
      <c r="D404" s="3" t="s">
        <v>1011</v>
      </c>
    </row>
    <row r="405" spans="1:4" x14ac:dyDescent="0.2">
      <c r="A405" s="3" t="s">
        <v>928</v>
      </c>
      <c r="B405" s="3" t="s">
        <v>1158</v>
      </c>
      <c r="C405" s="3" t="s">
        <v>993</v>
      </c>
      <c r="D405" s="3" t="s">
        <v>1011</v>
      </c>
    </row>
    <row r="406" spans="1:4" x14ac:dyDescent="0.2">
      <c r="A406" s="3" t="s">
        <v>927</v>
      </c>
      <c r="B406" s="3" t="s">
        <v>1158</v>
      </c>
      <c r="C406" s="3" t="s">
        <v>993</v>
      </c>
      <c r="D406" s="3" t="s">
        <v>1011</v>
      </c>
    </row>
    <row r="407" spans="1:4" x14ac:dyDescent="0.2">
      <c r="A407" s="3" t="s">
        <v>394</v>
      </c>
      <c r="B407" s="3" t="s">
        <v>1</v>
      </c>
      <c r="C407" s="3" t="s">
        <v>17</v>
      </c>
      <c r="D407" s="3" t="s">
        <v>1013</v>
      </c>
    </row>
    <row r="408" spans="1:4" x14ac:dyDescent="0.2">
      <c r="A408" s="3" t="s">
        <v>387</v>
      </c>
      <c r="B408" s="3" t="s">
        <v>1</v>
      </c>
      <c r="C408" s="3" t="s">
        <v>2</v>
      </c>
      <c r="D408" s="3" t="s">
        <v>1012</v>
      </c>
    </row>
    <row r="409" spans="1:4" x14ac:dyDescent="0.2">
      <c r="A409" s="3" t="s">
        <v>925</v>
      </c>
      <c r="B409" s="3" t="s">
        <v>1</v>
      </c>
      <c r="C409" s="3" t="s">
        <v>22</v>
      </c>
      <c r="D409" s="3" t="s">
        <v>1016</v>
      </c>
    </row>
    <row r="410" spans="1:4" x14ac:dyDescent="0.2">
      <c r="A410" s="3" t="s">
        <v>396</v>
      </c>
      <c r="B410" s="3" t="s">
        <v>1</v>
      </c>
      <c r="C410" s="3" t="s">
        <v>17</v>
      </c>
      <c r="D410" s="3" t="s">
        <v>1015</v>
      </c>
    </row>
    <row r="411" spans="1:4" x14ac:dyDescent="0.2">
      <c r="A411" s="3" t="s">
        <v>344</v>
      </c>
      <c r="B411" s="3" t="s">
        <v>1</v>
      </c>
      <c r="C411" s="3" t="s">
        <v>17</v>
      </c>
      <c r="D411" s="3" t="s">
        <v>997</v>
      </c>
    </row>
    <row r="412" spans="1:4" x14ac:dyDescent="0.2">
      <c r="A412" s="3" t="s">
        <v>397</v>
      </c>
      <c r="B412" s="3" t="s">
        <v>1</v>
      </c>
      <c r="C412" s="3" t="s">
        <v>17</v>
      </c>
      <c r="D412" s="3" t="s">
        <v>997</v>
      </c>
    </row>
    <row r="413" spans="1:4" x14ac:dyDescent="0.2">
      <c r="A413" s="3" t="s">
        <v>398</v>
      </c>
      <c r="B413" s="3" t="s">
        <v>1</v>
      </c>
      <c r="C413" s="3" t="s">
        <v>17</v>
      </c>
      <c r="D413" s="3" t="s">
        <v>997</v>
      </c>
    </row>
    <row r="414" spans="1:4" x14ac:dyDescent="0.2">
      <c r="A414" s="3" t="s">
        <v>399</v>
      </c>
      <c r="B414" s="3" t="s">
        <v>1</v>
      </c>
      <c r="C414" s="3" t="s">
        <v>17</v>
      </c>
      <c r="D414" s="3" t="s">
        <v>997</v>
      </c>
    </row>
    <row r="415" spans="1:4" x14ac:dyDescent="0.2">
      <c r="A415" s="3" t="s">
        <v>408</v>
      </c>
      <c r="B415" s="3" t="s">
        <v>949</v>
      </c>
      <c r="C415" s="3" t="s">
        <v>17</v>
      </c>
      <c r="D415" s="3" t="s">
        <v>999</v>
      </c>
    </row>
    <row r="416" spans="1:4" x14ac:dyDescent="0.2">
      <c r="A416" s="3" t="s">
        <v>926</v>
      </c>
      <c r="B416" s="3" t="s">
        <v>949</v>
      </c>
      <c r="C416" s="3" t="s">
        <v>17</v>
      </c>
      <c r="D416" s="3" t="s">
        <v>999</v>
      </c>
    </row>
    <row r="417" spans="1:4" x14ac:dyDescent="0.2">
      <c r="A417" s="25" t="s">
        <v>412</v>
      </c>
      <c r="B417" s="3" t="s">
        <v>949</v>
      </c>
      <c r="C417" s="3" t="s">
        <v>17</v>
      </c>
      <c r="D417" s="3" t="s">
        <v>999</v>
      </c>
    </row>
    <row r="418" spans="1:4" x14ac:dyDescent="0.2">
      <c r="A418" s="3" t="s">
        <v>413</v>
      </c>
      <c r="B418" s="3" t="s">
        <v>949</v>
      </c>
      <c r="C418" s="3" t="s">
        <v>17</v>
      </c>
      <c r="D418" s="3" t="s">
        <v>999</v>
      </c>
    </row>
    <row r="419" spans="1:4" x14ac:dyDescent="0.2">
      <c r="A419" s="25" t="s">
        <v>883</v>
      </c>
      <c r="B419" s="3" t="s">
        <v>943</v>
      </c>
      <c r="C419" s="3" t="s">
        <v>944</v>
      </c>
      <c r="D419" s="3" t="s">
        <v>945</v>
      </c>
    </row>
    <row r="420" spans="1:4" x14ac:dyDescent="0.2">
      <c r="A420" s="7" t="s">
        <v>884</v>
      </c>
      <c r="B420" s="3" t="s">
        <v>943</v>
      </c>
      <c r="C420" s="3" t="s">
        <v>944</v>
      </c>
      <c r="D420" s="3" t="s">
        <v>945</v>
      </c>
    </row>
    <row r="421" spans="1:4" x14ac:dyDescent="0.2">
      <c r="A421" s="1" t="s">
        <v>885</v>
      </c>
      <c r="B421" s="3" t="s">
        <v>943</v>
      </c>
      <c r="C421" s="3" t="s">
        <v>944</v>
      </c>
      <c r="D421" s="3" t="s">
        <v>945</v>
      </c>
    </row>
    <row r="422" spans="1:4" x14ac:dyDescent="0.2">
      <c r="A422" s="1" t="s">
        <v>886</v>
      </c>
      <c r="B422" s="3" t="s">
        <v>943</v>
      </c>
      <c r="C422" s="3" t="s">
        <v>944</v>
      </c>
      <c r="D422" s="3" t="s">
        <v>945</v>
      </c>
    </row>
    <row r="423" spans="1:4" x14ac:dyDescent="0.2">
      <c r="A423" s="1" t="s">
        <v>887</v>
      </c>
      <c r="B423" s="3" t="s">
        <v>943</v>
      </c>
      <c r="C423" s="3" t="s">
        <v>944</v>
      </c>
      <c r="D423" s="3" t="s">
        <v>945</v>
      </c>
    </row>
    <row r="424" spans="1:4" x14ac:dyDescent="0.2">
      <c r="A424" s="1" t="s">
        <v>888</v>
      </c>
      <c r="B424" s="3" t="s">
        <v>943</v>
      </c>
      <c r="C424" s="3" t="s">
        <v>944</v>
      </c>
      <c r="D424" s="3" t="s">
        <v>945</v>
      </c>
    </row>
    <row r="425" spans="1:4" x14ac:dyDescent="0.2">
      <c r="A425" s="1" t="s">
        <v>889</v>
      </c>
      <c r="B425" s="3" t="s">
        <v>943</v>
      </c>
      <c r="C425" s="3" t="s">
        <v>944</v>
      </c>
      <c r="D425" s="3" t="s">
        <v>945</v>
      </c>
    </row>
    <row r="426" spans="1:4" x14ac:dyDescent="0.2">
      <c r="A426" s="1" t="s">
        <v>890</v>
      </c>
      <c r="B426" s="3" t="s">
        <v>943</v>
      </c>
      <c r="C426" s="3" t="s">
        <v>944</v>
      </c>
      <c r="D426" s="3" t="s">
        <v>945</v>
      </c>
    </row>
    <row r="427" spans="1:4" x14ac:dyDescent="0.2">
      <c r="A427" s="7" t="s">
        <v>891</v>
      </c>
      <c r="B427" s="3" t="s">
        <v>943</v>
      </c>
      <c r="C427" s="3" t="s">
        <v>944</v>
      </c>
      <c r="D427" s="3" t="s">
        <v>945</v>
      </c>
    </row>
    <row r="428" spans="1:4" x14ac:dyDescent="0.2">
      <c r="A428" s="7" t="s">
        <v>892</v>
      </c>
      <c r="B428" s="3" t="s">
        <v>943</v>
      </c>
      <c r="C428" s="3" t="s">
        <v>944</v>
      </c>
      <c r="D428" s="3" t="s">
        <v>945</v>
      </c>
    </row>
    <row r="429" spans="1:4" x14ac:dyDescent="0.2">
      <c r="A429" s="1" t="s">
        <v>893</v>
      </c>
      <c r="B429" s="3" t="s">
        <v>943</v>
      </c>
      <c r="C429" s="3" t="s">
        <v>944</v>
      </c>
      <c r="D429" s="3" t="s">
        <v>945</v>
      </c>
    </row>
    <row r="430" spans="1:4" x14ac:dyDescent="0.2">
      <c r="A430" s="1" t="s">
        <v>894</v>
      </c>
      <c r="B430" s="3" t="s">
        <v>943</v>
      </c>
      <c r="C430" s="3" t="s">
        <v>944</v>
      </c>
      <c r="D430" s="3" t="s">
        <v>945</v>
      </c>
    </row>
    <row r="431" spans="1:4" x14ac:dyDescent="0.2">
      <c r="A431" s="1" t="s">
        <v>895</v>
      </c>
      <c r="B431" s="3" t="s">
        <v>943</v>
      </c>
      <c r="C431" s="3" t="s">
        <v>944</v>
      </c>
      <c r="D431" s="3" t="s">
        <v>945</v>
      </c>
    </row>
    <row r="432" spans="1:4" x14ac:dyDescent="0.2">
      <c r="A432" s="1" t="s">
        <v>896</v>
      </c>
      <c r="B432" s="3" t="s">
        <v>943</v>
      </c>
      <c r="C432" s="3" t="s">
        <v>944</v>
      </c>
      <c r="D432" s="3" t="s">
        <v>945</v>
      </c>
    </row>
    <row r="433" spans="1:4" x14ac:dyDescent="0.2">
      <c r="A433" s="1" t="s">
        <v>897</v>
      </c>
      <c r="B433" s="3" t="s">
        <v>943</v>
      </c>
      <c r="C433" s="3" t="s">
        <v>944</v>
      </c>
      <c r="D433" s="3" t="s">
        <v>945</v>
      </c>
    </row>
    <row r="434" spans="1:4" x14ac:dyDescent="0.2">
      <c r="A434" s="1" t="s">
        <v>898</v>
      </c>
      <c r="B434" s="3" t="s">
        <v>943</v>
      </c>
      <c r="C434" s="3" t="s">
        <v>944</v>
      </c>
      <c r="D434" s="3" t="s">
        <v>945</v>
      </c>
    </row>
    <row r="435" spans="1:4" x14ac:dyDescent="0.2">
      <c r="A435" s="1" t="s">
        <v>899</v>
      </c>
      <c r="B435" s="3" t="s">
        <v>943</v>
      </c>
      <c r="C435" s="3" t="s">
        <v>944</v>
      </c>
      <c r="D435" s="3" t="s">
        <v>945</v>
      </c>
    </row>
    <row r="436" spans="1:4" x14ac:dyDescent="0.2">
      <c r="A436" s="1" t="s">
        <v>900</v>
      </c>
      <c r="B436" s="3" t="s">
        <v>943</v>
      </c>
      <c r="C436" s="3" t="s">
        <v>944</v>
      </c>
      <c r="D436" s="3" t="s">
        <v>945</v>
      </c>
    </row>
    <row r="437" spans="1:4" x14ac:dyDescent="0.2">
      <c r="A437" s="1" t="s">
        <v>901</v>
      </c>
      <c r="B437" s="3" t="s">
        <v>943</v>
      </c>
      <c r="C437" s="3" t="s">
        <v>944</v>
      </c>
      <c r="D437" s="3" t="s">
        <v>945</v>
      </c>
    </row>
    <row r="438" spans="1:4" x14ac:dyDescent="0.2">
      <c r="A438" s="1" t="s">
        <v>902</v>
      </c>
      <c r="B438" s="3" t="s">
        <v>943</v>
      </c>
      <c r="C438" s="3" t="s">
        <v>944</v>
      </c>
      <c r="D438" s="3" t="s">
        <v>945</v>
      </c>
    </row>
    <row r="439" spans="1:4" x14ac:dyDescent="0.2">
      <c r="A439" s="1" t="s">
        <v>903</v>
      </c>
      <c r="B439" s="3" t="s">
        <v>943</v>
      </c>
      <c r="C439" s="3" t="s">
        <v>944</v>
      </c>
      <c r="D439" s="3" t="s">
        <v>945</v>
      </c>
    </row>
    <row r="440" spans="1:4" x14ac:dyDescent="0.2">
      <c r="A440" s="1" t="s">
        <v>904</v>
      </c>
      <c r="B440" s="3" t="s">
        <v>943</v>
      </c>
      <c r="C440" s="3" t="s">
        <v>944</v>
      </c>
      <c r="D440" s="3" t="s">
        <v>945</v>
      </c>
    </row>
    <row r="441" spans="1:4" x14ac:dyDescent="0.2">
      <c r="A441" s="1" t="s">
        <v>905</v>
      </c>
      <c r="B441" s="3" t="s">
        <v>943</v>
      </c>
      <c r="C441" s="3" t="s">
        <v>944</v>
      </c>
      <c r="D441" s="3" t="s">
        <v>945</v>
      </c>
    </row>
    <row r="442" spans="1:4" x14ac:dyDescent="0.2">
      <c r="A442" s="1" t="s">
        <v>906</v>
      </c>
      <c r="B442" s="3" t="s">
        <v>943</v>
      </c>
      <c r="C442" s="3" t="s">
        <v>944</v>
      </c>
      <c r="D442" s="3" t="s">
        <v>945</v>
      </c>
    </row>
    <row r="443" spans="1:4" x14ac:dyDescent="0.2">
      <c r="A443" s="1" t="s">
        <v>907</v>
      </c>
      <c r="B443" s="3" t="s">
        <v>943</v>
      </c>
      <c r="C443" s="3" t="s">
        <v>944</v>
      </c>
      <c r="D443" s="3" t="s">
        <v>945</v>
      </c>
    </row>
    <row r="444" spans="1:4" x14ac:dyDescent="0.2">
      <c r="A444" s="1" t="s">
        <v>908</v>
      </c>
      <c r="B444" s="3" t="s">
        <v>943</v>
      </c>
      <c r="C444" s="3" t="s">
        <v>944</v>
      </c>
      <c r="D444" s="3" t="s">
        <v>945</v>
      </c>
    </row>
    <row r="445" spans="1:4" x14ac:dyDescent="0.2">
      <c r="A445" s="7" t="s">
        <v>460</v>
      </c>
      <c r="B445" s="3" t="s">
        <v>1158</v>
      </c>
      <c r="C445" s="3" t="s">
        <v>993</v>
      </c>
      <c r="D445" s="3" t="s">
        <v>1011</v>
      </c>
    </row>
    <row r="446" spans="1:4" x14ac:dyDescent="0.2">
      <c r="A446" s="3" t="s">
        <v>1637</v>
      </c>
      <c r="B446" s="3" t="s">
        <v>1</v>
      </c>
      <c r="C446" s="3" t="s">
        <v>993</v>
      </c>
      <c r="D446" s="3" t="s">
        <v>1639</v>
      </c>
    </row>
    <row r="447" spans="1:4" x14ac:dyDescent="0.2">
      <c r="A447" s="3" t="s">
        <v>1640</v>
      </c>
      <c r="B447" s="3" t="s">
        <v>1</v>
      </c>
      <c r="C447" s="3" t="s">
        <v>993</v>
      </c>
      <c r="D447" s="3" t="s">
        <v>1639</v>
      </c>
    </row>
    <row r="448" spans="1:4" x14ac:dyDescent="0.2">
      <c r="A448" s="3" t="s">
        <v>1642</v>
      </c>
      <c r="B448" s="3" t="s">
        <v>1</v>
      </c>
      <c r="C448" s="3" t="s">
        <v>993</v>
      </c>
      <c r="D448" s="3" t="s">
        <v>1639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1128</v>
      </c>
      <c r="C1" s="17" t="s">
        <v>31</v>
      </c>
      <c r="D1" s="17" t="s">
        <v>30</v>
      </c>
      <c r="E1" s="17" t="s">
        <v>1100</v>
      </c>
      <c r="F1" s="17" t="s">
        <v>1098</v>
      </c>
      <c r="G1" s="17" t="s">
        <v>1115</v>
      </c>
      <c r="H1" s="17" t="s">
        <v>1099</v>
      </c>
      <c r="I1" s="83" t="s">
        <v>1145</v>
      </c>
      <c r="J1" s="19" t="s">
        <v>1137</v>
      </c>
      <c r="K1" s="19" t="s">
        <v>1135</v>
      </c>
      <c r="L1" s="19" t="s">
        <v>1134</v>
      </c>
      <c r="M1" s="19" t="s">
        <v>1136</v>
      </c>
      <c r="N1" s="19" t="s">
        <v>1138</v>
      </c>
      <c r="O1" s="19" t="s">
        <v>1107</v>
      </c>
      <c r="P1" s="17" t="s">
        <v>1020</v>
      </c>
      <c r="Q1" s="17" t="s">
        <v>1102</v>
      </c>
      <c r="R1" s="17" t="s">
        <v>1129</v>
      </c>
      <c r="S1" s="17" t="s">
        <v>1126</v>
      </c>
      <c r="T1" s="17" t="s">
        <v>1125</v>
      </c>
      <c r="U1" s="17" t="s">
        <v>1133</v>
      </c>
      <c r="V1" s="17" t="s">
        <v>1131</v>
      </c>
      <c r="W1" s="22" t="s">
        <v>1132</v>
      </c>
      <c r="X1" s="17" t="s">
        <v>1109</v>
      </c>
    </row>
    <row r="2" spans="1:24" ht="17" thickTop="1" x14ac:dyDescent="0.2">
      <c r="A2" s="3" t="s">
        <v>1139</v>
      </c>
      <c r="B2" s="3" t="str">
        <f t="shared" ref="B2:B13" si="0">CONCATENATE(C2,"_",D2)</f>
        <v>US28_hcmva_4XT1</v>
      </c>
      <c r="C2" s="2" t="s">
        <v>42</v>
      </c>
      <c r="D2" s="3" t="s">
        <v>1123</v>
      </c>
      <c r="E2" s="3" t="s">
        <v>1105</v>
      </c>
      <c r="F2" s="3" t="s">
        <v>1111</v>
      </c>
      <c r="G2" s="3" t="s">
        <v>1124</v>
      </c>
      <c r="H2" s="3" t="s">
        <v>1114</v>
      </c>
      <c r="I2" s="16" t="s">
        <v>1142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1127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1122</v>
      </c>
    </row>
    <row r="3" spans="1:24" x14ac:dyDescent="0.2">
      <c r="A3" s="3" t="s">
        <v>1141</v>
      </c>
      <c r="B3" s="3" t="str">
        <f t="shared" si="0"/>
        <v>OPRM_mouse_5C1M</v>
      </c>
      <c r="C3" s="3" t="s">
        <v>44</v>
      </c>
      <c r="D3" s="3" t="s">
        <v>84</v>
      </c>
      <c r="E3" s="3" t="s">
        <v>1105</v>
      </c>
      <c r="F3" s="3" t="s">
        <v>1111</v>
      </c>
      <c r="G3" s="3" t="s">
        <v>1124</v>
      </c>
      <c r="H3" s="3" t="s">
        <v>1114</v>
      </c>
      <c r="I3" s="16" t="s">
        <v>1142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1127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1122</v>
      </c>
    </row>
    <row r="4" spans="1:24" x14ac:dyDescent="0.2">
      <c r="A4" s="3" t="s">
        <v>1140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1105</v>
      </c>
      <c r="F4" s="14" t="s">
        <v>24</v>
      </c>
      <c r="G4" s="3" t="s">
        <v>1124</v>
      </c>
      <c r="H4" s="3" t="s">
        <v>1114</v>
      </c>
      <c r="I4" s="16" t="s">
        <v>1142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1117</v>
      </c>
      <c r="P4" s="15" t="s">
        <v>1019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1105</v>
      </c>
      <c r="F5" s="3" t="s">
        <v>1101</v>
      </c>
      <c r="G5" s="3" t="s">
        <v>1124</v>
      </c>
      <c r="H5" s="3" t="s">
        <v>1114</v>
      </c>
      <c r="I5" s="16" t="s">
        <v>1143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1117</v>
      </c>
      <c r="P5" s="15" t="s">
        <v>1018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1110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1105</v>
      </c>
      <c r="F6" s="3" t="s">
        <v>16</v>
      </c>
      <c r="G6" s="3" t="s">
        <v>1147</v>
      </c>
      <c r="H6" s="3" t="s">
        <v>1114</v>
      </c>
      <c r="I6" s="16" t="s">
        <v>1143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1116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1105</v>
      </c>
      <c r="F7" s="3" t="s">
        <v>1111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1118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1112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1105</v>
      </c>
      <c r="F8" s="3" t="s">
        <v>1111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1118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1112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1105</v>
      </c>
      <c r="F9" s="3" t="s">
        <v>1111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1118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1112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1113</v>
      </c>
      <c r="E10" s="3" t="s">
        <v>1105</v>
      </c>
      <c r="F10" s="3" t="s">
        <v>1111</v>
      </c>
      <c r="H10" s="3" t="s">
        <v>1114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1112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1046</v>
      </c>
      <c r="E11" s="3" t="s">
        <v>1105</v>
      </c>
      <c r="F11" s="3" t="s">
        <v>1111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1112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1028</v>
      </c>
      <c r="E12" s="3" t="s">
        <v>1105</v>
      </c>
      <c r="F12" s="3" t="s">
        <v>1101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1117</v>
      </c>
      <c r="P12" s="15" t="s">
        <v>1018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1110</v>
      </c>
    </row>
    <row r="13" spans="1:24" x14ac:dyDescent="0.2">
      <c r="B13" s="3" t="str">
        <f t="shared" si="0"/>
        <v>FFAR1_human_4PHU</v>
      </c>
      <c r="C13" s="2" t="s">
        <v>1148</v>
      </c>
      <c r="D13" s="14" t="s">
        <v>52</v>
      </c>
      <c r="E13" s="3" t="s">
        <v>1104</v>
      </c>
      <c r="F13" s="3" t="s">
        <v>23</v>
      </c>
      <c r="G13" s="3" t="s">
        <v>1149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1034</v>
      </c>
      <c r="E14" s="3" t="s">
        <v>1104</v>
      </c>
      <c r="F14" s="14"/>
      <c r="I14" s="16" t="s">
        <v>1142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1104</v>
      </c>
      <c r="F15" s="3" t="s">
        <v>23</v>
      </c>
      <c r="G15" s="3" t="s">
        <v>1146</v>
      </c>
      <c r="I15" s="16" t="s">
        <v>1142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1116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1026</v>
      </c>
      <c r="E16" s="3" t="s">
        <v>1104</v>
      </c>
      <c r="F16" s="3" t="s">
        <v>23</v>
      </c>
      <c r="G16" s="3" t="s">
        <v>1124</v>
      </c>
      <c r="I16" s="16" t="s">
        <v>1144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1116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1119</v>
      </c>
      <c r="E17" s="3" t="s">
        <v>1104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1119</v>
      </c>
      <c r="E18" s="3" t="s">
        <v>1104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1104</v>
      </c>
      <c r="F19" s="3" t="s">
        <v>23</v>
      </c>
      <c r="G19" s="3" t="s">
        <v>1150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1119</v>
      </c>
      <c r="E20" s="3" t="s">
        <v>1104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1097</v>
      </c>
      <c r="D21" s="3" t="s">
        <v>1119</v>
      </c>
      <c r="E21" s="3" t="s">
        <v>1104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1017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1106</v>
      </c>
      <c r="E22" s="3" t="s">
        <v>1104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1021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1108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1130</v>
      </c>
      <c r="E23" s="3" t="s">
        <v>1104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1117</v>
      </c>
      <c r="P23" s="15" t="s">
        <v>1019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1121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1120</v>
      </c>
      <c r="E24" s="3" t="s">
        <v>1104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1117</v>
      </c>
      <c r="P24" s="15" t="s">
        <v>1019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1121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1104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1018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1103</v>
      </c>
      <c r="E26" s="3" t="s">
        <v>1104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1018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1060</v>
      </c>
      <c r="C1" s="8" t="s">
        <v>1061</v>
      </c>
      <c r="D1" s="8" t="s">
        <v>1077</v>
      </c>
      <c r="E1" s="8" t="s">
        <v>1078</v>
      </c>
      <c r="F1" s="8" t="s">
        <v>1062</v>
      </c>
      <c r="G1" s="8" t="s">
        <v>1063</v>
      </c>
      <c r="H1" s="8" t="s">
        <v>1079</v>
      </c>
      <c r="I1" s="8" t="s">
        <v>1080</v>
      </c>
      <c r="J1" s="8" t="s">
        <v>1064</v>
      </c>
      <c r="K1" s="8" t="s">
        <v>1065</v>
      </c>
      <c r="L1" s="8" t="s">
        <v>1092</v>
      </c>
      <c r="M1" s="8" t="s">
        <v>1093</v>
      </c>
      <c r="N1" s="8" t="s">
        <v>1066</v>
      </c>
      <c r="O1" s="8" t="s">
        <v>1067</v>
      </c>
      <c r="P1" s="8" t="s">
        <v>1095</v>
      </c>
      <c r="Q1" s="8" t="s">
        <v>1096</v>
      </c>
      <c r="R1" s="8" t="s">
        <v>1068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</row>
    <row r="2" spans="1:25" x14ac:dyDescent="0.2">
      <c r="A2" s="1" t="s">
        <v>1325</v>
      </c>
      <c r="B2" s="1" t="e">
        <f>MIN('SegEnds_NonXtal_BW#'!C:C)</f>
        <v>#N/A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23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2020-06-04T09:49:07Z</dcterms:modified>
  <cp:category/>
  <cp:contentStatus/>
</cp:coreProperties>
</file>